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drawings/drawing2.xml" ContentType="application/vnd.openxmlformats-officedocument.drawing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drawings/drawing3.xml" ContentType="application/vnd.openxmlformats-officedocument.drawing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drawings/drawing4.xml" ContentType="application/vnd.openxmlformats-officedocument.drawing+xml"/>
  <Override PartName="/xl/charts/chart17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05" windowWidth="19350" windowHeight="9450" tabRatio="662" activeTab="4"/>
  </bookViews>
  <sheets>
    <sheet name="осн" sheetId="1" r:id="rId1"/>
    <sheet name="ассортимент" sheetId="4" r:id="rId2"/>
    <sheet name="по предпр" sheetId="2" r:id="rId3"/>
    <sheet name="миллион по годам" sheetId="3" r:id="rId4"/>
    <sheet name="спец" sheetId="5" r:id="rId5"/>
    <sheet name="Лист2" sheetId="6" r:id="rId6"/>
  </sheets>
  <externalReferences>
    <externalReference r:id="rId7"/>
  </externalReferences>
  <definedNames>
    <definedName name="_xlnm._FilterDatabase" localSheetId="3" hidden="1">'миллион по годам'!$A$33:$I$90</definedName>
  </definedNames>
  <calcPr calcId="145621"/>
</workbook>
</file>

<file path=xl/calcChain.xml><?xml version="1.0" encoding="utf-8"?>
<calcChain xmlns="http://schemas.openxmlformats.org/spreadsheetml/2006/main">
  <c r="C7" i="5" l="1"/>
  <c r="D7" i="5"/>
  <c r="E7" i="5"/>
  <c r="F7" i="5"/>
  <c r="G7" i="5"/>
  <c r="H7" i="5"/>
  <c r="I7" i="5"/>
  <c r="B7" i="5"/>
  <c r="C2" i="5"/>
  <c r="D2" i="5" s="1"/>
  <c r="E2" i="5" s="1"/>
  <c r="F2" i="5" s="1"/>
  <c r="G2" i="5" s="1"/>
  <c r="H2" i="5" s="1"/>
  <c r="I2" i="5" s="1"/>
  <c r="J2" i="5" s="1"/>
  <c r="B75" i="4" l="1"/>
  <c r="B73" i="4"/>
  <c r="B74" i="4"/>
  <c r="B72" i="4"/>
  <c r="B71" i="4"/>
  <c r="C9" i="4"/>
  <c r="C8" i="4"/>
  <c r="C5" i="4"/>
  <c r="A61" i="4" l="1"/>
  <c r="A62" i="4" s="1"/>
  <c r="A63" i="4" s="1"/>
  <c r="A64" i="4" s="1"/>
  <c r="A65" i="4" s="1"/>
  <c r="A66" i="4" s="1"/>
  <c r="A67" i="4" s="1"/>
  <c r="A51" i="4"/>
  <c r="A52" i="4" s="1"/>
  <c r="A53" i="4" s="1"/>
  <c r="A54" i="4" s="1"/>
  <c r="A55" i="4" s="1"/>
  <c r="A56" i="4" s="1"/>
  <c r="A57" i="4" s="1"/>
  <c r="A40" i="4"/>
  <c r="A41" i="4" s="1"/>
  <c r="A42" i="4" s="1"/>
  <c r="A43" i="4" s="1"/>
  <c r="A44" i="4" s="1"/>
  <c r="A45" i="4" s="1"/>
  <c r="A46" i="4" s="1"/>
  <c r="I17" i="4" l="1"/>
  <c r="I13" i="4"/>
  <c r="I8" i="4"/>
  <c r="I9" i="4"/>
  <c r="I4" i="4"/>
  <c r="I5" i="4"/>
  <c r="I18" i="4"/>
  <c r="I14" i="4"/>
  <c r="I10" i="4"/>
  <c r="I6" i="4"/>
  <c r="K11" i="4"/>
  <c r="K7" i="4"/>
  <c r="B295" i="4" l="1"/>
  <c r="B294" i="4"/>
  <c r="B293" i="4"/>
  <c r="B292" i="4"/>
  <c r="B291" i="4"/>
  <c r="B290" i="4"/>
  <c r="C256" i="4"/>
  <c r="D256" i="4" s="1"/>
  <c r="E256" i="4" s="1"/>
  <c r="F256" i="4" s="1"/>
  <c r="G256" i="4" s="1"/>
  <c r="H256" i="4" s="1"/>
  <c r="N191" i="4"/>
  <c r="N190" i="4"/>
  <c r="N189" i="4"/>
  <c r="N188" i="4"/>
  <c r="N187" i="4"/>
  <c r="N186" i="4"/>
  <c r="M147" i="4"/>
  <c r="M148" i="4" s="1"/>
  <c r="M149" i="4" s="1"/>
  <c r="M150" i="4" s="1"/>
  <c r="M151" i="4" s="1"/>
  <c r="M152" i="4" s="1"/>
  <c r="M153" i="4" s="1"/>
  <c r="M137" i="4"/>
  <c r="M138" i="4" s="1"/>
  <c r="M139" i="4" s="1"/>
  <c r="M140" i="4" s="1"/>
  <c r="M141" i="4" s="1"/>
  <c r="M142" i="4" s="1"/>
  <c r="M143" i="4" s="1"/>
  <c r="M126" i="4"/>
  <c r="M127" i="4" s="1"/>
  <c r="M128" i="4" s="1"/>
  <c r="M129" i="4" s="1"/>
  <c r="M130" i="4" s="1"/>
  <c r="M131" i="4" s="1"/>
  <c r="M132" i="4" s="1"/>
  <c r="I29" i="4"/>
  <c r="I33" i="4" s="1"/>
  <c r="C28" i="4"/>
  <c r="C32" i="4" s="1"/>
  <c r="C26" i="4"/>
  <c r="D26" i="4" s="1"/>
  <c r="I24" i="4"/>
  <c r="J24" i="4" s="1"/>
  <c r="C24" i="4"/>
  <c r="D24" i="4" s="1"/>
  <c r="C20" i="4"/>
  <c r="I26" i="4"/>
  <c r="J26" i="4" s="1"/>
  <c r="O16" i="4"/>
  <c r="I15" i="4"/>
  <c r="O14" i="4"/>
  <c r="O13" i="4"/>
  <c r="O12" i="4"/>
  <c r="F8" i="4"/>
  <c r="O6" i="4"/>
  <c r="I7" i="4"/>
  <c r="C7" i="4"/>
  <c r="O4" i="4"/>
  <c r="F4" i="4"/>
  <c r="C30" i="4" l="1"/>
  <c r="C34" i="4" s="1"/>
  <c r="J27" i="4"/>
  <c r="C11" i="4"/>
  <c r="C15" i="4"/>
  <c r="O15" i="4" s="1"/>
  <c r="I25" i="4"/>
  <c r="J25" i="4" s="1"/>
  <c r="O18" i="4"/>
  <c r="O26" i="4" s="1"/>
  <c r="P26" i="4" s="1"/>
  <c r="I19" i="4"/>
  <c r="I27" i="4" s="1"/>
  <c r="I21" i="4"/>
  <c r="D27" i="4"/>
  <c r="E7" i="4"/>
  <c r="D8" i="4"/>
  <c r="O8" i="4"/>
  <c r="I28" i="4"/>
  <c r="I11" i="4"/>
  <c r="C25" i="4"/>
  <c r="D25" i="4" s="1"/>
  <c r="O17" i="4"/>
  <c r="I22" i="4"/>
  <c r="I30" i="4"/>
  <c r="O10" i="4"/>
  <c r="O7" i="4"/>
  <c r="P27" i="4" s="1"/>
  <c r="L7" i="4"/>
  <c r="C21" i="4"/>
  <c r="C29" i="4"/>
  <c r="I20" i="4"/>
  <c r="O9" i="4"/>
  <c r="O24" i="4"/>
  <c r="P24" i="4" s="1"/>
  <c r="C19" i="4"/>
  <c r="C27" i="4" s="1"/>
  <c r="C22" i="4"/>
  <c r="O5" i="4"/>
  <c r="B60" i="2"/>
  <c r="C60" i="2"/>
  <c r="G60" i="2"/>
  <c r="G49" i="2"/>
  <c r="C49" i="2"/>
  <c r="B49" i="2"/>
  <c r="C23" i="4" l="1"/>
  <c r="E11" i="4"/>
  <c r="E12" i="4" s="1"/>
  <c r="D9" i="4"/>
  <c r="D10" i="4"/>
  <c r="C31" i="4"/>
  <c r="D30" i="4" s="1"/>
  <c r="J8" i="4"/>
  <c r="K12" i="4"/>
  <c r="O19" i="4"/>
  <c r="O27" i="4" s="1"/>
  <c r="O30" i="4"/>
  <c r="O22" i="4"/>
  <c r="J10" i="4"/>
  <c r="I34" i="4"/>
  <c r="O25" i="4"/>
  <c r="P25" i="4" s="1"/>
  <c r="I32" i="4"/>
  <c r="C35" i="4"/>
  <c r="O29" i="4"/>
  <c r="O21" i="4"/>
  <c r="C33" i="4"/>
  <c r="O20" i="4"/>
  <c r="O28" i="4"/>
  <c r="I31" i="4"/>
  <c r="J28" i="4" s="1"/>
  <c r="J9" i="4"/>
  <c r="I23" i="4"/>
  <c r="O11" i="4"/>
  <c r="P8" i="4" s="1"/>
  <c r="L11" i="4"/>
  <c r="F145" i="3"/>
  <c r="C95" i="3"/>
  <c r="C96" i="3"/>
  <c r="C97" i="3"/>
  <c r="C98" i="3"/>
  <c r="C99" i="3"/>
  <c r="C100" i="3"/>
  <c r="C101" i="3"/>
  <c r="C102" i="3"/>
  <c r="C103" i="3"/>
  <c r="C104" i="3"/>
  <c r="C105" i="3"/>
  <c r="C106" i="3"/>
  <c r="C107" i="3"/>
  <c r="C108" i="3"/>
  <c r="C109" i="3"/>
  <c r="C110" i="3"/>
  <c r="C111" i="3"/>
  <c r="C112" i="3"/>
  <c r="C113" i="3"/>
  <c r="C114" i="3"/>
  <c r="C115" i="3"/>
  <c r="C116" i="3"/>
  <c r="C117" i="3"/>
  <c r="C118" i="3"/>
  <c r="C119" i="3"/>
  <c r="C120" i="3"/>
  <c r="C121" i="3"/>
  <c r="C122" i="3"/>
  <c r="C123" i="3"/>
  <c r="C124" i="3"/>
  <c r="C125" i="3"/>
  <c r="C126" i="3"/>
  <c r="C127" i="3"/>
  <c r="C128" i="3"/>
  <c r="C129" i="3"/>
  <c r="C130" i="3"/>
  <c r="C131" i="3"/>
  <c r="C132" i="3"/>
  <c r="C133" i="3"/>
  <c r="C134" i="3"/>
  <c r="C135" i="3"/>
  <c r="C136" i="3"/>
  <c r="C137" i="3"/>
  <c r="C138" i="3"/>
  <c r="C139" i="3"/>
  <c r="C140" i="3"/>
  <c r="C141" i="3"/>
  <c r="C142" i="3"/>
  <c r="C143" i="3"/>
  <c r="C144" i="3"/>
  <c r="C145" i="3"/>
  <c r="C146" i="3"/>
  <c r="C147" i="3"/>
  <c r="C148" i="3"/>
  <c r="C149" i="3"/>
  <c r="C150" i="3"/>
  <c r="C151" i="3"/>
  <c r="C152" i="3"/>
  <c r="C153" i="3"/>
  <c r="C154" i="3"/>
  <c r="C155" i="3"/>
  <c r="C156" i="3"/>
  <c r="C157" i="3"/>
  <c r="C158" i="3"/>
  <c r="C159" i="3"/>
  <c r="C160" i="3"/>
  <c r="C161" i="3"/>
  <c r="C162" i="3"/>
  <c r="C163" i="3"/>
  <c r="C164" i="3"/>
  <c r="C165" i="3"/>
  <c r="C166" i="3"/>
  <c r="C167" i="3"/>
  <c r="C94" i="3"/>
  <c r="D11" i="4" l="1"/>
  <c r="D28" i="4"/>
  <c r="D29" i="4"/>
  <c r="J11" i="4"/>
  <c r="P9" i="4"/>
  <c r="J30" i="4"/>
  <c r="P10" i="4"/>
  <c r="O33" i="4"/>
  <c r="O32" i="4"/>
  <c r="O34" i="4"/>
  <c r="I35" i="4"/>
  <c r="J29" i="4"/>
  <c r="O23" i="4"/>
  <c r="O31" i="4"/>
  <c r="O35" i="4" s="1"/>
  <c r="C78" i="3"/>
  <c r="C59" i="3"/>
  <c r="C89" i="3"/>
  <c r="C77" i="3"/>
  <c r="C62" i="3"/>
  <c r="C87" i="3"/>
  <c r="C68" i="3"/>
  <c r="C70" i="3"/>
  <c r="C79" i="3"/>
  <c r="C84" i="3"/>
  <c r="C71" i="3"/>
  <c r="C66" i="3"/>
  <c r="C76" i="3"/>
  <c r="C81" i="3"/>
  <c r="C85" i="3"/>
  <c r="D57" i="3"/>
  <c r="C57" i="3" s="1"/>
  <c r="D51" i="3"/>
  <c r="C51" i="3" s="1"/>
  <c r="C49" i="3"/>
  <c r="D50" i="3"/>
  <c r="C50" i="3" s="1"/>
  <c r="D52" i="3"/>
  <c r="C52" i="3" s="1"/>
  <c r="C65" i="3"/>
  <c r="D58" i="3"/>
  <c r="C58" i="3" s="1"/>
  <c r="P11" i="4" l="1"/>
  <c r="P29" i="4"/>
  <c r="P28" i="4"/>
  <c r="P30" i="4"/>
  <c r="C48" i="3"/>
  <c r="E33" i="3"/>
  <c r="F33" i="3" s="1"/>
  <c r="G33" i="3" s="1"/>
  <c r="H33" i="3" s="1"/>
  <c r="I33" i="3" s="1"/>
  <c r="C36" i="3" l="1"/>
  <c r="C35" i="3"/>
  <c r="C39" i="3"/>
  <c r="C44" i="3"/>
  <c r="C42" i="3"/>
  <c r="C54" i="3"/>
  <c r="C45" i="3"/>
  <c r="C67" i="3"/>
  <c r="C38" i="3"/>
  <c r="C41" i="3"/>
  <c r="C69" i="3"/>
  <c r="C60" i="3"/>
  <c r="C40" i="3"/>
  <c r="C37" i="3"/>
  <c r="C80" i="3"/>
  <c r="C73" i="3"/>
  <c r="C56" i="3"/>
  <c r="C55" i="3"/>
  <c r="C47" i="3"/>
  <c r="C61" i="3"/>
  <c r="C43" i="3"/>
  <c r="C83" i="3"/>
  <c r="C75" i="3"/>
  <c r="C88" i="3"/>
  <c r="C46" i="3"/>
  <c r="C63" i="3"/>
  <c r="C74" i="3"/>
  <c r="C90" i="3"/>
  <c r="C53" i="3"/>
  <c r="C82" i="3"/>
  <c r="C72" i="3"/>
  <c r="C64" i="3"/>
  <c r="C86" i="3"/>
  <c r="C34" i="3"/>
  <c r="B12" i="3"/>
  <c r="B27" i="3"/>
  <c r="B30" i="3"/>
  <c r="B24" i="3"/>
  <c r="B23" i="3"/>
  <c r="B26" i="3"/>
  <c r="B15" i="3"/>
  <c r="B28" i="3"/>
  <c r="B17" i="3"/>
  <c r="B4" i="3"/>
  <c r="B6" i="3"/>
  <c r="B5" i="3"/>
  <c r="B7" i="3"/>
  <c r="B9" i="3"/>
  <c r="B11" i="3"/>
  <c r="B10" i="3"/>
  <c r="B8" i="3"/>
  <c r="B13" i="3"/>
  <c r="B19" i="3"/>
  <c r="B25" i="3"/>
  <c r="B22" i="3"/>
  <c r="B29" i="3"/>
  <c r="B31" i="3"/>
  <c r="B20" i="3"/>
  <c r="B16" i="3"/>
  <c r="B14" i="3"/>
  <c r="B21" i="3"/>
  <c r="B18" i="3"/>
  <c r="B3" i="3"/>
  <c r="D2" i="3"/>
  <c r="E2" i="3" s="1"/>
  <c r="F2" i="3" s="1"/>
  <c r="G2" i="3" s="1"/>
  <c r="H2" i="3" s="1"/>
  <c r="J56" i="2" l="1"/>
  <c r="J54" i="2"/>
  <c r="J11" i="2"/>
  <c r="G70" i="1"/>
  <c r="G71" i="1"/>
  <c r="G72" i="1"/>
  <c r="G69" i="1"/>
  <c r="F148" i="2" l="1"/>
  <c r="D148" i="2"/>
  <c r="B148" i="2"/>
  <c r="D147" i="2"/>
  <c r="F146" i="2"/>
  <c r="E146" i="2"/>
  <c r="D146" i="2"/>
  <c r="C146" i="2"/>
  <c r="B146" i="2"/>
  <c r="F145" i="2"/>
  <c r="C145" i="2"/>
  <c r="F144" i="2"/>
  <c r="E144" i="2"/>
  <c r="D144" i="2"/>
  <c r="B143" i="2"/>
  <c r="C143" i="2" s="1"/>
  <c r="D143" i="2" s="1"/>
  <c r="E143" i="2" s="1"/>
  <c r="F143" i="2" s="1"/>
  <c r="E96" i="2"/>
  <c r="D96" i="2"/>
  <c r="C96" i="2"/>
  <c r="B96" i="2"/>
  <c r="E95" i="2"/>
  <c r="D95" i="2"/>
  <c r="C95" i="2"/>
  <c r="B95" i="2"/>
  <c r="B73" i="2"/>
  <c r="C73" i="2" s="1"/>
  <c r="D73" i="2" s="1"/>
  <c r="E73" i="2" s="1"/>
  <c r="F73" i="2" s="1"/>
  <c r="G73" i="2" s="1"/>
  <c r="B62" i="2"/>
  <c r="C62" i="2" s="1"/>
  <c r="D62" i="2" s="1"/>
  <c r="E62" i="2" s="1"/>
  <c r="F62" i="2" s="1"/>
  <c r="G62" i="2" s="1"/>
  <c r="H58" i="2"/>
  <c r="G57" i="2"/>
  <c r="E57" i="2"/>
  <c r="C57" i="2"/>
  <c r="E56" i="2"/>
  <c r="C56" i="2"/>
  <c r="B56" i="2"/>
  <c r="H53" i="2"/>
  <c r="B53" i="2"/>
  <c r="C52" i="2"/>
  <c r="D52" i="2" s="1"/>
  <c r="H48" i="2"/>
  <c r="G48" i="2"/>
  <c r="H47" i="2"/>
  <c r="G46" i="2"/>
  <c r="D46" i="2"/>
  <c r="B45" i="2"/>
  <c r="C45" i="2" s="1"/>
  <c r="D45" i="2" s="1"/>
  <c r="E26" i="2"/>
  <c r="D26" i="2"/>
  <c r="E25" i="2"/>
  <c r="E24" i="2"/>
  <c r="E22" i="2"/>
  <c r="E21" i="2"/>
  <c r="E16" i="2"/>
  <c r="E15" i="2"/>
  <c r="D15" i="2"/>
  <c r="C15" i="2"/>
  <c r="B15" i="2"/>
  <c r="E12" i="2"/>
  <c r="G8" i="2"/>
  <c r="E8" i="2"/>
  <c r="D8" i="2"/>
  <c r="C8" i="2"/>
  <c r="B8" i="2"/>
  <c r="E6" i="2"/>
  <c r="C6" i="2"/>
  <c r="B6" i="2"/>
  <c r="J55" i="1" l="1"/>
  <c r="L55" i="1" s="1"/>
  <c r="B56" i="1" s="1"/>
  <c r="C49" i="1"/>
  <c r="C50" i="1"/>
  <c r="C51" i="1"/>
  <c r="C52" i="1"/>
  <c r="C53" i="1"/>
  <c r="C54" i="1"/>
  <c r="C55" i="1"/>
  <c r="C56" i="1"/>
  <c r="C48" i="1"/>
  <c r="B49" i="1"/>
  <c r="B50" i="1"/>
  <c r="B51" i="1"/>
  <c r="B52" i="1"/>
  <c r="B53" i="1"/>
  <c r="B54" i="1"/>
  <c r="B55" i="1"/>
  <c r="B48" i="1"/>
  <c r="I48" i="1"/>
  <c r="I49" i="1"/>
  <c r="I50" i="1"/>
  <c r="I51" i="1"/>
  <c r="I52" i="1"/>
  <c r="I53" i="1"/>
  <c r="I54" i="1"/>
  <c r="I55" i="1"/>
  <c r="I47" i="1"/>
  <c r="L48" i="1"/>
  <c r="L49" i="1"/>
  <c r="L50" i="1"/>
  <c r="L51" i="1"/>
  <c r="L52" i="1"/>
  <c r="L53" i="1"/>
  <c r="L54" i="1"/>
  <c r="L47" i="1"/>
  <c r="J54" i="1"/>
  <c r="J53" i="1"/>
  <c r="J52" i="1"/>
  <c r="J51" i="1"/>
  <c r="J50" i="1"/>
  <c r="J49" i="1"/>
  <c r="J48" i="1"/>
  <c r="J47" i="1"/>
  <c r="L44" i="1"/>
  <c r="N37" i="1"/>
  <c r="O37" i="1" s="1"/>
  <c r="N36" i="1"/>
  <c r="O36" i="1" s="1"/>
  <c r="B36" i="1"/>
  <c r="L43" i="1"/>
  <c r="N43" i="1" s="1"/>
  <c r="L42" i="1"/>
  <c r="N42" i="1" s="1"/>
  <c r="L41" i="1"/>
  <c r="L40" i="1"/>
  <c r="N40" i="1" s="1"/>
  <c r="O40" i="1" s="1"/>
  <c r="L39" i="1"/>
  <c r="N39" i="1" s="1"/>
  <c r="L38" i="1"/>
  <c r="N38" i="1" s="1"/>
  <c r="O43" i="1" l="1"/>
  <c r="B43" i="1"/>
  <c r="O39" i="1"/>
  <c r="B39" i="1"/>
  <c r="N41" i="1"/>
  <c r="B41" i="1" s="1"/>
  <c r="B38" i="1"/>
  <c r="O38" i="1"/>
  <c r="B42" i="1"/>
  <c r="O42" i="1"/>
  <c r="B37" i="1"/>
  <c r="O41" i="1"/>
  <c r="N44" i="1"/>
  <c r="B40" i="1"/>
  <c r="O44" i="1" l="1"/>
  <c r="B44" i="1"/>
  <c r="J37" i="1" l="1"/>
  <c r="K37" i="1" s="1"/>
  <c r="C37" i="1" s="1"/>
  <c r="J38" i="1"/>
  <c r="J39" i="1"/>
  <c r="J40" i="1"/>
  <c r="J41" i="1"/>
  <c r="J42" i="1"/>
  <c r="J43" i="1"/>
  <c r="J44" i="1"/>
  <c r="J36" i="1"/>
  <c r="I37" i="1"/>
  <c r="I38" i="1"/>
  <c r="K38" i="1" s="1"/>
  <c r="C38" i="1" s="1"/>
  <c r="I39" i="1"/>
  <c r="I40" i="1"/>
  <c r="I42" i="1"/>
  <c r="K42" i="1" s="1"/>
  <c r="C42" i="1" s="1"/>
  <c r="I43" i="1"/>
  <c r="K43" i="1" s="1"/>
  <c r="C43" i="1" s="1"/>
  <c r="I44" i="1"/>
  <c r="I36" i="1"/>
  <c r="K36" i="1" s="1"/>
  <c r="C36" i="1" s="1"/>
  <c r="G41" i="1"/>
  <c r="I41" i="1" s="1"/>
  <c r="K40" i="1" l="1"/>
  <c r="C40" i="1" s="1"/>
  <c r="K41" i="1"/>
  <c r="C41" i="1" s="1"/>
  <c r="K39" i="1"/>
  <c r="C39" i="1" s="1"/>
  <c r="K44" i="1"/>
  <c r="C44" i="1" s="1"/>
  <c r="D33" i="1"/>
  <c r="D32" i="1"/>
  <c r="D31" i="1"/>
  <c r="D30" i="1"/>
  <c r="B30" i="1"/>
  <c r="D29" i="1"/>
  <c r="D28" i="1"/>
  <c r="D27" i="1"/>
  <c r="D26" i="1"/>
  <c r="D25" i="1"/>
</calcChain>
</file>

<file path=xl/sharedStrings.xml><?xml version="1.0" encoding="utf-8"?>
<sst xmlns="http://schemas.openxmlformats.org/spreadsheetml/2006/main" count="663" uniqueCount="347">
  <si>
    <t>Украина</t>
  </si>
  <si>
    <t>экспорт</t>
  </si>
  <si>
    <t>Россия</t>
  </si>
  <si>
    <t>Реализация (грн)</t>
  </si>
  <si>
    <t>Р.</t>
  </si>
  <si>
    <t>Реализация (дол)</t>
  </si>
  <si>
    <t>Реализация (т)</t>
  </si>
  <si>
    <t xml:space="preserve">закупка </t>
  </si>
  <si>
    <t>цена реализ.</t>
  </si>
  <si>
    <t>цена закуп.</t>
  </si>
  <si>
    <t>реал по ук</t>
  </si>
  <si>
    <t>кол-во</t>
  </si>
  <si>
    <t xml:space="preserve">реализация </t>
  </si>
  <si>
    <t>кол-во укр</t>
  </si>
  <si>
    <t>кол-во рос</t>
  </si>
  <si>
    <t>цена закупки - реализации в дол (расчет)</t>
  </si>
  <si>
    <t>цена закупки - реализации в дол Укр</t>
  </si>
  <si>
    <t>цена ук</t>
  </si>
  <si>
    <t>цена закупки - реализации в дол Рос</t>
  </si>
  <si>
    <t>закупка , т</t>
  </si>
  <si>
    <t>кол-во р.</t>
  </si>
  <si>
    <t>цена закупки - реализации</t>
  </si>
  <si>
    <t>цена зак.</t>
  </si>
  <si>
    <t xml:space="preserve">цена реализ. </t>
  </si>
  <si>
    <t>≥ 1000тыс.грн</t>
  </si>
  <si>
    <t>˂1000тыс.грн≥ 300тыс.грн</t>
  </si>
  <si>
    <t>˂300тыс.грн≥ 100тыс.грн</t>
  </si>
  <si>
    <t>˂100тыс.грн</t>
  </si>
  <si>
    <t>KRAUTER MIX(Герм.)</t>
  </si>
  <si>
    <t>Виола(Укр.)</t>
  </si>
  <si>
    <t>MARTIN BAUER(Польш.)</t>
  </si>
  <si>
    <t>Виола</t>
  </si>
  <si>
    <t>Экопродукт</t>
  </si>
  <si>
    <t>Орими</t>
  </si>
  <si>
    <t>Май</t>
  </si>
  <si>
    <t>БХФЗ</t>
  </si>
  <si>
    <t>Мономах</t>
  </si>
  <si>
    <t>Галычфарм</t>
  </si>
  <si>
    <t>Житом. ф.ф.</t>
  </si>
  <si>
    <t>Фитофарм</t>
  </si>
  <si>
    <t>Эйм</t>
  </si>
  <si>
    <t>ФБТ</t>
  </si>
  <si>
    <t>ГНЦЛС</t>
  </si>
  <si>
    <t>Здоровье</t>
  </si>
  <si>
    <t>Кормотех</t>
  </si>
  <si>
    <t>Любысток</t>
  </si>
  <si>
    <t>Соломия</t>
  </si>
  <si>
    <t xml:space="preserve">Пайпер </t>
  </si>
  <si>
    <t xml:space="preserve">Ямуна </t>
  </si>
  <si>
    <t>Ева Фито (Казахст.)</t>
  </si>
  <si>
    <t>SHAANHI JIAHE PH.(Китай)</t>
  </si>
  <si>
    <t>HERBARIA(Венгр.)</t>
  </si>
  <si>
    <t>Herbona (Чехия)</t>
  </si>
  <si>
    <t>JIA HERBS(Кит.)</t>
  </si>
  <si>
    <t xml:space="preserve">Зерде Фито (Казахст.) </t>
  </si>
  <si>
    <t>Франция, Herbissima</t>
  </si>
  <si>
    <t>Австрия, Wold Lend</t>
  </si>
  <si>
    <t>Испания,Euromed</t>
  </si>
  <si>
    <t>Китай, Tiangin Industrial</t>
  </si>
  <si>
    <t>Германия , MARTIN BAUER</t>
  </si>
  <si>
    <t>Китай, SHAANHI JIAHE PHITOCHEM</t>
  </si>
  <si>
    <t>Австрия,INDENA</t>
  </si>
  <si>
    <t>Америка,THE ORGANIC HERB TRADING UK</t>
  </si>
  <si>
    <t>КИТАЙ, BEIJIND GINDKO GROUP</t>
  </si>
  <si>
    <t>КИТАЙ, KEBBIOIECH</t>
  </si>
  <si>
    <t>Германия,Rose off</t>
  </si>
  <si>
    <t>Глобал Фарм</t>
  </si>
  <si>
    <t>Красногорск.л.с.</t>
  </si>
  <si>
    <t>Верофарм</t>
  </si>
  <si>
    <t>Тульская фф</t>
  </si>
  <si>
    <t>Вифитех</t>
  </si>
  <si>
    <t>Гиппократ</t>
  </si>
  <si>
    <t>Эвалар</t>
  </si>
  <si>
    <t>Хорст</t>
  </si>
  <si>
    <t>Хармс</t>
  </si>
  <si>
    <t>Пензен. Зав.</t>
  </si>
  <si>
    <t>Камелия</t>
  </si>
  <si>
    <t>Кировская фф</t>
  </si>
  <si>
    <t>Алвиз</t>
  </si>
  <si>
    <t>Имп.чай</t>
  </si>
  <si>
    <t>Кежо Фууд</t>
  </si>
  <si>
    <t>Мал Ком</t>
  </si>
  <si>
    <t>Унив.пищ.тех</t>
  </si>
  <si>
    <t>Органик Продукт</t>
  </si>
  <si>
    <t>Прайм</t>
  </si>
  <si>
    <t>Ладога</t>
  </si>
  <si>
    <t>Татхимфарм.</t>
  </si>
  <si>
    <t>Германия Heinricht Klenk  GmdH</t>
  </si>
  <si>
    <t>Китай, JIA HERBS</t>
  </si>
  <si>
    <t>ИСПАНИЯ "AMOROS"</t>
  </si>
  <si>
    <t>Италия INDENA</t>
  </si>
  <si>
    <t>Италия,  NATUREX</t>
  </si>
  <si>
    <t>2014г</t>
  </si>
  <si>
    <t>2015г</t>
  </si>
  <si>
    <t>2016г</t>
  </si>
  <si>
    <t>2017г</t>
  </si>
  <si>
    <t>реализовано, т</t>
  </si>
  <si>
    <t>закуплено, т</t>
  </si>
  <si>
    <t>остатки сырья на складах, т</t>
  </si>
  <si>
    <t xml:space="preserve">Импорт </t>
  </si>
  <si>
    <t>цена реализации</t>
  </si>
  <si>
    <t>цена закупки</t>
  </si>
  <si>
    <t>2018г</t>
  </si>
  <si>
    <t>цена укр.сырья</t>
  </si>
  <si>
    <t>цена импортн.сырья</t>
  </si>
  <si>
    <t>Российское</t>
  </si>
  <si>
    <t xml:space="preserve">Импортное </t>
  </si>
  <si>
    <t>Украинское</t>
  </si>
  <si>
    <t>динамика реализации, тыс.дол</t>
  </si>
  <si>
    <t>Лексырье( Здоровье)</t>
  </si>
  <si>
    <t>Ровенская ПК</t>
  </si>
  <si>
    <t xml:space="preserve">Инто Укр. </t>
  </si>
  <si>
    <t>Океан вкуса</t>
  </si>
  <si>
    <t>Ивамакс</t>
  </si>
  <si>
    <t>Экорганик</t>
  </si>
  <si>
    <t>наростили объемы , тыс грн</t>
  </si>
  <si>
    <t>Лекрасет</t>
  </si>
  <si>
    <t xml:space="preserve">Техн.та обладн. </t>
  </si>
  <si>
    <t xml:space="preserve">Украина </t>
  </si>
  <si>
    <t xml:space="preserve">Виола </t>
  </si>
  <si>
    <t>Укрмедфарм</t>
  </si>
  <si>
    <t>Ровенская продкомп</t>
  </si>
  <si>
    <t xml:space="preserve">Пайпер Украина </t>
  </si>
  <si>
    <t>Техника и обладн.(Медео)</t>
  </si>
  <si>
    <t>Инто Украина</t>
  </si>
  <si>
    <t>Виларус</t>
  </si>
  <si>
    <t>Лектравы ЗАО</t>
  </si>
  <si>
    <t>Лубныфарм</t>
  </si>
  <si>
    <t>Агросельпром</t>
  </si>
  <si>
    <t>Житомирская фф</t>
  </si>
  <si>
    <t>Киевмедпрепараты</t>
  </si>
  <si>
    <t>Фармак</t>
  </si>
  <si>
    <t>Эс Джи продакшн/Юнити 90</t>
  </si>
  <si>
    <t>17-22гг</t>
  </si>
  <si>
    <t>Ти Трейд/Орими/Эксимтред</t>
  </si>
  <si>
    <t>MARTIN BAUER</t>
  </si>
  <si>
    <t>Польша</t>
  </si>
  <si>
    <t>Италия</t>
  </si>
  <si>
    <t>KRAUTER MIX</t>
  </si>
  <si>
    <t>Германия</t>
  </si>
  <si>
    <t>Рин Карго</t>
  </si>
  <si>
    <t>Латвия</t>
  </si>
  <si>
    <t>"EUROMED"</t>
  </si>
  <si>
    <t>Испания</t>
  </si>
  <si>
    <t>BIONORICA  SE</t>
  </si>
  <si>
    <t>PMA 28</t>
  </si>
  <si>
    <t>Франция</t>
  </si>
  <si>
    <t>Биоингридиентс</t>
  </si>
  <si>
    <t>Spider GROUP</t>
  </si>
  <si>
    <t>Хорватия</t>
  </si>
  <si>
    <t>IRA-999</t>
  </si>
  <si>
    <t>Болгария</t>
  </si>
  <si>
    <t>JIA HERBS</t>
  </si>
  <si>
    <t>Китай</t>
  </si>
  <si>
    <t>Зерде Фито</t>
  </si>
  <si>
    <t>Казахстан</t>
  </si>
  <si>
    <t>Medaro SRL</t>
  </si>
  <si>
    <t>Бельгия</t>
  </si>
  <si>
    <t>Halssen &amp; Lyon</t>
  </si>
  <si>
    <t>FILIPI  COMPANY</t>
  </si>
  <si>
    <t>Албания</t>
  </si>
  <si>
    <t>HERBONA</t>
  </si>
  <si>
    <t>Чехия</t>
  </si>
  <si>
    <t>Innopha GmdH</t>
  </si>
  <si>
    <t>Natas</t>
  </si>
  <si>
    <t>HIMALAYA HERBS</t>
  </si>
  <si>
    <t>Индия</t>
  </si>
  <si>
    <t>EVEAR Extraction</t>
  </si>
  <si>
    <t>Herbaria</t>
  </si>
  <si>
    <t>Венгрия</t>
  </si>
  <si>
    <t>Rose office</t>
  </si>
  <si>
    <t>INDENA</t>
  </si>
  <si>
    <t>Хербар  р.</t>
  </si>
  <si>
    <t>MATHEO</t>
  </si>
  <si>
    <t>Dary Natury</t>
  </si>
  <si>
    <t>Bioprogramme Co</t>
  </si>
  <si>
    <t>NATUREX</t>
  </si>
  <si>
    <t>Heinrich  Klenk  GmdH</t>
  </si>
  <si>
    <t>Mushrooms Latvia</t>
  </si>
  <si>
    <t>Flavex Nat.</t>
  </si>
  <si>
    <t>Белмедпрепараты</t>
  </si>
  <si>
    <t>Белорусь</t>
  </si>
  <si>
    <t>NINGBO Beilun Excare Pharma-tech</t>
  </si>
  <si>
    <t>PLAMECA</t>
  </si>
  <si>
    <t>Nature Remedies SP Z.O. O</t>
  </si>
  <si>
    <t>KOTTAS PHARMA</t>
  </si>
  <si>
    <t>Австрия</t>
  </si>
  <si>
    <t>Herba-Flora</t>
  </si>
  <si>
    <t>Азербайджан</t>
  </si>
  <si>
    <t>Holger Senger Naturrohstoffe</t>
  </si>
  <si>
    <t xml:space="preserve">Германия </t>
  </si>
  <si>
    <t>Naturactiva S.r.L.</t>
  </si>
  <si>
    <t>SHAANXI JIAHE PHYTOCHEM</t>
  </si>
  <si>
    <t>Huisong Pharm</t>
  </si>
  <si>
    <t>США</t>
  </si>
  <si>
    <t xml:space="preserve">Борисов </t>
  </si>
  <si>
    <t>Ева Фито</t>
  </si>
  <si>
    <t>Азерсун</t>
  </si>
  <si>
    <t>GDG</t>
  </si>
  <si>
    <t>Англия</t>
  </si>
  <si>
    <t>Quest Nutra Pharma</t>
  </si>
  <si>
    <t>RANSOM</t>
  </si>
  <si>
    <t>Грузия</t>
  </si>
  <si>
    <t>Фаркони</t>
  </si>
  <si>
    <t xml:space="preserve">Сербия </t>
  </si>
  <si>
    <t>Melissae Farm</t>
  </si>
  <si>
    <t>Nubilu Sent</t>
  </si>
  <si>
    <t>Bioteemanufaktur</t>
  </si>
  <si>
    <t xml:space="preserve"> Agrimed Hessen</t>
  </si>
  <si>
    <t xml:space="preserve"> Everton</t>
  </si>
  <si>
    <t>HERBIMAR</t>
  </si>
  <si>
    <t>Вифитекс</t>
  </si>
  <si>
    <t>Императорский чай</t>
  </si>
  <si>
    <t>Грин</t>
  </si>
  <si>
    <t>12.0</t>
  </si>
  <si>
    <t>Универс. пищевые технологии</t>
  </si>
  <si>
    <t>КДВ групп</t>
  </si>
  <si>
    <t>ЛЕЛС ОДО</t>
  </si>
  <si>
    <t>Фитофарм ПКФ</t>
  </si>
  <si>
    <t>Кежо фуудс</t>
  </si>
  <si>
    <t>Наследие юга</t>
  </si>
  <si>
    <t>Ярославская чаеразвес.ф-ка</t>
  </si>
  <si>
    <t>Ярославльская ф.ф.</t>
  </si>
  <si>
    <t>Камелия ЛТ ООО</t>
  </si>
  <si>
    <t>Бета –Гида ООО</t>
  </si>
  <si>
    <t>Тульская ф.ф.</t>
  </si>
  <si>
    <t>БЭГРИФ ООО</t>
  </si>
  <si>
    <t>ТД Иван Чайкин</t>
  </si>
  <si>
    <t>Гербатика</t>
  </si>
  <si>
    <t>Май фудс</t>
  </si>
  <si>
    <t>ТД Холдинг ООО</t>
  </si>
  <si>
    <t>Алвиз АО</t>
  </si>
  <si>
    <t>Ивановская фф</t>
  </si>
  <si>
    <t>Санти ООО</t>
  </si>
  <si>
    <t>Чайный базар</t>
  </si>
  <si>
    <t>Вистерра</t>
  </si>
  <si>
    <t>Хармс ООО</t>
  </si>
  <si>
    <t>Ти компани</t>
  </si>
  <si>
    <t>Флор Кавказа</t>
  </si>
  <si>
    <t>Мал ком ООО</t>
  </si>
  <si>
    <t>Тверская фф</t>
  </si>
  <si>
    <t>Витамин продукт</t>
  </si>
  <si>
    <t>Ульянов С.В</t>
  </si>
  <si>
    <t>Органик продукт</t>
  </si>
  <si>
    <t>БИОК</t>
  </si>
  <si>
    <t>Фармгрупп ООО</t>
  </si>
  <si>
    <t>Инкорт</t>
  </si>
  <si>
    <t>ООО Симфония</t>
  </si>
  <si>
    <t>Виватон</t>
  </si>
  <si>
    <t>Кубань ти</t>
  </si>
  <si>
    <t>Эклипта ООО</t>
  </si>
  <si>
    <t>Артлайф ООО</t>
  </si>
  <si>
    <t>Московская фф</t>
  </si>
  <si>
    <t>Арт импекс</t>
  </si>
  <si>
    <t>Бомбал Н.В</t>
  </si>
  <si>
    <t>ТОО «AlmatyAgroExport»</t>
  </si>
  <si>
    <t>Гифт ООО</t>
  </si>
  <si>
    <t>Империя чая</t>
  </si>
  <si>
    <t>Фабрика чая ПТК ООО</t>
  </si>
  <si>
    <t>Объед.пензен. водочные заводы</t>
  </si>
  <si>
    <t>Эколаб</t>
  </si>
  <si>
    <t>Синергия</t>
  </si>
  <si>
    <t>Грин,Эг</t>
  </si>
  <si>
    <t>Биокор</t>
  </si>
  <si>
    <t>Биолит</t>
  </si>
  <si>
    <t>Здоровье/Лексырье</t>
  </si>
  <si>
    <t>ИП Шакарян</t>
  </si>
  <si>
    <t>А-Трейд</t>
  </si>
  <si>
    <t>Богатель</t>
  </si>
  <si>
    <t>Иван-чай ЗАО/Глобал/Стихин</t>
  </si>
  <si>
    <t>ЭГ/грин</t>
  </si>
  <si>
    <t>ТЭС</t>
  </si>
  <si>
    <t>Сибирская сила</t>
  </si>
  <si>
    <t xml:space="preserve">Обновление ПФК </t>
  </si>
  <si>
    <t>Би энд БИ Логистик</t>
  </si>
  <si>
    <t>Натур.продукты</t>
  </si>
  <si>
    <t>Биомед</t>
  </si>
  <si>
    <t>РЧК Трейдинг</t>
  </si>
  <si>
    <t>Свир</t>
  </si>
  <si>
    <t>Красногорсклексредства</t>
  </si>
  <si>
    <t>Чигидин</t>
  </si>
  <si>
    <t>Сигма (Верный рецепт,Ника, парафарм, Гамма)</t>
  </si>
  <si>
    <t xml:space="preserve">Укрмедфарм </t>
  </si>
  <si>
    <t xml:space="preserve">Эс джи </t>
  </si>
  <si>
    <t>EUROMED(Исп)</t>
  </si>
  <si>
    <t xml:space="preserve">Зерде Фито (Каз.) </t>
  </si>
  <si>
    <t>FILIPI (Алб.)</t>
  </si>
  <si>
    <t>Mаrtin Bauer(Польш.)</t>
  </si>
  <si>
    <t>Mаrtin Bauer (Итал)</t>
  </si>
  <si>
    <t>укр</t>
  </si>
  <si>
    <t xml:space="preserve">ЛС </t>
  </si>
  <si>
    <t>чай</t>
  </si>
  <si>
    <t>спец</t>
  </si>
  <si>
    <t>итого</t>
  </si>
  <si>
    <t>доход</t>
  </si>
  <si>
    <t>сс</t>
  </si>
  <si>
    <t>цена зак</t>
  </si>
  <si>
    <t>ср цена</t>
  </si>
  <si>
    <t>реализ</t>
  </si>
  <si>
    <t>закупки</t>
  </si>
  <si>
    <t>марж приб</t>
  </si>
  <si>
    <t>рент</t>
  </si>
  <si>
    <t>рос</t>
  </si>
  <si>
    <t>ЛС</t>
  </si>
  <si>
    <t>Чай</t>
  </si>
  <si>
    <t>Специи</t>
  </si>
  <si>
    <t>фармацевтические</t>
  </si>
  <si>
    <t>чайные</t>
  </si>
  <si>
    <t>продовольствие, специи</t>
  </si>
  <si>
    <t>алкогольные</t>
  </si>
  <si>
    <t>торговые</t>
  </si>
  <si>
    <t>физлица,фермерские хоз.</t>
  </si>
  <si>
    <t xml:space="preserve">эвкалипт </t>
  </si>
  <si>
    <t>т.</t>
  </si>
  <si>
    <t>ромашка</t>
  </si>
  <si>
    <t>пищевые</t>
  </si>
  <si>
    <t>частные предпр., ФХ</t>
  </si>
  <si>
    <t>корма животным</t>
  </si>
  <si>
    <t>косметические</t>
  </si>
  <si>
    <t>липа</t>
  </si>
  <si>
    <t>чабрец</t>
  </si>
  <si>
    <t>бессмерт</t>
  </si>
  <si>
    <t xml:space="preserve">пустырник </t>
  </si>
  <si>
    <t xml:space="preserve">шалфей </t>
  </si>
  <si>
    <t>крапива</t>
  </si>
  <si>
    <t>эхинацея трава</t>
  </si>
  <si>
    <t>дуб кора</t>
  </si>
  <si>
    <t>зверобой</t>
  </si>
  <si>
    <t>подорожник</t>
  </si>
  <si>
    <t>чистотел</t>
  </si>
  <si>
    <t xml:space="preserve">Динамика  маржинальной прибыли   по  направлениям </t>
  </si>
  <si>
    <t>Лексырье</t>
  </si>
  <si>
    <t xml:space="preserve">Чай </t>
  </si>
  <si>
    <t>фармацевт.</t>
  </si>
  <si>
    <t xml:space="preserve">чайные </t>
  </si>
  <si>
    <t>алкогольн.</t>
  </si>
  <si>
    <t>частные лица и ФХ</t>
  </si>
  <si>
    <t xml:space="preserve">алкогольные </t>
  </si>
  <si>
    <t>Ереван</t>
  </si>
  <si>
    <t>Румыния</t>
  </si>
  <si>
    <t>Корея</t>
  </si>
  <si>
    <t>Литва</t>
  </si>
  <si>
    <t>Молдова</t>
  </si>
  <si>
    <t>до1года</t>
  </si>
  <si>
    <t>до 2лет</t>
  </si>
  <si>
    <t>свыше 2 лет</t>
  </si>
  <si>
    <t>неизвестно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</si>
</sst>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-* #,##0.00_р_._-;\-* #,##0.00_р_._-;_-* &quot;-&quot;??_р_._-;_-@_-"/>
    <numFmt numFmtId="164" formatCode="0.0"/>
    <numFmt numFmtId="165" formatCode="_-* #,##0.0\ _₽_-;\-* #,##0.0\ _₽_-;_-* &quot;-&quot;??\ _₽_-;_-@_-"/>
    <numFmt numFmtId="166" formatCode="_-* #,##0\ _₽_-;\-* #,##0\ _₽_-;_-* &quot;-&quot;??\ _₽_-;_-@_-"/>
    <numFmt numFmtId="167" formatCode="0.0%"/>
  </numFmts>
  <fonts count="22" x14ac:knownFonts="1">
    <font>
      <sz val="14"/>
      <color theme="1"/>
      <name val="Times New Roman"/>
      <family val="2"/>
      <charset val="204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2"/>
      <charset val="204"/>
    </font>
    <font>
      <sz val="14"/>
      <color rgb="FFFF0000"/>
      <name val="Times New Roman"/>
      <family val="2"/>
      <charset val="204"/>
    </font>
    <font>
      <sz val="14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4"/>
      <name val="Times New Roman"/>
      <family val="2"/>
      <charset val="204"/>
    </font>
    <font>
      <sz val="12"/>
      <color theme="1"/>
      <name val="Times New Roman"/>
      <family val="2"/>
      <charset val="204"/>
    </font>
    <font>
      <sz val="12"/>
      <name val="Times New Roman"/>
      <family val="2"/>
      <charset val="204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4"/>
      <name val="Times New Roman"/>
      <family val="2"/>
      <charset val="204"/>
    </font>
    <font>
      <b/>
      <sz val="12"/>
      <name val="Times New Roman"/>
      <family val="2"/>
      <charset val="204"/>
    </font>
    <font>
      <i/>
      <sz val="12"/>
      <color theme="1"/>
      <name val="Times New Roman"/>
      <family val="1"/>
      <charset val="204"/>
    </font>
    <font>
      <sz val="12"/>
      <color rgb="FF984806"/>
      <name val="Times New Roman"/>
      <family val="1"/>
      <charset val="204"/>
    </font>
    <font>
      <i/>
      <sz val="12"/>
      <color rgb="FF984806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color theme="6" tint="-0.249977111117893"/>
      <name val="Times New Roman"/>
      <family val="2"/>
      <charset val="204"/>
    </font>
    <font>
      <sz val="12"/>
      <color rgb="FFFF0000"/>
      <name val="Times New Roman"/>
      <family val="2"/>
      <charset val="204"/>
    </font>
  </fonts>
  <fills count="10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156">
    <xf numFmtId="0" fontId="0" fillId="0" borderId="0" xfId="0"/>
    <xf numFmtId="0" fontId="0" fillId="0" borderId="0" xfId="0" applyAlignment="1">
      <alignment horizontal="left"/>
    </xf>
    <xf numFmtId="0" fontId="0" fillId="0" borderId="1" xfId="0" applyBorder="1" applyAlignment="1">
      <alignment horizontal="left"/>
    </xf>
    <xf numFmtId="0" fontId="0" fillId="0" borderId="1" xfId="0" applyBorder="1"/>
    <xf numFmtId="1" fontId="0" fillId="0" borderId="1" xfId="0" applyNumberFormat="1" applyBorder="1"/>
    <xf numFmtId="164" fontId="0" fillId="0" borderId="1" xfId="0" applyNumberFormat="1" applyBorder="1"/>
    <xf numFmtId="0" fontId="0" fillId="2" borderId="1" xfId="0" applyFill="1" applyBorder="1"/>
    <xf numFmtId="0" fontId="1" fillId="0" borderId="0" xfId="0" applyFont="1"/>
    <xf numFmtId="2" fontId="0" fillId="0" borderId="1" xfId="0" applyNumberFormat="1" applyBorder="1"/>
    <xf numFmtId="2" fontId="0" fillId="2" borderId="1" xfId="0" applyNumberFormat="1" applyFill="1" applyBorder="1"/>
    <xf numFmtId="0" fontId="4" fillId="0" borderId="0" xfId="0" applyFont="1"/>
    <xf numFmtId="0" fontId="0" fillId="0" borderId="1" xfId="0" applyFill="1" applyBorder="1"/>
    <xf numFmtId="0" fontId="0" fillId="0" borderId="1" xfId="0" applyFill="1" applyBorder="1" applyAlignment="1">
      <alignment horizontal="center"/>
    </xf>
    <xf numFmtId="0" fontId="0" fillId="0" borderId="1" xfId="0" applyFill="1" applyBorder="1" applyAlignment="1">
      <alignment wrapText="1"/>
    </xf>
    <xf numFmtId="165" fontId="5" fillId="0" borderId="1" xfId="1" applyNumberFormat="1" applyFont="1" applyFill="1" applyBorder="1" applyAlignment="1">
      <alignment horizontal="center"/>
    </xf>
    <xf numFmtId="1" fontId="0" fillId="0" borderId="1" xfId="0" applyNumberFormat="1" applyFill="1" applyBorder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Border="1"/>
    <xf numFmtId="1" fontId="0" fillId="0" borderId="0" xfId="0" applyNumberFormat="1" applyBorder="1"/>
    <xf numFmtId="0" fontId="0" fillId="0" borderId="2" xfId="0" applyBorder="1"/>
    <xf numFmtId="0" fontId="0" fillId="0" borderId="3" xfId="0" applyBorder="1"/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5" xfId="0" applyBorder="1" applyAlignment="1">
      <alignment horizontal="center"/>
    </xf>
    <xf numFmtId="0" fontId="6" fillId="0" borderId="1" xfId="0" applyFont="1" applyFill="1" applyBorder="1"/>
    <xf numFmtId="0" fontId="6" fillId="0" borderId="1" xfId="0" applyFont="1" applyFill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0" xfId="0" applyFont="1"/>
    <xf numFmtId="164" fontId="0" fillId="0" borderId="1" xfId="0" applyNumberFormat="1" applyFill="1" applyBorder="1" applyAlignment="1">
      <alignment horizontal="center"/>
    </xf>
    <xf numFmtId="0" fontId="0" fillId="0" borderId="0" xfId="0" applyFill="1" applyBorder="1"/>
    <xf numFmtId="165" fontId="5" fillId="0" borderId="0" xfId="1" applyNumberFormat="1" applyFon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1" fontId="0" fillId="0" borderId="1" xfId="0" applyNumberFormat="1" applyFill="1" applyBorder="1" applyAlignment="1"/>
    <xf numFmtId="0" fontId="0" fillId="0" borderId="0" xfId="0" applyFill="1"/>
    <xf numFmtId="1" fontId="5" fillId="0" borderId="1" xfId="1" applyNumberFormat="1" applyFont="1" applyFill="1" applyBorder="1" applyAlignment="1"/>
    <xf numFmtId="1" fontId="5" fillId="0" borderId="5" xfId="1" applyNumberFormat="1" applyFont="1" applyFill="1" applyBorder="1" applyAlignment="1"/>
    <xf numFmtId="1" fontId="0" fillId="0" borderId="5" xfId="0" applyNumberFormat="1" applyFill="1" applyBorder="1" applyAlignment="1">
      <alignment horizontal="center"/>
    </xf>
    <xf numFmtId="166" fontId="5" fillId="0" borderId="1" xfId="1" applyNumberFormat="1" applyFont="1" applyFill="1" applyBorder="1" applyAlignment="1">
      <alignment horizontal="center"/>
    </xf>
    <xf numFmtId="0" fontId="0" fillId="0" borderId="5" xfId="0" applyFill="1" applyBorder="1" applyAlignment="1">
      <alignment wrapText="1"/>
    </xf>
    <xf numFmtId="165" fontId="5" fillId="0" borderId="5" xfId="1" applyNumberFormat="1" applyFont="1" applyFill="1" applyBorder="1" applyAlignment="1">
      <alignment horizontal="center"/>
    </xf>
    <xf numFmtId="0" fontId="0" fillId="0" borderId="5" xfId="0" applyFill="1" applyBorder="1"/>
    <xf numFmtId="0" fontId="0" fillId="2" borderId="5" xfId="0" applyFill="1" applyBorder="1"/>
    <xf numFmtId="0" fontId="0" fillId="3" borderId="1" xfId="0" applyFill="1" applyBorder="1"/>
    <xf numFmtId="0" fontId="0" fillId="3" borderId="1" xfId="0" applyFill="1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1" fontId="0" fillId="0" borderId="1" xfId="0" applyNumberFormat="1" applyBorder="1" applyAlignment="1">
      <alignment horizontal="center"/>
    </xf>
    <xf numFmtId="0" fontId="0" fillId="4" borderId="1" xfId="0" applyFill="1" applyBorder="1"/>
    <xf numFmtId="0" fontId="0" fillId="5" borderId="1" xfId="0" applyFill="1" applyBorder="1"/>
    <xf numFmtId="0" fontId="0" fillId="5" borderId="1" xfId="0" applyFill="1" applyBorder="1" applyAlignment="1">
      <alignment horizontal="center"/>
    </xf>
    <xf numFmtId="164" fontId="0" fillId="0" borderId="0" xfId="0" applyNumberFormat="1"/>
    <xf numFmtId="1" fontId="0" fillId="0" borderId="0" xfId="0" applyNumberFormat="1"/>
    <xf numFmtId="0" fontId="3" fillId="0" borderId="1" xfId="0" applyFont="1" applyFill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1" fontId="3" fillId="0" borderId="5" xfId="0" applyNumberFormat="1" applyFont="1" applyFill="1" applyBorder="1" applyAlignment="1">
      <alignment horizontal="center"/>
    </xf>
    <xf numFmtId="0" fontId="7" fillId="0" borderId="1" xfId="0" applyFont="1" applyFill="1" applyBorder="1" applyAlignment="1">
      <alignment horizontal="center"/>
    </xf>
    <xf numFmtId="1" fontId="7" fillId="0" borderId="1" xfId="0" applyNumberFormat="1" applyFont="1" applyFill="1" applyBorder="1" applyAlignment="1">
      <alignment horizontal="center"/>
    </xf>
    <xf numFmtId="0" fontId="8" fillId="0" borderId="1" xfId="0" applyFont="1" applyFill="1" applyBorder="1"/>
    <xf numFmtId="0" fontId="8" fillId="0" borderId="1" xfId="0" applyFont="1" applyFill="1" applyBorder="1" applyAlignment="1">
      <alignment horizontal="center"/>
    </xf>
    <xf numFmtId="0" fontId="9" fillId="0" borderId="1" xfId="0" applyFont="1" applyFill="1" applyBorder="1" applyAlignment="1">
      <alignment horizontal="center"/>
    </xf>
    <xf numFmtId="1" fontId="8" fillId="0" borderId="1" xfId="0" applyNumberFormat="1" applyFont="1" applyFill="1" applyBorder="1"/>
    <xf numFmtId="0" fontId="8" fillId="0" borderId="1" xfId="0" applyFont="1" applyFill="1" applyBorder="1" applyAlignment="1">
      <alignment wrapText="1"/>
    </xf>
    <xf numFmtId="165" fontId="10" fillId="0" borderId="1" xfId="1" applyNumberFormat="1" applyFont="1" applyFill="1" applyBorder="1" applyAlignment="1">
      <alignment horizontal="center"/>
    </xf>
    <xf numFmtId="1" fontId="8" fillId="0" borderId="1" xfId="0" applyNumberFormat="1" applyFont="1" applyFill="1" applyBorder="1" applyAlignment="1">
      <alignment horizontal="center"/>
    </xf>
    <xf numFmtId="1" fontId="9" fillId="0" borderId="1" xfId="0" applyNumberFormat="1" applyFont="1" applyFill="1" applyBorder="1" applyAlignment="1">
      <alignment horizontal="center"/>
    </xf>
    <xf numFmtId="166" fontId="11" fillId="0" borderId="1" xfId="1" applyNumberFormat="1" applyFont="1" applyFill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0" fillId="0" borderId="6" xfId="0" applyBorder="1"/>
    <xf numFmtId="0" fontId="0" fillId="0" borderId="7" xfId="0" applyBorder="1"/>
    <xf numFmtId="164" fontId="0" fillId="0" borderId="7" xfId="0" applyNumberFormat="1" applyBorder="1"/>
    <xf numFmtId="1" fontId="0" fillId="0" borderId="7" xfId="0" applyNumberFormat="1" applyBorder="1"/>
    <xf numFmtId="0" fontId="0" fillId="0" borderId="8" xfId="0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3" fillId="0" borderId="0" xfId="0" applyFont="1" applyBorder="1" applyAlignment="1">
      <alignment horizontal="center"/>
    </xf>
    <xf numFmtId="1" fontId="3" fillId="0" borderId="1" xfId="0" applyNumberFormat="1" applyFont="1" applyBorder="1"/>
    <xf numFmtId="0" fontId="3" fillId="0" borderId="1" xfId="0" applyFont="1" applyBorder="1"/>
    <xf numFmtId="0" fontId="7" fillId="0" borderId="1" xfId="0" applyFont="1" applyBorder="1"/>
    <xf numFmtId="1" fontId="7" fillId="0" borderId="1" xfId="0" applyNumberFormat="1" applyFont="1" applyBorder="1"/>
    <xf numFmtId="0" fontId="7" fillId="2" borderId="1" xfId="0" applyFont="1" applyFill="1" applyBorder="1"/>
    <xf numFmtId="0" fontId="7" fillId="0" borderId="1" xfId="0" applyFont="1" applyFill="1" applyBorder="1"/>
    <xf numFmtId="0" fontId="7" fillId="0" borderId="0" xfId="0" applyFont="1"/>
    <xf numFmtId="0" fontId="13" fillId="2" borderId="1" xfId="0" applyFont="1" applyFill="1" applyBorder="1" applyAlignment="1">
      <alignment horizontal="center"/>
    </xf>
    <xf numFmtId="0" fontId="7" fillId="5" borderId="1" xfId="0" applyFont="1" applyFill="1" applyBorder="1"/>
    <xf numFmtId="0" fontId="13" fillId="0" borderId="0" xfId="0" applyFont="1"/>
    <xf numFmtId="0" fontId="9" fillId="0" borderId="1" xfId="0" applyFont="1" applyBorder="1" applyAlignment="1">
      <alignment vertical="center" wrapText="1"/>
    </xf>
    <xf numFmtId="0" fontId="9" fillId="0" borderId="9" xfId="0" applyFont="1" applyBorder="1" applyAlignment="1">
      <alignment vertical="center" wrapText="1"/>
    </xf>
    <xf numFmtId="0" fontId="13" fillId="0" borderId="0" xfId="0" applyFont="1" applyAlignment="1">
      <alignment horizontal="left"/>
    </xf>
    <xf numFmtId="0" fontId="13" fillId="2" borderId="1" xfId="0" applyFont="1" applyFill="1" applyBorder="1" applyAlignment="1">
      <alignment horizontal="left"/>
    </xf>
    <xf numFmtId="0" fontId="13" fillId="0" borderId="1" xfId="0" applyFont="1" applyBorder="1" applyAlignment="1">
      <alignment horizontal="left"/>
    </xf>
    <xf numFmtId="0" fontId="14" fillId="0" borderId="1" xfId="0" applyFont="1" applyBorder="1" applyAlignment="1">
      <alignment horizontal="left" vertical="center" wrapText="1"/>
    </xf>
    <xf numFmtId="0" fontId="12" fillId="0" borderId="1" xfId="0" applyFont="1" applyBorder="1"/>
    <xf numFmtId="0" fontId="9" fillId="0" borderId="0" xfId="0" applyFont="1" applyBorder="1" applyAlignment="1">
      <alignment vertical="center" wrapText="1"/>
    </xf>
    <xf numFmtId="0" fontId="9" fillId="0" borderId="1" xfId="0" applyFont="1" applyBorder="1"/>
    <xf numFmtId="0" fontId="18" fillId="2" borderId="1" xfId="0" applyFont="1" applyFill="1" applyBorder="1" applyAlignment="1">
      <alignment horizontal="center" vertical="center" wrapText="1"/>
    </xf>
    <xf numFmtId="0" fontId="18" fillId="5" borderId="1" xfId="0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12" fillId="0" borderId="1" xfId="0" applyFont="1" applyFill="1" applyBorder="1" applyAlignment="1">
      <alignment vertical="center" wrapText="1"/>
    </xf>
    <xf numFmtId="0" fontId="15" fillId="0" borderId="1" xfId="0" applyFont="1" applyFill="1" applyBorder="1" applyAlignment="1">
      <alignment vertical="center" wrapText="1"/>
    </xf>
    <xf numFmtId="0" fontId="16" fillId="0" borderId="1" xfId="0" applyFont="1" applyFill="1" applyBorder="1" applyAlignment="1">
      <alignment vertical="center" wrapText="1"/>
    </xf>
    <xf numFmtId="0" fontId="17" fillId="0" borderId="1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7" fillId="5" borderId="1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/>
    </xf>
    <xf numFmtId="0" fontId="19" fillId="0" borderId="1" xfId="0" applyFont="1" applyBorder="1"/>
    <xf numFmtId="0" fontId="19" fillId="0" borderId="1" xfId="0" applyFont="1" applyBorder="1" applyAlignment="1">
      <alignment horizontal="center"/>
    </xf>
    <xf numFmtId="0" fontId="6" fillId="6" borderId="1" xfId="0" applyFont="1" applyFill="1" applyBorder="1" applyAlignment="1">
      <alignment vertical="center" wrapText="1"/>
    </xf>
    <xf numFmtId="0" fontId="15" fillId="6" borderId="1" xfId="0" applyFont="1" applyFill="1" applyBorder="1" applyAlignment="1">
      <alignment vertical="center" wrapText="1"/>
    </xf>
    <xf numFmtId="1" fontId="0" fillId="0" borderId="1" xfId="0" applyNumberFormat="1" applyFill="1" applyBorder="1"/>
    <xf numFmtId="0" fontId="7" fillId="6" borderId="1" xfId="0" applyFont="1" applyFill="1" applyBorder="1"/>
    <xf numFmtId="0" fontId="7" fillId="7" borderId="1" xfId="0" applyFont="1" applyFill="1" applyBorder="1"/>
    <xf numFmtId="0" fontId="7" fillId="8" borderId="1" xfId="0" applyFont="1" applyFill="1" applyBorder="1"/>
    <xf numFmtId="0" fontId="20" fillId="0" borderId="1" xfId="0" applyFont="1" applyBorder="1"/>
    <xf numFmtId="164" fontId="0" fillId="0" borderId="0" xfId="0" applyNumberFormat="1" applyFill="1" applyBorder="1" applyAlignment="1">
      <alignment horizontal="center"/>
    </xf>
    <xf numFmtId="0" fontId="0" fillId="5" borderId="0" xfId="0" applyFill="1"/>
    <xf numFmtId="0" fontId="9" fillId="5" borderId="0" xfId="0" applyFont="1" applyFill="1"/>
    <xf numFmtId="0" fontId="21" fillId="5" borderId="0" xfId="0" applyFont="1" applyFill="1"/>
    <xf numFmtId="0" fontId="21" fillId="0" borderId="0" xfId="0" applyFont="1"/>
    <xf numFmtId="0" fontId="21" fillId="0" borderId="1" xfId="0" applyFont="1" applyBorder="1"/>
    <xf numFmtId="0" fontId="0" fillId="2" borderId="0" xfId="0" applyFill="1"/>
    <xf numFmtId="0" fontId="9" fillId="0" borderId="0" xfId="0" applyFont="1"/>
    <xf numFmtId="0" fontId="9" fillId="0" borderId="0" xfId="0" applyFont="1" applyFill="1" applyBorder="1"/>
    <xf numFmtId="0" fontId="9" fillId="2" borderId="0" xfId="0" applyFont="1" applyFill="1"/>
    <xf numFmtId="0" fontId="21" fillId="0" borderId="0" xfId="0" applyFont="1" applyFill="1"/>
    <xf numFmtId="0" fontId="9" fillId="0" borderId="0" xfId="0" applyFont="1" applyFill="1"/>
    <xf numFmtId="0" fontId="0" fillId="9" borderId="1" xfId="0" applyFill="1" applyBorder="1"/>
    <xf numFmtId="0" fontId="9" fillId="9" borderId="1" xfId="0" applyFont="1" applyFill="1" applyBorder="1"/>
    <xf numFmtId="0" fontId="0" fillId="9" borderId="0" xfId="0" applyFill="1"/>
    <xf numFmtId="10" fontId="0" fillId="9" borderId="0" xfId="0" applyNumberFormat="1" applyFill="1"/>
    <xf numFmtId="0" fontId="21" fillId="9" borderId="1" xfId="0" applyFont="1" applyFill="1" applyBorder="1"/>
    <xf numFmtId="1" fontId="9" fillId="9" borderId="1" xfId="0" applyNumberFormat="1" applyFont="1" applyFill="1" applyBorder="1"/>
    <xf numFmtId="167" fontId="9" fillId="9" borderId="1" xfId="0" applyNumberFormat="1" applyFont="1" applyFill="1" applyBorder="1"/>
    <xf numFmtId="164" fontId="9" fillId="9" borderId="1" xfId="0" applyNumberFormat="1" applyFont="1" applyFill="1" applyBorder="1"/>
    <xf numFmtId="10" fontId="9" fillId="9" borderId="1" xfId="0" applyNumberFormat="1" applyFont="1" applyFill="1" applyBorder="1"/>
    <xf numFmtId="164" fontId="0" fillId="9" borderId="0" xfId="0" applyNumberFormat="1" applyFill="1"/>
    <xf numFmtId="2" fontId="9" fillId="9" borderId="1" xfId="0" applyNumberFormat="1" applyFont="1" applyFill="1" applyBorder="1"/>
    <xf numFmtId="10" fontId="21" fillId="9" borderId="1" xfId="0" applyNumberFormat="1" applyFont="1" applyFill="1" applyBorder="1"/>
    <xf numFmtId="1" fontId="0" fillId="9" borderId="0" xfId="0" applyNumberFormat="1" applyFill="1"/>
    <xf numFmtId="0" fontId="3" fillId="0" borderId="0" xfId="0" applyFont="1"/>
    <xf numFmtId="0" fontId="3" fillId="9" borderId="0" xfId="0" applyFont="1" applyFill="1"/>
    <xf numFmtId="0" fontId="7" fillId="9" borderId="0" xfId="0" applyFont="1" applyFill="1"/>
    <xf numFmtId="0" fontId="12" fillId="0" borderId="9" xfId="0" applyFont="1" applyBorder="1" applyAlignment="1">
      <alignment vertical="center" wrapText="1"/>
    </xf>
    <xf numFmtId="0" fontId="12" fillId="0" borderId="10" xfId="0" applyFont="1" applyBorder="1" applyAlignment="1">
      <alignment horizontal="center" vertical="center" wrapText="1"/>
    </xf>
    <xf numFmtId="0" fontId="12" fillId="0" borderId="10" xfId="0" applyFont="1" applyBorder="1" applyAlignment="1">
      <alignment vertical="center" wrapText="1"/>
    </xf>
    <xf numFmtId="0" fontId="12" fillId="0" borderId="11" xfId="0" applyFont="1" applyBorder="1" applyAlignment="1">
      <alignment vertical="center" wrapText="1"/>
    </xf>
    <xf numFmtId="0" fontId="12" fillId="0" borderId="12" xfId="0" applyFont="1" applyBorder="1" applyAlignment="1">
      <alignment horizontal="center" vertical="center" wrapText="1"/>
    </xf>
    <xf numFmtId="0" fontId="12" fillId="0" borderId="12" xfId="0" applyFont="1" applyBorder="1" applyAlignment="1">
      <alignment vertical="center" wrapText="1"/>
    </xf>
    <xf numFmtId="0" fontId="12" fillId="0" borderId="11" xfId="0" applyFont="1" applyBorder="1" applyAlignment="1">
      <alignment horizontal="center" vertical="center" wrapText="1"/>
    </xf>
    <xf numFmtId="0" fontId="12" fillId="0" borderId="0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осн!$B$24</c:f>
              <c:strCache>
                <c:ptCount val="1"/>
                <c:pt idx="0">
                  <c:v>Украина</c:v>
                </c:pt>
              </c:strCache>
            </c:strRef>
          </c:tx>
          <c:spPr>
            <a:ln>
              <a:solidFill>
                <a:srgbClr val="FFC000"/>
              </a:solidFill>
            </a:ln>
          </c:spPr>
          <c:marker>
            <c:spPr>
              <a:solidFill>
                <a:srgbClr val="FFC000"/>
              </a:solidFill>
            </c:spPr>
          </c:marker>
          <c:cat>
            <c:numRef>
              <c:f>осн!$A$25:$A$33</c:f>
              <c:numCache>
                <c:formatCode>General</c:formatCode>
                <c:ptCount val="9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</c:numCache>
            </c:numRef>
          </c:cat>
          <c:val>
            <c:numRef>
              <c:f>осн!$B$25:$B$33</c:f>
              <c:numCache>
                <c:formatCode>0</c:formatCode>
                <c:ptCount val="9"/>
                <c:pt idx="0">
                  <c:v>3281.9</c:v>
                </c:pt>
                <c:pt idx="1">
                  <c:v>3446.7</c:v>
                </c:pt>
                <c:pt idx="2">
                  <c:v>2477.4</c:v>
                </c:pt>
                <c:pt idx="3">
                  <c:v>2239</c:v>
                </c:pt>
                <c:pt idx="4">
                  <c:v>2687</c:v>
                </c:pt>
                <c:pt idx="5" formatCode="General">
                  <c:v>3020</c:v>
                </c:pt>
                <c:pt idx="6">
                  <c:v>3654</c:v>
                </c:pt>
                <c:pt idx="7">
                  <c:v>4384</c:v>
                </c:pt>
                <c:pt idx="8">
                  <c:v>3207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осн!$C$24</c:f>
              <c:strCache>
                <c:ptCount val="1"/>
                <c:pt idx="0">
                  <c:v>экспорт</c:v>
                </c:pt>
              </c:strCache>
            </c:strRef>
          </c:tx>
          <c:cat>
            <c:numRef>
              <c:f>осн!$A$25:$A$33</c:f>
              <c:numCache>
                <c:formatCode>General</c:formatCode>
                <c:ptCount val="9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</c:numCache>
            </c:numRef>
          </c:cat>
          <c:val>
            <c:numRef>
              <c:f>осн!$C$25:$C$33</c:f>
              <c:numCache>
                <c:formatCode>0</c:formatCode>
                <c:ptCount val="9"/>
                <c:pt idx="0">
                  <c:v>2579.6</c:v>
                </c:pt>
                <c:pt idx="1">
                  <c:v>2041.2</c:v>
                </c:pt>
                <c:pt idx="2">
                  <c:v>1620.7</c:v>
                </c:pt>
                <c:pt idx="3">
                  <c:v>2446.3000000000002</c:v>
                </c:pt>
                <c:pt idx="4">
                  <c:v>2735</c:v>
                </c:pt>
                <c:pt idx="5">
                  <c:v>3549</c:v>
                </c:pt>
                <c:pt idx="6">
                  <c:v>3934</c:v>
                </c:pt>
                <c:pt idx="7">
                  <c:v>4646</c:v>
                </c:pt>
                <c:pt idx="8">
                  <c:v>5639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осн!$D$24</c:f>
              <c:strCache>
                <c:ptCount val="1"/>
                <c:pt idx="0">
                  <c:v>Р.</c:v>
                </c:pt>
              </c:strCache>
            </c:strRef>
          </c:tx>
          <c:cat>
            <c:numRef>
              <c:f>осн!$A$25:$A$33</c:f>
              <c:numCache>
                <c:formatCode>General</c:formatCode>
                <c:ptCount val="9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</c:numCache>
            </c:numRef>
          </c:cat>
          <c:val>
            <c:numRef>
              <c:f>осн!$D$25:$D$33</c:f>
              <c:numCache>
                <c:formatCode>0</c:formatCode>
                <c:ptCount val="9"/>
                <c:pt idx="0">
                  <c:v>6461.6</c:v>
                </c:pt>
                <c:pt idx="1">
                  <c:v>5421.9</c:v>
                </c:pt>
                <c:pt idx="2">
                  <c:v>5265.7999999999993</c:v>
                </c:pt>
                <c:pt idx="3">
                  <c:v>5521.9000000000005</c:v>
                </c:pt>
                <c:pt idx="4" formatCode="General">
                  <c:v>3796</c:v>
                </c:pt>
                <c:pt idx="5">
                  <c:v>4198.1000000000004</c:v>
                </c:pt>
                <c:pt idx="6">
                  <c:v>5283.9</c:v>
                </c:pt>
                <c:pt idx="7">
                  <c:v>5393.2</c:v>
                </c:pt>
                <c:pt idx="8">
                  <c:v>6045.2999999999993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9291520"/>
        <c:axId val="79293056"/>
      </c:lineChart>
      <c:catAx>
        <c:axId val="792915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79293056"/>
        <c:crosses val="autoZero"/>
        <c:auto val="1"/>
        <c:lblAlgn val="ctr"/>
        <c:lblOffset val="100"/>
        <c:noMultiLvlLbl val="0"/>
      </c:catAx>
      <c:valAx>
        <c:axId val="79293056"/>
        <c:scaling>
          <c:orientation val="minMax"/>
        </c:scaling>
        <c:delete val="0"/>
        <c:axPos val="l"/>
        <c:numFmt formatCode="0" sourceLinked="1"/>
        <c:majorTickMark val="out"/>
        <c:minorTickMark val="none"/>
        <c:tickLblPos val="nextTo"/>
        <c:crossAx val="79291520"/>
        <c:crosses val="autoZero"/>
        <c:crossBetween val="between"/>
      </c:valAx>
    </c:plotArea>
    <c:legend>
      <c:legendPos val="b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8.1308784450293478E-2"/>
          <c:y val="7.2460945783769465E-2"/>
          <c:w val="0.91869121554970656"/>
          <c:h val="0.78621479206627887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'по предпр'!$B$3</c:f>
              <c:strCache>
                <c:ptCount val="1"/>
                <c:pt idx="0">
                  <c:v>2014</c:v>
                </c:pt>
              </c:strCache>
            </c:strRef>
          </c:tx>
          <c:spPr>
            <a:solidFill>
              <a:srgbClr val="FFFF00"/>
            </a:solidFill>
            <a:ln>
              <a:solidFill>
                <a:schemeClr val="accent1"/>
              </a:solidFill>
            </a:ln>
          </c:spPr>
          <c:invertIfNegative val="0"/>
          <c:cat>
            <c:strRef>
              <c:f>'по предпр'!$A$4:$A$8</c:f>
              <c:strCache>
                <c:ptCount val="5"/>
                <c:pt idx="0">
                  <c:v>Лексырье( Здоровье)</c:v>
                </c:pt>
                <c:pt idx="1">
                  <c:v>Вифитех</c:v>
                </c:pt>
                <c:pt idx="2">
                  <c:v>KRAUTER MIX(Герм.)</c:v>
                </c:pt>
                <c:pt idx="3">
                  <c:v>Виола(Укр.)</c:v>
                </c:pt>
                <c:pt idx="4">
                  <c:v>MARTIN BAUER(Польш.)</c:v>
                </c:pt>
              </c:strCache>
            </c:strRef>
          </c:cat>
          <c:val>
            <c:numRef>
              <c:f>'по предпр'!$B$4:$B$8</c:f>
              <c:numCache>
                <c:formatCode>General</c:formatCode>
                <c:ptCount val="5"/>
                <c:pt idx="0">
                  <c:v>1044</c:v>
                </c:pt>
                <c:pt idx="1">
                  <c:v>439</c:v>
                </c:pt>
                <c:pt idx="2" formatCode="_-* #,##0.0\ _₽_-;\-* #,##0.0\ _₽_-;_-* &quot;-&quot;??\ _₽_-;_-@_-">
                  <c:v>358.73333333333335</c:v>
                </c:pt>
                <c:pt idx="3">
                  <c:v>487</c:v>
                </c:pt>
                <c:pt idx="4" formatCode="_-* #,##0\ _₽_-;\-* #,##0\ _₽_-;_-* &quot;-&quot;??\ _₽_-;_-@_-">
                  <c:v>464.11666666666662</c:v>
                </c:pt>
              </c:numCache>
            </c:numRef>
          </c:val>
        </c:ser>
        <c:ser>
          <c:idx val="1"/>
          <c:order val="1"/>
          <c:tx>
            <c:strRef>
              <c:f>'по предпр'!$C$3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rgbClr val="FFFF00"/>
            </a:solidFill>
            <a:ln>
              <a:solidFill>
                <a:schemeClr val="accent1"/>
              </a:solidFill>
            </a:ln>
          </c:spPr>
          <c:invertIfNegative val="0"/>
          <c:cat>
            <c:strRef>
              <c:f>'по предпр'!$A$4:$A$8</c:f>
              <c:strCache>
                <c:ptCount val="5"/>
                <c:pt idx="0">
                  <c:v>Лексырье( Здоровье)</c:v>
                </c:pt>
                <c:pt idx="1">
                  <c:v>Вифитех</c:v>
                </c:pt>
                <c:pt idx="2">
                  <c:v>KRAUTER MIX(Герм.)</c:v>
                </c:pt>
                <c:pt idx="3">
                  <c:v>Виола(Укр.)</c:v>
                </c:pt>
                <c:pt idx="4">
                  <c:v>MARTIN BAUER(Польш.)</c:v>
                </c:pt>
              </c:strCache>
            </c:strRef>
          </c:cat>
          <c:val>
            <c:numRef>
              <c:f>'по предпр'!$C$4:$C$8</c:f>
              <c:numCache>
                <c:formatCode>General</c:formatCode>
                <c:ptCount val="5"/>
                <c:pt idx="0">
                  <c:v>2241</c:v>
                </c:pt>
                <c:pt idx="1">
                  <c:v>888</c:v>
                </c:pt>
                <c:pt idx="2" formatCode="_-* #,##0.0\ _₽_-;\-* #,##0.0\ _₽_-;_-* &quot;-&quot;??\ _₽_-;_-@_-">
                  <c:v>373.58064516129031</c:v>
                </c:pt>
                <c:pt idx="3">
                  <c:v>701</c:v>
                </c:pt>
                <c:pt idx="4" formatCode="_-* #,##0\ _₽_-;\-* #,##0\ _₽_-;_-* &quot;-&quot;??\ _₽_-;_-@_-">
                  <c:v>85.68202764976958</c:v>
                </c:pt>
              </c:numCache>
            </c:numRef>
          </c:val>
        </c:ser>
        <c:ser>
          <c:idx val="2"/>
          <c:order val="2"/>
          <c:tx>
            <c:strRef>
              <c:f>'по предпр'!$D$3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rgbClr val="FFFF00"/>
            </a:solidFill>
            <a:ln>
              <a:solidFill>
                <a:schemeClr val="accent1"/>
              </a:solidFill>
            </a:ln>
          </c:spPr>
          <c:invertIfNegative val="0"/>
          <c:cat>
            <c:strRef>
              <c:f>'по предпр'!$A$4:$A$8</c:f>
              <c:strCache>
                <c:ptCount val="5"/>
                <c:pt idx="0">
                  <c:v>Лексырье( Здоровье)</c:v>
                </c:pt>
                <c:pt idx="1">
                  <c:v>Вифитех</c:v>
                </c:pt>
                <c:pt idx="2">
                  <c:v>KRAUTER MIX(Герм.)</c:v>
                </c:pt>
                <c:pt idx="3">
                  <c:v>Виола(Укр.)</c:v>
                </c:pt>
                <c:pt idx="4">
                  <c:v>MARTIN BAUER(Польш.)</c:v>
                </c:pt>
              </c:strCache>
            </c:strRef>
          </c:cat>
          <c:val>
            <c:numRef>
              <c:f>'по предпр'!$D$4:$D$8</c:f>
              <c:numCache>
                <c:formatCode>General</c:formatCode>
                <c:ptCount val="5"/>
                <c:pt idx="0">
                  <c:v>878</c:v>
                </c:pt>
                <c:pt idx="1">
                  <c:v>1466</c:v>
                </c:pt>
                <c:pt idx="2" formatCode="_-* #,##0.0\ _₽_-;\-* #,##0.0\ _₽_-;_-* &quot;-&quot;??\ _₽_-;_-@_-">
                  <c:v>394.6</c:v>
                </c:pt>
                <c:pt idx="3">
                  <c:v>441</c:v>
                </c:pt>
                <c:pt idx="4" formatCode="_-* #,##0\ _₽_-;\-* #,##0\ _₽_-;_-* &quot;-&quot;??\ _₽_-;_-@_-">
                  <c:v>138.4549019607843</c:v>
                </c:pt>
              </c:numCache>
            </c:numRef>
          </c:val>
        </c:ser>
        <c:ser>
          <c:idx val="3"/>
          <c:order val="3"/>
          <c:tx>
            <c:strRef>
              <c:f>'по предпр'!$E$3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rgbClr val="FFFF00"/>
            </a:solidFill>
            <a:ln>
              <a:solidFill>
                <a:schemeClr val="accent1"/>
              </a:solidFill>
            </a:ln>
          </c:spPr>
          <c:invertIfNegative val="0"/>
          <c:cat>
            <c:strRef>
              <c:f>'по предпр'!$A$4:$A$8</c:f>
              <c:strCache>
                <c:ptCount val="5"/>
                <c:pt idx="0">
                  <c:v>Лексырье( Здоровье)</c:v>
                </c:pt>
                <c:pt idx="1">
                  <c:v>Вифитех</c:v>
                </c:pt>
                <c:pt idx="2">
                  <c:v>KRAUTER MIX(Герм.)</c:v>
                </c:pt>
                <c:pt idx="3">
                  <c:v>Виола(Укр.)</c:v>
                </c:pt>
                <c:pt idx="4">
                  <c:v>MARTIN BAUER(Польш.)</c:v>
                </c:pt>
              </c:strCache>
            </c:strRef>
          </c:cat>
          <c:val>
            <c:numRef>
              <c:f>'по предпр'!$E$4:$E$8</c:f>
              <c:numCache>
                <c:formatCode>0</c:formatCode>
                <c:ptCount val="5"/>
                <c:pt idx="0" formatCode="General">
                  <c:v>738</c:v>
                </c:pt>
                <c:pt idx="1">
                  <c:v>1703.4</c:v>
                </c:pt>
                <c:pt idx="2" formatCode="_-* #,##0.0\ _₽_-;\-* #,##0.0\ _₽_-;_-* &quot;-&quot;??\ _₽_-;_-@_-">
                  <c:v>406.57399999999996</c:v>
                </c:pt>
                <c:pt idx="3" formatCode="General">
                  <c:v>292</c:v>
                </c:pt>
                <c:pt idx="4" formatCode="_-* #,##0\ _₽_-;\-* #,##0\ _₽_-;_-* &quot;-&quot;??\ _₽_-;_-@_-">
                  <c:v>119.61600000000001</c:v>
                </c:pt>
              </c:numCache>
            </c:numRef>
          </c:val>
        </c:ser>
        <c:ser>
          <c:idx val="4"/>
          <c:order val="4"/>
          <c:tx>
            <c:strRef>
              <c:f>'по предпр'!$F$3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rgbClr val="FFFF00"/>
            </a:solidFill>
            <a:ln>
              <a:solidFill>
                <a:schemeClr val="accent1"/>
              </a:solidFill>
            </a:ln>
          </c:spPr>
          <c:invertIfNegative val="0"/>
          <c:cat>
            <c:strRef>
              <c:f>'по предпр'!$A$4:$A$8</c:f>
              <c:strCache>
                <c:ptCount val="5"/>
                <c:pt idx="0">
                  <c:v>Лексырье( Здоровье)</c:v>
                </c:pt>
                <c:pt idx="1">
                  <c:v>Вифитех</c:v>
                </c:pt>
                <c:pt idx="2">
                  <c:v>KRAUTER MIX(Герм.)</c:v>
                </c:pt>
                <c:pt idx="3">
                  <c:v>Виола(Укр.)</c:v>
                </c:pt>
                <c:pt idx="4">
                  <c:v>MARTIN BAUER(Польш.)</c:v>
                </c:pt>
              </c:strCache>
            </c:strRef>
          </c:cat>
          <c:val>
            <c:numRef>
              <c:f>'по предпр'!$F$4:$F$8</c:f>
              <c:numCache>
                <c:formatCode>General</c:formatCode>
                <c:ptCount val="5"/>
                <c:pt idx="0">
                  <c:v>405</c:v>
                </c:pt>
                <c:pt idx="1">
                  <c:v>458</c:v>
                </c:pt>
                <c:pt idx="2" formatCode="_-* #,##0.0\ _₽_-;\-* #,##0.0\ _₽_-;_-* &quot;-&quot;??\ _₽_-;_-@_-">
                  <c:v>402.1</c:v>
                </c:pt>
                <c:pt idx="3">
                  <c:v>340.2</c:v>
                </c:pt>
                <c:pt idx="4" formatCode="_-* #,##0\ _₽_-;\-* #,##0\ _₽_-;_-* &quot;-&quot;??\ _₽_-;_-@_-">
                  <c:v>630.4</c:v>
                </c:pt>
              </c:numCache>
            </c:numRef>
          </c:val>
        </c:ser>
        <c:ser>
          <c:idx val="5"/>
          <c:order val="5"/>
          <c:tx>
            <c:strRef>
              <c:f>'по предпр'!$G$3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rgbClr val="FFFF00"/>
            </a:solidFill>
            <a:ln>
              <a:solidFill>
                <a:schemeClr val="accent1"/>
              </a:solidFill>
            </a:ln>
          </c:spPr>
          <c:invertIfNegative val="0"/>
          <c:cat>
            <c:strRef>
              <c:f>'по предпр'!$A$4:$A$8</c:f>
              <c:strCache>
                <c:ptCount val="5"/>
                <c:pt idx="0">
                  <c:v>Лексырье( Здоровье)</c:v>
                </c:pt>
                <c:pt idx="1">
                  <c:v>Вифитех</c:v>
                </c:pt>
                <c:pt idx="2">
                  <c:v>KRAUTER MIX(Герм.)</c:v>
                </c:pt>
                <c:pt idx="3">
                  <c:v>Виола(Укр.)</c:v>
                </c:pt>
                <c:pt idx="4">
                  <c:v>MARTIN BAUER(Польш.)</c:v>
                </c:pt>
              </c:strCache>
            </c:strRef>
          </c:cat>
          <c:val>
            <c:numRef>
              <c:f>'по предпр'!$G$4:$G$8</c:f>
              <c:numCache>
                <c:formatCode>General</c:formatCode>
                <c:ptCount val="5"/>
                <c:pt idx="0">
                  <c:v>275</c:v>
                </c:pt>
                <c:pt idx="1">
                  <c:v>650.29999999999995</c:v>
                </c:pt>
                <c:pt idx="2">
                  <c:v>552.79999999999995</c:v>
                </c:pt>
                <c:pt idx="3">
                  <c:v>296</c:v>
                </c:pt>
                <c:pt idx="4" formatCode="_-* #,##0\ _₽_-;\-* #,##0\ _₽_-;_-* &quot;-&quot;??\ _₽_-;_-@_-">
                  <c:v>920.08</c:v>
                </c:pt>
              </c:numCache>
            </c:numRef>
          </c:val>
        </c:ser>
        <c:ser>
          <c:idx val="6"/>
          <c:order val="6"/>
          <c:tx>
            <c:strRef>
              <c:f>'по предпр'!$H$3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rgbClr val="FFFF00"/>
            </a:solidFill>
            <a:ln>
              <a:solidFill>
                <a:schemeClr val="accent1"/>
              </a:solidFill>
            </a:ln>
          </c:spPr>
          <c:invertIfNegative val="0"/>
          <c:cat>
            <c:strRef>
              <c:f>'по предпр'!$A$4:$A$8</c:f>
              <c:strCache>
                <c:ptCount val="5"/>
                <c:pt idx="0">
                  <c:v>Лексырье( Здоровье)</c:v>
                </c:pt>
                <c:pt idx="1">
                  <c:v>Вифитех</c:v>
                </c:pt>
                <c:pt idx="2">
                  <c:v>KRAUTER MIX(Герм.)</c:v>
                </c:pt>
                <c:pt idx="3">
                  <c:v>Виола(Укр.)</c:v>
                </c:pt>
                <c:pt idx="4">
                  <c:v>MARTIN BAUER(Польш.)</c:v>
                </c:pt>
              </c:strCache>
            </c:strRef>
          </c:cat>
          <c:val>
            <c:numRef>
              <c:f>'по предпр'!$H$4:$H$8</c:f>
              <c:numCache>
                <c:formatCode>General</c:formatCode>
                <c:ptCount val="5"/>
                <c:pt idx="0">
                  <c:v>401.7</c:v>
                </c:pt>
                <c:pt idx="1">
                  <c:v>854.5</c:v>
                </c:pt>
                <c:pt idx="2">
                  <c:v>286.7</c:v>
                </c:pt>
                <c:pt idx="3">
                  <c:v>330.6</c:v>
                </c:pt>
                <c:pt idx="4" formatCode="_-* #,##0\ _₽_-;\-* #,##0\ _₽_-;_-* &quot;-&quot;??\ _₽_-;_-@_-">
                  <c:v>248.3</c:v>
                </c:pt>
              </c:numCache>
            </c:numRef>
          </c:val>
        </c:ser>
        <c:ser>
          <c:idx val="7"/>
          <c:order val="7"/>
          <c:tx>
            <c:strRef>
              <c:f>'по предпр'!$I$3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rgbClr val="FFFF00"/>
            </a:solidFill>
            <a:ln>
              <a:solidFill>
                <a:schemeClr val="accent1"/>
              </a:solidFill>
            </a:ln>
          </c:spPr>
          <c:invertIfNegative val="0"/>
          <c:cat>
            <c:strRef>
              <c:f>'по предпр'!$A$4:$A$8</c:f>
              <c:strCache>
                <c:ptCount val="5"/>
                <c:pt idx="0">
                  <c:v>Лексырье( Здоровье)</c:v>
                </c:pt>
                <c:pt idx="1">
                  <c:v>Вифитех</c:v>
                </c:pt>
                <c:pt idx="2">
                  <c:v>KRAUTER MIX(Герм.)</c:v>
                </c:pt>
                <c:pt idx="3">
                  <c:v>Виола(Укр.)</c:v>
                </c:pt>
                <c:pt idx="4">
                  <c:v>MARTIN BAUER(Польш.)</c:v>
                </c:pt>
              </c:strCache>
            </c:strRef>
          </c:cat>
          <c:val>
            <c:numRef>
              <c:f>'по предпр'!$I$4:$I$8</c:f>
              <c:numCache>
                <c:formatCode>General</c:formatCode>
                <c:ptCount val="5"/>
                <c:pt idx="0">
                  <c:v>66.400000000000006</c:v>
                </c:pt>
                <c:pt idx="1">
                  <c:v>633</c:v>
                </c:pt>
                <c:pt idx="2" formatCode="0">
                  <c:v>305.8</c:v>
                </c:pt>
                <c:pt idx="3">
                  <c:v>367.8</c:v>
                </c:pt>
                <c:pt idx="4" formatCode="_-* #,##0\ _₽_-;\-* #,##0\ _₽_-;_-* &quot;-&quot;??\ _₽_-;_-@_-">
                  <c:v>391.1</c:v>
                </c:pt>
              </c:numCache>
            </c:numRef>
          </c:val>
        </c:ser>
        <c:ser>
          <c:idx val="8"/>
          <c:order val="8"/>
          <c:tx>
            <c:strRef>
              <c:f>'по предпр'!$J$3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FF0000"/>
            </a:solidFill>
            <a:ln>
              <a:solidFill>
                <a:schemeClr val="accent1"/>
              </a:solidFill>
            </a:ln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2.5175500380224775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-3.8731539046499655E-3"/>
                  <c:y val="-3.0346131077365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showLegendKey val="0"/>
              <c:showVal val="1"/>
              <c:showCatName val="0"/>
              <c:showSerName val="0"/>
              <c:showPercent val="0"/>
              <c:showBubbleSize val="0"/>
            </c:dLbl>
            <c:showLegendKey val="0"/>
            <c:showVal val="0"/>
            <c:showCatName val="0"/>
            <c:showSerName val="0"/>
            <c:showPercent val="0"/>
            <c:showBubbleSize val="0"/>
          </c:dLbls>
          <c:cat>
            <c:strRef>
              <c:f>'по предпр'!$A$4:$A$8</c:f>
              <c:strCache>
                <c:ptCount val="5"/>
                <c:pt idx="0">
                  <c:v>Лексырье( Здоровье)</c:v>
                </c:pt>
                <c:pt idx="1">
                  <c:v>Вифитех</c:v>
                </c:pt>
                <c:pt idx="2">
                  <c:v>KRAUTER MIX(Герм.)</c:v>
                </c:pt>
                <c:pt idx="3">
                  <c:v>Виола(Укр.)</c:v>
                </c:pt>
                <c:pt idx="4">
                  <c:v>MARTIN BAUER(Польш.)</c:v>
                </c:pt>
              </c:strCache>
            </c:strRef>
          </c:cat>
          <c:val>
            <c:numRef>
              <c:f>'по предпр'!$J$4:$J$8</c:f>
              <c:numCache>
                <c:formatCode>General</c:formatCode>
                <c:ptCount val="5"/>
                <c:pt idx="0">
                  <c:v>78</c:v>
                </c:pt>
                <c:pt idx="1">
                  <c:v>477</c:v>
                </c:pt>
                <c:pt idx="2" formatCode="0">
                  <c:v>701</c:v>
                </c:pt>
                <c:pt idx="3">
                  <c:v>266</c:v>
                </c:pt>
                <c:pt idx="4" formatCode="_-* #,##0\ _₽_-;\-* #,##0\ _₽_-;_-* &quot;-&quot;??\ _₽_-;_-@_-">
                  <c:v>909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79427072"/>
        <c:axId val="79428608"/>
        <c:axId val="0"/>
      </c:bar3DChart>
      <c:catAx>
        <c:axId val="794270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79428608"/>
        <c:crosses val="autoZero"/>
        <c:auto val="1"/>
        <c:lblAlgn val="ctr"/>
        <c:lblOffset val="100"/>
        <c:noMultiLvlLbl val="0"/>
      </c:catAx>
      <c:valAx>
        <c:axId val="79428608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crossAx val="79427072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20"/>
      <c:rAngAx val="1"/>
    </c:view3D>
    <c:floor>
      <c:thickness val="0"/>
    </c:floor>
    <c:sideWall>
      <c:thickness val="0"/>
      <c:spPr>
        <a:noFill/>
        <a:ln w="25400">
          <a:noFill/>
        </a:ln>
      </c:spPr>
    </c:sideWall>
    <c:backWall>
      <c:thickness val="0"/>
      <c:spPr>
        <a:noFill/>
        <a:ln w="25400">
          <a:noFill/>
        </a:ln>
      </c:spPr>
    </c:backWall>
    <c:plotArea>
      <c:layout>
        <c:manualLayout>
          <c:layoutTarget val="inner"/>
          <c:xMode val="edge"/>
          <c:yMode val="edge"/>
          <c:x val="8.1308784450293478E-2"/>
          <c:y val="7.2460945783769465E-2"/>
          <c:w val="0.91869121554970656"/>
          <c:h val="0.78621479206627887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'по предпр'!$B$10</c:f>
              <c:strCache>
                <c:ptCount val="1"/>
                <c:pt idx="0">
                  <c:v>2014</c:v>
                </c:pt>
              </c:strCache>
            </c:strRef>
          </c:tx>
          <c:spPr>
            <a:solidFill>
              <a:srgbClr val="FFFF00"/>
            </a:solidFill>
            <a:ln>
              <a:solidFill>
                <a:schemeClr val="accent1"/>
              </a:solidFill>
            </a:ln>
          </c:spPr>
          <c:invertIfNegative val="0"/>
          <c:cat>
            <c:strRef>
              <c:f>'по предпр'!$A$11:$A$17</c:f>
              <c:strCache>
                <c:ptCount val="7"/>
                <c:pt idx="0">
                  <c:v>Виола</c:v>
                </c:pt>
                <c:pt idx="1">
                  <c:v>Экопродукт</c:v>
                </c:pt>
                <c:pt idx="2">
                  <c:v>Орими</c:v>
                </c:pt>
                <c:pt idx="3">
                  <c:v>Май</c:v>
                </c:pt>
                <c:pt idx="4">
                  <c:v>БХФЗ</c:v>
                </c:pt>
                <c:pt idx="5">
                  <c:v>Мономах</c:v>
                </c:pt>
                <c:pt idx="6">
                  <c:v>Галычфарм</c:v>
                </c:pt>
              </c:strCache>
            </c:strRef>
          </c:cat>
          <c:val>
            <c:numRef>
              <c:f>'по предпр'!$B$11:$B$17</c:f>
              <c:numCache>
                <c:formatCode>General</c:formatCode>
                <c:ptCount val="7"/>
                <c:pt idx="0">
                  <c:v>487</c:v>
                </c:pt>
                <c:pt idx="1">
                  <c:v>356</c:v>
                </c:pt>
                <c:pt idx="2">
                  <c:v>445</c:v>
                </c:pt>
                <c:pt idx="3">
                  <c:v>34</c:v>
                </c:pt>
                <c:pt idx="4" formatCode="0">
                  <c:v>215.87608637020801</c:v>
                </c:pt>
                <c:pt idx="5">
                  <c:v>191</c:v>
                </c:pt>
                <c:pt idx="6">
                  <c:v>921</c:v>
                </c:pt>
              </c:numCache>
            </c:numRef>
          </c:val>
        </c:ser>
        <c:ser>
          <c:idx val="1"/>
          <c:order val="1"/>
          <c:tx>
            <c:strRef>
              <c:f>'по предпр'!$C$10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rgbClr val="FFFF00"/>
            </a:solidFill>
            <a:ln>
              <a:solidFill>
                <a:schemeClr val="accent1"/>
              </a:solidFill>
            </a:ln>
          </c:spPr>
          <c:invertIfNegative val="0"/>
          <c:cat>
            <c:strRef>
              <c:f>'по предпр'!$A$11:$A$17</c:f>
              <c:strCache>
                <c:ptCount val="7"/>
                <c:pt idx="0">
                  <c:v>Виола</c:v>
                </c:pt>
                <c:pt idx="1">
                  <c:v>Экопродукт</c:v>
                </c:pt>
                <c:pt idx="2">
                  <c:v>Орими</c:v>
                </c:pt>
                <c:pt idx="3">
                  <c:v>Май</c:v>
                </c:pt>
                <c:pt idx="4">
                  <c:v>БХФЗ</c:v>
                </c:pt>
                <c:pt idx="5">
                  <c:v>Мономах</c:v>
                </c:pt>
                <c:pt idx="6">
                  <c:v>Галычфарм</c:v>
                </c:pt>
              </c:strCache>
            </c:strRef>
          </c:cat>
          <c:val>
            <c:numRef>
              <c:f>'по предпр'!$C$11:$C$17</c:f>
              <c:numCache>
                <c:formatCode>General</c:formatCode>
                <c:ptCount val="7"/>
                <c:pt idx="0">
                  <c:v>701</c:v>
                </c:pt>
                <c:pt idx="1">
                  <c:v>439</c:v>
                </c:pt>
                <c:pt idx="2">
                  <c:v>229</c:v>
                </c:pt>
                <c:pt idx="3">
                  <c:v>69</c:v>
                </c:pt>
                <c:pt idx="4" formatCode="0">
                  <c:v>94.602173714745803</c:v>
                </c:pt>
                <c:pt idx="5">
                  <c:v>281</c:v>
                </c:pt>
                <c:pt idx="6">
                  <c:v>487</c:v>
                </c:pt>
              </c:numCache>
            </c:numRef>
          </c:val>
        </c:ser>
        <c:ser>
          <c:idx val="2"/>
          <c:order val="2"/>
          <c:tx>
            <c:strRef>
              <c:f>'по предпр'!$D$10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rgbClr val="FFFF00"/>
            </a:solidFill>
            <a:ln>
              <a:solidFill>
                <a:schemeClr val="accent1"/>
              </a:solidFill>
            </a:ln>
          </c:spPr>
          <c:invertIfNegative val="0"/>
          <c:cat>
            <c:strRef>
              <c:f>'по предпр'!$A$11:$A$17</c:f>
              <c:strCache>
                <c:ptCount val="7"/>
                <c:pt idx="0">
                  <c:v>Виола</c:v>
                </c:pt>
                <c:pt idx="1">
                  <c:v>Экопродукт</c:v>
                </c:pt>
                <c:pt idx="2">
                  <c:v>Орими</c:v>
                </c:pt>
                <c:pt idx="3">
                  <c:v>Май</c:v>
                </c:pt>
                <c:pt idx="4">
                  <c:v>БХФЗ</c:v>
                </c:pt>
                <c:pt idx="5">
                  <c:v>Мономах</c:v>
                </c:pt>
                <c:pt idx="6">
                  <c:v>Галычфарм</c:v>
                </c:pt>
              </c:strCache>
            </c:strRef>
          </c:cat>
          <c:val>
            <c:numRef>
              <c:f>'по предпр'!$D$11:$D$17</c:f>
              <c:numCache>
                <c:formatCode>General</c:formatCode>
                <c:ptCount val="7"/>
                <c:pt idx="0">
                  <c:v>441</c:v>
                </c:pt>
                <c:pt idx="1">
                  <c:v>240</c:v>
                </c:pt>
                <c:pt idx="2">
                  <c:v>80</c:v>
                </c:pt>
                <c:pt idx="3">
                  <c:v>125</c:v>
                </c:pt>
                <c:pt idx="4" formatCode="0">
                  <c:v>179.35686274509806</c:v>
                </c:pt>
                <c:pt idx="5">
                  <c:v>28</c:v>
                </c:pt>
                <c:pt idx="6">
                  <c:v>451</c:v>
                </c:pt>
              </c:numCache>
            </c:numRef>
          </c:val>
        </c:ser>
        <c:ser>
          <c:idx val="3"/>
          <c:order val="3"/>
          <c:tx>
            <c:strRef>
              <c:f>'по предпр'!$E$10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rgbClr val="FFFF00"/>
            </a:solidFill>
            <a:ln>
              <a:solidFill>
                <a:schemeClr val="accent1"/>
              </a:solidFill>
            </a:ln>
          </c:spPr>
          <c:invertIfNegative val="0"/>
          <c:cat>
            <c:strRef>
              <c:f>'по предпр'!$A$11:$A$17</c:f>
              <c:strCache>
                <c:ptCount val="7"/>
                <c:pt idx="0">
                  <c:v>Виола</c:v>
                </c:pt>
                <c:pt idx="1">
                  <c:v>Экопродукт</c:v>
                </c:pt>
                <c:pt idx="2">
                  <c:v>Орими</c:v>
                </c:pt>
                <c:pt idx="3">
                  <c:v>Май</c:v>
                </c:pt>
                <c:pt idx="4">
                  <c:v>БХФЗ</c:v>
                </c:pt>
                <c:pt idx="5">
                  <c:v>Мономах</c:v>
                </c:pt>
                <c:pt idx="6">
                  <c:v>Галычфарм</c:v>
                </c:pt>
              </c:strCache>
            </c:strRef>
          </c:cat>
          <c:val>
            <c:numRef>
              <c:f>'по предпр'!$E$11:$E$17</c:f>
              <c:numCache>
                <c:formatCode>0</c:formatCode>
                <c:ptCount val="7"/>
                <c:pt idx="0" formatCode="General">
                  <c:v>292</c:v>
                </c:pt>
                <c:pt idx="1">
                  <c:v>237.76315789473682</c:v>
                </c:pt>
                <c:pt idx="2">
                  <c:v>84</c:v>
                </c:pt>
                <c:pt idx="3">
                  <c:v>176</c:v>
                </c:pt>
                <c:pt idx="4">
                  <c:v>128.18796992481202</c:v>
                </c:pt>
                <c:pt idx="5">
                  <c:v>70.857142857142847</c:v>
                </c:pt>
                <c:pt idx="6">
                  <c:v>362</c:v>
                </c:pt>
              </c:numCache>
            </c:numRef>
          </c:val>
        </c:ser>
        <c:ser>
          <c:idx val="4"/>
          <c:order val="4"/>
          <c:tx>
            <c:strRef>
              <c:f>'по предпр'!$F$10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rgbClr val="FFFF00"/>
            </a:solidFill>
            <a:ln>
              <a:solidFill>
                <a:schemeClr val="accent1"/>
              </a:solidFill>
            </a:ln>
          </c:spPr>
          <c:invertIfNegative val="0"/>
          <c:cat>
            <c:strRef>
              <c:f>'по предпр'!$A$11:$A$17</c:f>
              <c:strCache>
                <c:ptCount val="7"/>
                <c:pt idx="0">
                  <c:v>Виола</c:v>
                </c:pt>
                <c:pt idx="1">
                  <c:v>Экопродукт</c:v>
                </c:pt>
                <c:pt idx="2">
                  <c:v>Орими</c:v>
                </c:pt>
                <c:pt idx="3">
                  <c:v>Май</c:v>
                </c:pt>
                <c:pt idx="4">
                  <c:v>БХФЗ</c:v>
                </c:pt>
                <c:pt idx="5">
                  <c:v>Мономах</c:v>
                </c:pt>
                <c:pt idx="6">
                  <c:v>Галычфарм</c:v>
                </c:pt>
              </c:strCache>
            </c:strRef>
          </c:cat>
          <c:val>
            <c:numRef>
              <c:f>'по предпр'!$F$11:$F$17</c:f>
              <c:numCache>
                <c:formatCode>0</c:formatCode>
                <c:ptCount val="7"/>
                <c:pt idx="0" formatCode="General">
                  <c:v>340</c:v>
                </c:pt>
                <c:pt idx="1">
                  <c:v>195</c:v>
                </c:pt>
                <c:pt idx="2">
                  <c:v>54</c:v>
                </c:pt>
                <c:pt idx="3">
                  <c:v>302.39999999999998</c:v>
                </c:pt>
                <c:pt idx="4">
                  <c:v>202</c:v>
                </c:pt>
                <c:pt idx="5" formatCode="General">
                  <c:v>122</c:v>
                </c:pt>
                <c:pt idx="6">
                  <c:v>259</c:v>
                </c:pt>
              </c:numCache>
            </c:numRef>
          </c:val>
        </c:ser>
        <c:ser>
          <c:idx val="5"/>
          <c:order val="5"/>
          <c:tx>
            <c:strRef>
              <c:f>'по предпр'!$G$10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rgbClr val="FFFF00"/>
            </a:solidFill>
            <a:ln>
              <a:solidFill>
                <a:schemeClr val="accent1"/>
              </a:solidFill>
            </a:ln>
          </c:spPr>
          <c:invertIfNegative val="0"/>
          <c:cat>
            <c:strRef>
              <c:f>'по предпр'!$A$11:$A$17</c:f>
              <c:strCache>
                <c:ptCount val="7"/>
                <c:pt idx="0">
                  <c:v>Виола</c:v>
                </c:pt>
                <c:pt idx="1">
                  <c:v>Экопродукт</c:v>
                </c:pt>
                <c:pt idx="2">
                  <c:v>Орими</c:v>
                </c:pt>
                <c:pt idx="3">
                  <c:v>Май</c:v>
                </c:pt>
                <c:pt idx="4">
                  <c:v>БХФЗ</c:v>
                </c:pt>
                <c:pt idx="5">
                  <c:v>Мономах</c:v>
                </c:pt>
                <c:pt idx="6">
                  <c:v>Галычфарм</c:v>
                </c:pt>
              </c:strCache>
            </c:strRef>
          </c:cat>
          <c:val>
            <c:numRef>
              <c:f>'по предпр'!$G$11:$G$17</c:f>
              <c:numCache>
                <c:formatCode>0</c:formatCode>
                <c:ptCount val="7"/>
                <c:pt idx="0" formatCode="General">
                  <c:v>296</c:v>
                </c:pt>
                <c:pt idx="1">
                  <c:v>378</c:v>
                </c:pt>
                <c:pt idx="2">
                  <c:v>175</c:v>
                </c:pt>
                <c:pt idx="3">
                  <c:v>304</c:v>
                </c:pt>
                <c:pt idx="4">
                  <c:v>170</c:v>
                </c:pt>
                <c:pt idx="5" formatCode="General">
                  <c:v>136</c:v>
                </c:pt>
                <c:pt idx="6">
                  <c:v>185</c:v>
                </c:pt>
              </c:numCache>
            </c:numRef>
          </c:val>
        </c:ser>
        <c:ser>
          <c:idx val="6"/>
          <c:order val="6"/>
          <c:tx>
            <c:strRef>
              <c:f>'по предпр'!$H$10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rgbClr val="FFFF00"/>
            </a:solidFill>
            <a:ln>
              <a:solidFill>
                <a:schemeClr val="accent1"/>
              </a:solidFill>
            </a:ln>
          </c:spPr>
          <c:invertIfNegative val="0"/>
          <c:cat>
            <c:strRef>
              <c:f>'по предпр'!$A$11:$A$17</c:f>
              <c:strCache>
                <c:ptCount val="7"/>
                <c:pt idx="0">
                  <c:v>Виола</c:v>
                </c:pt>
                <c:pt idx="1">
                  <c:v>Экопродукт</c:v>
                </c:pt>
                <c:pt idx="2">
                  <c:v>Орими</c:v>
                </c:pt>
                <c:pt idx="3">
                  <c:v>Май</c:v>
                </c:pt>
                <c:pt idx="4">
                  <c:v>БХФЗ</c:v>
                </c:pt>
                <c:pt idx="5">
                  <c:v>Мономах</c:v>
                </c:pt>
                <c:pt idx="6">
                  <c:v>Галычфарм</c:v>
                </c:pt>
              </c:strCache>
            </c:strRef>
          </c:cat>
          <c:val>
            <c:numRef>
              <c:f>'по предпр'!$H$11:$H$17</c:f>
              <c:numCache>
                <c:formatCode>0</c:formatCode>
                <c:ptCount val="7"/>
                <c:pt idx="0" formatCode="General">
                  <c:v>331</c:v>
                </c:pt>
                <c:pt idx="1">
                  <c:v>261.2</c:v>
                </c:pt>
                <c:pt idx="2">
                  <c:v>401</c:v>
                </c:pt>
                <c:pt idx="3">
                  <c:v>293</c:v>
                </c:pt>
                <c:pt idx="4">
                  <c:v>132</c:v>
                </c:pt>
                <c:pt idx="5" formatCode="General">
                  <c:v>477</c:v>
                </c:pt>
                <c:pt idx="6">
                  <c:v>215</c:v>
                </c:pt>
              </c:numCache>
            </c:numRef>
          </c:val>
        </c:ser>
        <c:ser>
          <c:idx val="7"/>
          <c:order val="7"/>
          <c:tx>
            <c:strRef>
              <c:f>'по предпр'!$I$10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rgbClr val="FFFF00"/>
            </a:solidFill>
            <a:ln>
              <a:solidFill>
                <a:schemeClr val="accent1"/>
              </a:solidFill>
            </a:ln>
          </c:spPr>
          <c:invertIfNegative val="0"/>
          <c:cat>
            <c:strRef>
              <c:f>'по предпр'!$A$11:$A$17</c:f>
              <c:strCache>
                <c:ptCount val="7"/>
                <c:pt idx="0">
                  <c:v>Виола</c:v>
                </c:pt>
                <c:pt idx="1">
                  <c:v>Экопродукт</c:v>
                </c:pt>
                <c:pt idx="2">
                  <c:v>Орими</c:v>
                </c:pt>
                <c:pt idx="3">
                  <c:v>Май</c:v>
                </c:pt>
                <c:pt idx="4">
                  <c:v>БХФЗ</c:v>
                </c:pt>
                <c:pt idx="5">
                  <c:v>Мономах</c:v>
                </c:pt>
                <c:pt idx="6">
                  <c:v>Галычфарм</c:v>
                </c:pt>
              </c:strCache>
            </c:strRef>
          </c:cat>
          <c:val>
            <c:numRef>
              <c:f>'по предпр'!$I$11:$I$17</c:f>
              <c:numCache>
                <c:formatCode>General</c:formatCode>
                <c:ptCount val="7"/>
                <c:pt idx="0">
                  <c:v>368</c:v>
                </c:pt>
                <c:pt idx="1">
                  <c:v>96</c:v>
                </c:pt>
                <c:pt idx="2">
                  <c:v>745</c:v>
                </c:pt>
                <c:pt idx="3">
                  <c:v>407</c:v>
                </c:pt>
                <c:pt idx="4">
                  <c:v>163</c:v>
                </c:pt>
                <c:pt idx="5">
                  <c:v>876</c:v>
                </c:pt>
                <c:pt idx="6">
                  <c:v>256</c:v>
                </c:pt>
              </c:numCache>
            </c:numRef>
          </c:val>
        </c:ser>
        <c:ser>
          <c:idx val="8"/>
          <c:order val="8"/>
          <c:tx>
            <c:strRef>
              <c:f>'по предпр'!$J$10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FF0000"/>
            </a:solidFill>
            <a:ln>
              <a:solidFill>
                <a:schemeClr val="accent1"/>
              </a:solidFill>
            </a:ln>
          </c:spPr>
          <c:invertIfNegative val="0"/>
          <c:dLbls>
            <c:dLbl>
              <c:idx val="0"/>
              <c:layout>
                <c:manualLayout>
                  <c:x val="7.7463078092999309E-3"/>
                  <c:y val="-7.58653276934132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2.7112077332549757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1.7429192570924772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layout>
                <c:manualLayout>
                  <c:x val="-5.8097308569749475E-3"/>
                  <c:y val="-4.55191966160479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layout>
                <c:manualLayout>
                  <c:x val="1.7429192570924845E-2"/>
                  <c:y val="-1.51730655386826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layout>
                <c:manualLayout>
                  <c:x val="0"/>
                  <c:y val="-3.793266384670657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'по предпр'!$A$11:$A$17</c:f>
              <c:strCache>
                <c:ptCount val="7"/>
                <c:pt idx="0">
                  <c:v>Виола</c:v>
                </c:pt>
                <c:pt idx="1">
                  <c:v>Экопродукт</c:v>
                </c:pt>
                <c:pt idx="2">
                  <c:v>Орими</c:v>
                </c:pt>
                <c:pt idx="3">
                  <c:v>Май</c:v>
                </c:pt>
                <c:pt idx="4">
                  <c:v>БХФЗ</c:v>
                </c:pt>
                <c:pt idx="5">
                  <c:v>Мономах</c:v>
                </c:pt>
                <c:pt idx="6">
                  <c:v>Галычфарм</c:v>
                </c:pt>
              </c:strCache>
            </c:strRef>
          </c:cat>
          <c:val>
            <c:numRef>
              <c:f>'по предпр'!$J$11:$J$17</c:f>
              <c:numCache>
                <c:formatCode>General</c:formatCode>
                <c:ptCount val="7"/>
                <c:pt idx="0">
                  <c:v>266</c:v>
                </c:pt>
                <c:pt idx="1">
                  <c:v>95</c:v>
                </c:pt>
                <c:pt idx="2">
                  <c:v>405</c:v>
                </c:pt>
                <c:pt idx="3">
                  <c:v>328</c:v>
                </c:pt>
                <c:pt idx="4">
                  <c:v>132</c:v>
                </c:pt>
                <c:pt idx="5">
                  <c:v>460</c:v>
                </c:pt>
                <c:pt idx="6">
                  <c:v>194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79468032"/>
        <c:axId val="79469568"/>
        <c:axId val="0"/>
      </c:bar3DChart>
      <c:catAx>
        <c:axId val="794680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79469568"/>
        <c:crosses val="autoZero"/>
        <c:auto val="1"/>
        <c:lblAlgn val="ctr"/>
        <c:lblOffset val="100"/>
        <c:noMultiLvlLbl val="0"/>
      </c:catAx>
      <c:valAx>
        <c:axId val="79469568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crossAx val="79468032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'по предпр'!$B$52</c:f>
              <c:strCache>
                <c:ptCount val="1"/>
                <c:pt idx="0">
                  <c:v>2014</c:v>
                </c:pt>
              </c:strCache>
            </c:strRef>
          </c:tx>
          <c:spPr>
            <a:solidFill>
              <a:srgbClr val="FFFF00"/>
            </a:solidFill>
            <a:ln>
              <a:solidFill>
                <a:schemeClr val="accent1"/>
              </a:solidFill>
            </a:ln>
          </c:spPr>
          <c:invertIfNegative val="0"/>
          <c:cat>
            <c:strRef>
              <c:f>'по предпр'!$A$53:$A$60</c:f>
              <c:strCache>
                <c:ptCount val="8"/>
                <c:pt idx="0">
                  <c:v>Mаrtin Bauer (Итал)</c:v>
                </c:pt>
                <c:pt idx="1">
                  <c:v>Mаrtin Bauer(Польш.)</c:v>
                </c:pt>
                <c:pt idx="2">
                  <c:v>FILIPI (Алб.)</c:v>
                </c:pt>
                <c:pt idx="3">
                  <c:v>KRAUTER MIX(Герм.)</c:v>
                </c:pt>
                <c:pt idx="4">
                  <c:v>Herbona (Чехия)</c:v>
                </c:pt>
                <c:pt idx="5">
                  <c:v>JIA HERBS(Кит.)</c:v>
                </c:pt>
                <c:pt idx="6">
                  <c:v>EUROMED(Исп)</c:v>
                </c:pt>
                <c:pt idx="7">
                  <c:v>Зерде Фито (Каз.) </c:v>
                </c:pt>
              </c:strCache>
            </c:strRef>
          </c:cat>
          <c:val>
            <c:numRef>
              <c:f>'по предпр'!$B$53:$B$60</c:f>
              <c:numCache>
                <c:formatCode>0</c:formatCode>
                <c:ptCount val="8"/>
                <c:pt idx="0">
                  <c:v>184.66800000000001</c:v>
                </c:pt>
                <c:pt idx="1">
                  <c:v>463</c:v>
                </c:pt>
                <c:pt idx="2">
                  <c:v>0</c:v>
                </c:pt>
                <c:pt idx="3">
                  <c:v>358.73333333333335</c:v>
                </c:pt>
                <c:pt idx="4">
                  <c:v>0</c:v>
                </c:pt>
                <c:pt idx="5">
                  <c:v>94.2</c:v>
                </c:pt>
                <c:pt idx="6">
                  <c:v>0</c:v>
                </c:pt>
                <c:pt idx="7" formatCode="_-* #,##0.0\ _₽_-;\-* #,##0.0\ _₽_-;_-* &quot;-&quot;??\ _₽_-;_-@_-">
                  <c:v>173.54999999999998</c:v>
                </c:pt>
              </c:numCache>
            </c:numRef>
          </c:val>
        </c:ser>
        <c:ser>
          <c:idx val="1"/>
          <c:order val="1"/>
          <c:tx>
            <c:strRef>
              <c:f>'по предпр'!$C$52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rgbClr val="FFFF00"/>
            </a:solidFill>
            <a:ln>
              <a:solidFill>
                <a:schemeClr val="accent1"/>
              </a:solidFill>
            </a:ln>
          </c:spPr>
          <c:invertIfNegative val="0"/>
          <c:cat>
            <c:strRef>
              <c:f>'по предпр'!$A$53:$A$60</c:f>
              <c:strCache>
                <c:ptCount val="8"/>
                <c:pt idx="0">
                  <c:v>Mаrtin Bauer (Итал)</c:v>
                </c:pt>
                <c:pt idx="1">
                  <c:v>Mаrtin Bauer(Польш.)</c:v>
                </c:pt>
                <c:pt idx="2">
                  <c:v>FILIPI (Алб.)</c:v>
                </c:pt>
                <c:pt idx="3">
                  <c:v>KRAUTER MIX(Герм.)</c:v>
                </c:pt>
                <c:pt idx="4">
                  <c:v>Herbona (Чехия)</c:v>
                </c:pt>
                <c:pt idx="5">
                  <c:v>JIA HERBS(Кит.)</c:v>
                </c:pt>
                <c:pt idx="6">
                  <c:v>EUROMED(Исп)</c:v>
                </c:pt>
                <c:pt idx="7">
                  <c:v>Зерде Фито (Каз.) </c:v>
                </c:pt>
              </c:strCache>
            </c:strRef>
          </c:cat>
          <c:val>
            <c:numRef>
              <c:f>'по предпр'!$C$53:$C$60</c:f>
              <c:numCache>
                <c:formatCode>0</c:formatCode>
                <c:ptCount val="8"/>
                <c:pt idx="0">
                  <c:v>40.5</c:v>
                </c:pt>
                <c:pt idx="1">
                  <c:v>81</c:v>
                </c:pt>
                <c:pt idx="2">
                  <c:v>0</c:v>
                </c:pt>
                <c:pt idx="3">
                  <c:v>373.58064516129031</c:v>
                </c:pt>
                <c:pt idx="4" formatCode="_-* #,##0\ _₽_-;\-* #,##0\ _₽_-;_-* &quot;-&quot;??\ _₽_-;_-@_-">
                  <c:v>58.052720000000008</c:v>
                </c:pt>
                <c:pt idx="5">
                  <c:v>60</c:v>
                </c:pt>
                <c:pt idx="6">
                  <c:v>0</c:v>
                </c:pt>
                <c:pt idx="7" formatCode="_-* #,##0.0\ _₽_-;\-* #,##0.0\ _₽_-;_-* &quot;-&quot;??\ _₽_-;_-@_-">
                  <c:v>40.552995391705068</c:v>
                </c:pt>
              </c:numCache>
            </c:numRef>
          </c:val>
        </c:ser>
        <c:ser>
          <c:idx val="2"/>
          <c:order val="2"/>
          <c:tx>
            <c:strRef>
              <c:f>'по предпр'!$D$52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rgbClr val="FFFF00"/>
            </a:solidFill>
            <a:ln>
              <a:solidFill>
                <a:schemeClr val="accent1"/>
              </a:solidFill>
            </a:ln>
          </c:spPr>
          <c:invertIfNegative val="0"/>
          <c:cat>
            <c:strRef>
              <c:f>'по предпр'!$A$53:$A$60</c:f>
              <c:strCache>
                <c:ptCount val="8"/>
                <c:pt idx="0">
                  <c:v>Mаrtin Bauer (Итал)</c:v>
                </c:pt>
                <c:pt idx="1">
                  <c:v>Mаrtin Bauer(Польш.)</c:v>
                </c:pt>
                <c:pt idx="2">
                  <c:v>FILIPI (Алб.)</c:v>
                </c:pt>
                <c:pt idx="3">
                  <c:v>KRAUTER MIX(Герм.)</c:v>
                </c:pt>
                <c:pt idx="4">
                  <c:v>Herbona (Чехия)</c:v>
                </c:pt>
                <c:pt idx="5">
                  <c:v>JIA HERBS(Кит.)</c:v>
                </c:pt>
                <c:pt idx="6">
                  <c:v>EUROMED(Исп)</c:v>
                </c:pt>
                <c:pt idx="7">
                  <c:v>Зерде Фито (Каз.) </c:v>
                </c:pt>
              </c:strCache>
            </c:strRef>
          </c:cat>
          <c:val>
            <c:numRef>
              <c:f>'по предпр'!$D$53:$D$60</c:f>
              <c:numCache>
                <c:formatCode>0</c:formatCode>
                <c:ptCount val="8"/>
                <c:pt idx="0">
                  <c:v>64</c:v>
                </c:pt>
                <c:pt idx="1">
                  <c:v>138</c:v>
                </c:pt>
                <c:pt idx="2">
                  <c:v>0</c:v>
                </c:pt>
                <c:pt idx="3">
                  <c:v>394.6</c:v>
                </c:pt>
                <c:pt idx="4" formatCode="_-* #,##0\ _₽_-;\-* #,##0\ _₽_-;_-* &quot;-&quot;??\ _₽_-;_-@_-">
                  <c:v>166.2</c:v>
                </c:pt>
                <c:pt idx="5">
                  <c:v>69.2</c:v>
                </c:pt>
                <c:pt idx="6">
                  <c:v>0</c:v>
                </c:pt>
                <c:pt idx="7" formatCode="_-* #,##0.0\ _₽_-;\-* #,##0.0\ _₽_-;_-* &quot;-&quot;??\ _₽_-;_-@_-">
                  <c:v>99.5</c:v>
                </c:pt>
              </c:numCache>
            </c:numRef>
          </c:val>
        </c:ser>
        <c:ser>
          <c:idx val="3"/>
          <c:order val="3"/>
          <c:tx>
            <c:strRef>
              <c:f>'по предпр'!$E$52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rgbClr val="FFFF00"/>
            </a:solidFill>
            <a:ln>
              <a:solidFill>
                <a:schemeClr val="accent1"/>
              </a:solidFill>
            </a:ln>
          </c:spPr>
          <c:invertIfNegative val="0"/>
          <c:cat>
            <c:strRef>
              <c:f>'по предпр'!$A$53:$A$60</c:f>
              <c:strCache>
                <c:ptCount val="8"/>
                <c:pt idx="0">
                  <c:v>Mаrtin Bauer (Итал)</c:v>
                </c:pt>
                <c:pt idx="1">
                  <c:v>Mаrtin Bauer(Польш.)</c:v>
                </c:pt>
                <c:pt idx="2">
                  <c:v>FILIPI (Алб.)</c:v>
                </c:pt>
                <c:pt idx="3">
                  <c:v>KRAUTER MIX(Герм.)</c:v>
                </c:pt>
                <c:pt idx="4">
                  <c:v>Herbona (Чехия)</c:v>
                </c:pt>
                <c:pt idx="5">
                  <c:v>JIA HERBS(Кит.)</c:v>
                </c:pt>
                <c:pt idx="6">
                  <c:v>EUROMED(Исп)</c:v>
                </c:pt>
                <c:pt idx="7">
                  <c:v>Зерде Фито (Каз.) </c:v>
                </c:pt>
              </c:strCache>
            </c:strRef>
          </c:cat>
          <c:val>
            <c:numRef>
              <c:f>'по предпр'!$E$53:$E$60</c:f>
              <c:numCache>
                <c:formatCode>0</c:formatCode>
                <c:ptCount val="8"/>
                <c:pt idx="1">
                  <c:v>125</c:v>
                </c:pt>
                <c:pt idx="2">
                  <c:v>0</c:v>
                </c:pt>
                <c:pt idx="3">
                  <c:v>406.57399999999996</c:v>
                </c:pt>
                <c:pt idx="4" formatCode="_-* #,##0\ _₽_-;\-* #,##0\ _₽_-;_-* &quot;-&quot;??\ _₽_-;_-@_-">
                  <c:v>188.70999999999998</c:v>
                </c:pt>
                <c:pt idx="5">
                  <c:v>0</c:v>
                </c:pt>
                <c:pt idx="6">
                  <c:v>0</c:v>
                </c:pt>
                <c:pt idx="7" formatCode="_-* #,##0.0\ _₽_-;\-* #,##0.0\ _₽_-;_-* &quot;-&quot;??\ _₽_-;_-@_-">
                  <c:v>69.400000000000006</c:v>
                </c:pt>
              </c:numCache>
            </c:numRef>
          </c:val>
        </c:ser>
        <c:ser>
          <c:idx val="4"/>
          <c:order val="4"/>
          <c:tx>
            <c:strRef>
              <c:f>'по предпр'!$F$52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rgbClr val="FFFF00"/>
            </a:solidFill>
            <a:ln>
              <a:solidFill>
                <a:schemeClr val="accent1"/>
              </a:solidFill>
            </a:ln>
          </c:spPr>
          <c:invertIfNegative val="0"/>
          <c:cat>
            <c:strRef>
              <c:f>'по предпр'!$A$53:$A$60</c:f>
              <c:strCache>
                <c:ptCount val="8"/>
                <c:pt idx="0">
                  <c:v>Mаrtin Bauer (Итал)</c:v>
                </c:pt>
                <c:pt idx="1">
                  <c:v>Mаrtin Bauer(Польш.)</c:v>
                </c:pt>
                <c:pt idx="2">
                  <c:v>FILIPI (Алб.)</c:v>
                </c:pt>
                <c:pt idx="3">
                  <c:v>KRAUTER MIX(Герм.)</c:v>
                </c:pt>
                <c:pt idx="4">
                  <c:v>Herbona (Чехия)</c:v>
                </c:pt>
                <c:pt idx="5">
                  <c:v>JIA HERBS(Кит.)</c:v>
                </c:pt>
                <c:pt idx="6">
                  <c:v>EUROMED(Исп)</c:v>
                </c:pt>
                <c:pt idx="7">
                  <c:v>Зерде Фито (Каз.) </c:v>
                </c:pt>
              </c:strCache>
            </c:strRef>
          </c:cat>
          <c:val>
            <c:numRef>
              <c:f>'по предпр'!$F$53:$F$60</c:f>
              <c:numCache>
                <c:formatCode>0</c:formatCode>
                <c:ptCount val="8"/>
                <c:pt idx="0">
                  <c:v>281.5</c:v>
                </c:pt>
                <c:pt idx="1">
                  <c:v>630.4</c:v>
                </c:pt>
                <c:pt idx="2">
                  <c:v>0</c:v>
                </c:pt>
                <c:pt idx="3">
                  <c:v>402.1</c:v>
                </c:pt>
                <c:pt idx="4" formatCode="_-* #,##0\ _₽_-;\-* #,##0\ _₽_-;_-* &quot;-&quot;??\ _₽_-;_-@_-">
                  <c:v>216.7</c:v>
                </c:pt>
                <c:pt idx="5">
                  <c:v>0</c:v>
                </c:pt>
                <c:pt idx="6">
                  <c:v>74</c:v>
                </c:pt>
                <c:pt idx="7" formatCode="_-* #,##0.0\ _₽_-;\-* #,##0.0\ _₽_-;_-* &quot;-&quot;??\ _₽_-;_-@_-">
                  <c:v>42.1</c:v>
                </c:pt>
              </c:numCache>
            </c:numRef>
          </c:val>
        </c:ser>
        <c:ser>
          <c:idx val="5"/>
          <c:order val="5"/>
          <c:tx>
            <c:strRef>
              <c:f>'по предпр'!$G$52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rgbClr val="FFFF00"/>
            </a:solidFill>
            <a:ln>
              <a:solidFill>
                <a:schemeClr val="accent1"/>
              </a:solidFill>
            </a:ln>
          </c:spPr>
          <c:invertIfNegative val="0"/>
          <c:cat>
            <c:strRef>
              <c:f>'по предпр'!$A$53:$A$60</c:f>
              <c:strCache>
                <c:ptCount val="8"/>
                <c:pt idx="0">
                  <c:v>Mаrtin Bauer (Итал)</c:v>
                </c:pt>
                <c:pt idx="1">
                  <c:v>Mаrtin Bauer(Польш.)</c:v>
                </c:pt>
                <c:pt idx="2">
                  <c:v>FILIPI (Алб.)</c:v>
                </c:pt>
                <c:pt idx="3">
                  <c:v>KRAUTER MIX(Герм.)</c:v>
                </c:pt>
                <c:pt idx="4">
                  <c:v>Herbona (Чехия)</c:v>
                </c:pt>
                <c:pt idx="5">
                  <c:v>JIA HERBS(Кит.)</c:v>
                </c:pt>
                <c:pt idx="6">
                  <c:v>EUROMED(Исп)</c:v>
                </c:pt>
                <c:pt idx="7">
                  <c:v>Зерде Фито (Каз.) </c:v>
                </c:pt>
              </c:strCache>
            </c:strRef>
          </c:cat>
          <c:val>
            <c:numRef>
              <c:f>'по предпр'!$G$53:$G$60</c:f>
              <c:numCache>
                <c:formatCode>0</c:formatCode>
                <c:ptCount val="8"/>
                <c:pt idx="0">
                  <c:v>131.4</c:v>
                </c:pt>
                <c:pt idx="1">
                  <c:v>919</c:v>
                </c:pt>
                <c:pt idx="2">
                  <c:v>0</c:v>
                </c:pt>
                <c:pt idx="3">
                  <c:v>552.79999999999995</c:v>
                </c:pt>
                <c:pt idx="4" formatCode="_-* #,##0\ _₽_-;\-* #,##0\ _₽_-;_-* &quot;-&quot;??\ _₽_-;_-@_-">
                  <c:v>122.52800000000002</c:v>
                </c:pt>
                <c:pt idx="5">
                  <c:v>81</c:v>
                </c:pt>
                <c:pt idx="6">
                  <c:v>291</c:v>
                </c:pt>
                <c:pt idx="7" formatCode="_-* #,##0.0\ _₽_-;\-* #,##0.0\ _₽_-;_-* &quot;-&quot;??\ _₽_-;_-@_-">
                  <c:v>109</c:v>
                </c:pt>
              </c:numCache>
            </c:numRef>
          </c:val>
        </c:ser>
        <c:ser>
          <c:idx val="6"/>
          <c:order val="6"/>
          <c:tx>
            <c:strRef>
              <c:f>'по предпр'!$H$52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rgbClr val="FFFF00"/>
            </a:solidFill>
            <a:ln>
              <a:solidFill>
                <a:schemeClr val="accent1"/>
              </a:solidFill>
            </a:ln>
          </c:spPr>
          <c:invertIfNegative val="0"/>
          <c:cat>
            <c:strRef>
              <c:f>'по предпр'!$A$53:$A$60</c:f>
              <c:strCache>
                <c:ptCount val="8"/>
                <c:pt idx="0">
                  <c:v>Mаrtin Bauer (Итал)</c:v>
                </c:pt>
                <c:pt idx="1">
                  <c:v>Mаrtin Bauer(Польш.)</c:v>
                </c:pt>
                <c:pt idx="2">
                  <c:v>FILIPI (Алб.)</c:v>
                </c:pt>
                <c:pt idx="3">
                  <c:v>KRAUTER MIX(Герм.)</c:v>
                </c:pt>
                <c:pt idx="4">
                  <c:v>Herbona (Чехия)</c:v>
                </c:pt>
                <c:pt idx="5">
                  <c:v>JIA HERBS(Кит.)</c:v>
                </c:pt>
                <c:pt idx="6">
                  <c:v>EUROMED(Исп)</c:v>
                </c:pt>
                <c:pt idx="7">
                  <c:v>Зерде Фито (Каз.) </c:v>
                </c:pt>
              </c:strCache>
            </c:strRef>
          </c:cat>
          <c:val>
            <c:numRef>
              <c:f>'по предпр'!$H$53:$H$60</c:f>
              <c:numCache>
                <c:formatCode>0</c:formatCode>
                <c:ptCount val="8"/>
                <c:pt idx="0">
                  <c:v>280.44</c:v>
                </c:pt>
                <c:pt idx="1">
                  <c:v>247</c:v>
                </c:pt>
                <c:pt idx="2">
                  <c:v>366</c:v>
                </c:pt>
                <c:pt idx="3">
                  <c:v>286.7</c:v>
                </c:pt>
                <c:pt idx="4" formatCode="_-* #,##0\ _₽_-;\-* #,##0\ _₽_-;_-* &quot;-&quot;??\ _₽_-;_-@_-">
                  <c:v>120.5</c:v>
                </c:pt>
                <c:pt idx="5">
                  <c:v>294.33999999999997</c:v>
                </c:pt>
                <c:pt idx="6">
                  <c:v>122</c:v>
                </c:pt>
                <c:pt idx="7" formatCode="_-* #,##0.0\ _₽_-;\-* #,##0.0\ _₽_-;_-* &quot;-&quot;??\ _₽_-;_-@_-">
                  <c:v>92</c:v>
                </c:pt>
              </c:numCache>
            </c:numRef>
          </c:val>
        </c:ser>
        <c:ser>
          <c:idx val="7"/>
          <c:order val="7"/>
          <c:tx>
            <c:strRef>
              <c:f>'по предпр'!$I$52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rgbClr val="FFFF00"/>
            </a:solidFill>
            <a:ln>
              <a:solidFill>
                <a:schemeClr val="accent1"/>
              </a:solidFill>
            </a:ln>
          </c:spPr>
          <c:invertIfNegative val="0"/>
          <c:cat>
            <c:strRef>
              <c:f>'по предпр'!$A$53:$A$60</c:f>
              <c:strCache>
                <c:ptCount val="8"/>
                <c:pt idx="0">
                  <c:v>Mаrtin Bauer (Итал)</c:v>
                </c:pt>
                <c:pt idx="1">
                  <c:v>Mаrtin Bauer(Польш.)</c:v>
                </c:pt>
                <c:pt idx="2">
                  <c:v>FILIPI (Алб.)</c:v>
                </c:pt>
                <c:pt idx="3">
                  <c:v>KRAUTER MIX(Герм.)</c:v>
                </c:pt>
                <c:pt idx="4">
                  <c:v>Herbona (Чехия)</c:v>
                </c:pt>
                <c:pt idx="5">
                  <c:v>JIA HERBS(Кит.)</c:v>
                </c:pt>
                <c:pt idx="6">
                  <c:v>EUROMED(Исп)</c:v>
                </c:pt>
                <c:pt idx="7">
                  <c:v>Зерде Фито (Каз.) </c:v>
                </c:pt>
              </c:strCache>
            </c:strRef>
          </c:cat>
          <c:val>
            <c:numRef>
              <c:f>'по предпр'!$I$53:$I$60</c:f>
              <c:numCache>
                <c:formatCode>0</c:formatCode>
                <c:ptCount val="8"/>
                <c:pt idx="0">
                  <c:v>466</c:v>
                </c:pt>
                <c:pt idx="1">
                  <c:v>391</c:v>
                </c:pt>
                <c:pt idx="2">
                  <c:v>329</c:v>
                </c:pt>
                <c:pt idx="3">
                  <c:v>305.8</c:v>
                </c:pt>
                <c:pt idx="4" formatCode="General">
                  <c:v>268</c:v>
                </c:pt>
                <c:pt idx="5">
                  <c:v>236</c:v>
                </c:pt>
                <c:pt idx="6">
                  <c:v>126</c:v>
                </c:pt>
                <c:pt idx="7" formatCode="General">
                  <c:v>197.4</c:v>
                </c:pt>
              </c:numCache>
            </c:numRef>
          </c:val>
        </c:ser>
        <c:ser>
          <c:idx val="8"/>
          <c:order val="8"/>
          <c:tx>
            <c:strRef>
              <c:f>'по предпр'!$J$52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FF0000"/>
            </a:solidFill>
            <a:ln>
              <a:solidFill>
                <a:schemeClr val="accent1"/>
              </a:solidFill>
            </a:ln>
          </c:spPr>
          <c:invertIfNegative val="0"/>
          <c:dLbls>
            <c:dLbl>
              <c:idx val="4"/>
              <c:layout>
                <c:manualLayout>
                  <c:x val="1.171303074670571E-2"/>
                  <c:y val="-1.19047619047619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layout>
                <c:manualLayout>
                  <c:x val="2.3426061493411421E-2"/>
                  <c:y val="-5.55555555555555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7"/>
              <c:layout>
                <c:manualLayout>
                  <c:x val="0"/>
                  <c:y val="-4.761904761904761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'по предпр'!$A$53:$A$60</c:f>
              <c:strCache>
                <c:ptCount val="8"/>
                <c:pt idx="0">
                  <c:v>Mаrtin Bauer (Итал)</c:v>
                </c:pt>
                <c:pt idx="1">
                  <c:v>Mаrtin Bauer(Польш.)</c:v>
                </c:pt>
                <c:pt idx="2">
                  <c:v>FILIPI (Алб.)</c:v>
                </c:pt>
                <c:pt idx="3">
                  <c:v>KRAUTER MIX(Герм.)</c:v>
                </c:pt>
                <c:pt idx="4">
                  <c:v>Herbona (Чехия)</c:v>
                </c:pt>
                <c:pt idx="5">
                  <c:v>JIA HERBS(Кит.)</c:v>
                </c:pt>
                <c:pt idx="6">
                  <c:v>EUROMED(Исп)</c:v>
                </c:pt>
                <c:pt idx="7">
                  <c:v>Зерде Фито (Каз.) </c:v>
                </c:pt>
              </c:strCache>
            </c:strRef>
          </c:cat>
          <c:val>
            <c:numRef>
              <c:f>'по предпр'!$J$53:$J$60</c:f>
              <c:numCache>
                <c:formatCode>0</c:formatCode>
                <c:ptCount val="8"/>
                <c:pt idx="0">
                  <c:v>796</c:v>
                </c:pt>
                <c:pt idx="1">
                  <c:v>909</c:v>
                </c:pt>
                <c:pt idx="2">
                  <c:v>107</c:v>
                </c:pt>
                <c:pt idx="3">
                  <c:v>701</c:v>
                </c:pt>
                <c:pt idx="4" formatCode="General">
                  <c:v>78</c:v>
                </c:pt>
                <c:pt idx="5">
                  <c:v>116</c:v>
                </c:pt>
                <c:pt idx="6">
                  <c:v>306</c:v>
                </c:pt>
                <c:pt idx="7" formatCode="General">
                  <c:v>126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79930880"/>
        <c:axId val="79932416"/>
        <c:axId val="0"/>
      </c:bar3DChart>
      <c:catAx>
        <c:axId val="79930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700" baseline="0"/>
            </a:pPr>
            <a:endParaRPr lang="ru-RU"/>
          </a:p>
        </c:txPr>
        <c:crossAx val="79932416"/>
        <c:crosses val="autoZero"/>
        <c:auto val="1"/>
        <c:lblAlgn val="ctr"/>
        <c:lblOffset val="100"/>
        <c:noMultiLvlLbl val="0"/>
      </c:catAx>
      <c:valAx>
        <c:axId val="79932416"/>
        <c:scaling>
          <c:orientation val="minMax"/>
        </c:scaling>
        <c:delete val="0"/>
        <c:axPos val="l"/>
        <c:numFmt formatCode="0" sourceLinked="1"/>
        <c:majorTickMark val="out"/>
        <c:minorTickMark val="none"/>
        <c:tickLblPos val="nextTo"/>
        <c:crossAx val="79930880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'по предпр'!$B$84</c:f>
              <c:strCache>
                <c:ptCount val="1"/>
                <c:pt idx="0">
                  <c:v>2014</c:v>
                </c:pt>
              </c:strCache>
            </c:strRef>
          </c:tx>
          <c:spPr>
            <a:solidFill>
              <a:srgbClr val="FFFF00"/>
            </a:solidFill>
            <a:ln>
              <a:solidFill>
                <a:schemeClr val="accent1"/>
              </a:solidFill>
            </a:ln>
          </c:spPr>
          <c:invertIfNegative val="0"/>
          <c:cat>
            <c:strRef>
              <c:f>'по предпр'!$A$85:$A$89</c:f>
              <c:strCache>
                <c:ptCount val="5"/>
                <c:pt idx="0">
                  <c:v>Вифитех</c:v>
                </c:pt>
                <c:pt idx="1">
                  <c:v>Гиппократ</c:v>
                </c:pt>
                <c:pt idx="2">
                  <c:v>Камелия</c:v>
                </c:pt>
                <c:pt idx="3">
                  <c:v>Тульская фф</c:v>
                </c:pt>
                <c:pt idx="4">
                  <c:v>Лекрасет</c:v>
                </c:pt>
              </c:strCache>
            </c:strRef>
          </c:cat>
          <c:val>
            <c:numRef>
              <c:f>'по предпр'!$B$85:$B$89</c:f>
              <c:numCache>
                <c:formatCode>General</c:formatCode>
                <c:ptCount val="5"/>
                <c:pt idx="0">
                  <c:v>439</c:v>
                </c:pt>
                <c:pt idx="1">
                  <c:v>219</c:v>
                </c:pt>
                <c:pt idx="2">
                  <c:v>24</c:v>
                </c:pt>
                <c:pt idx="3">
                  <c:v>44</c:v>
                </c:pt>
                <c:pt idx="4">
                  <c:v>42</c:v>
                </c:pt>
              </c:numCache>
            </c:numRef>
          </c:val>
        </c:ser>
        <c:ser>
          <c:idx val="1"/>
          <c:order val="1"/>
          <c:tx>
            <c:strRef>
              <c:f>'по предпр'!$C$84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rgbClr val="FFFF00"/>
            </a:solidFill>
            <a:ln>
              <a:solidFill>
                <a:schemeClr val="accent1"/>
              </a:solidFill>
            </a:ln>
          </c:spPr>
          <c:invertIfNegative val="0"/>
          <c:cat>
            <c:strRef>
              <c:f>'по предпр'!$A$85:$A$89</c:f>
              <c:strCache>
                <c:ptCount val="5"/>
                <c:pt idx="0">
                  <c:v>Вифитех</c:v>
                </c:pt>
                <c:pt idx="1">
                  <c:v>Гиппократ</c:v>
                </c:pt>
                <c:pt idx="2">
                  <c:v>Камелия</c:v>
                </c:pt>
                <c:pt idx="3">
                  <c:v>Тульская фф</c:v>
                </c:pt>
                <c:pt idx="4">
                  <c:v>Лекрасет</c:v>
                </c:pt>
              </c:strCache>
            </c:strRef>
          </c:cat>
          <c:val>
            <c:numRef>
              <c:f>'по предпр'!$C$85:$C$89</c:f>
              <c:numCache>
                <c:formatCode>General</c:formatCode>
                <c:ptCount val="5"/>
                <c:pt idx="0">
                  <c:v>888</c:v>
                </c:pt>
                <c:pt idx="1">
                  <c:v>0</c:v>
                </c:pt>
                <c:pt idx="2">
                  <c:v>64</c:v>
                </c:pt>
                <c:pt idx="3">
                  <c:v>71</c:v>
                </c:pt>
                <c:pt idx="4">
                  <c:v>44</c:v>
                </c:pt>
              </c:numCache>
            </c:numRef>
          </c:val>
        </c:ser>
        <c:ser>
          <c:idx val="2"/>
          <c:order val="2"/>
          <c:tx>
            <c:strRef>
              <c:f>'по предпр'!$D$84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rgbClr val="FFFF00"/>
            </a:solidFill>
            <a:ln>
              <a:solidFill>
                <a:schemeClr val="accent1"/>
              </a:solidFill>
            </a:ln>
          </c:spPr>
          <c:invertIfNegative val="0"/>
          <c:cat>
            <c:strRef>
              <c:f>'по предпр'!$A$85:$A$89</c:f>
              <c:strCache>
                <c:ptCount val="5"/>
                <c:pt idx="0">
                  <c:v>Вифитех</c:v>
                </c:pt>
                <c:pt idx="1">
                  <c:v>Гиппократ</c:v>
                </c:pt>
                <c:pt idx="2">
                  <c:v>Камелия</c:v>
                </c:pt>
                <c:pt idx="3">
                  <c:v>Тульская фф</c:v>
                </c:pt>
                <c:pt idx="4">
                  <c:v>Лекрасет</c:v>
                </c:pt>
              </c:strCache>
            </c:strRef>
          </c:cat>
          <c:val>
            <c:numRef>
              <c:f>'по предпр'!$D$85:$D$89</c:f>
              <c:numCache>
                <c:formatCode>General</c:formatCode>
                <c:ptCount val="5"/>
                <c:pt idx="0">
                  <c:v>1466</c:v>
                </c:pt>
                <c:pt idx="1">
                  <c:v>23</c:v>
                </c:pt>
                <c:pt idx="2">
                  <c:v>37</c:v>
                </c:pt>
                <c:pt idx="3">
                  <c:v>245</c:v>
                </c:pt>
                <c:pt idx="4">
                  <c:v>75</c:v>
                </c:pt>
              </c:numCache>
            </c:numRef>
          </c:val>
        </c:ser>
        <c:ser>
          <c:idx val="3"/>
          <c:order val="3"/>
          <c:tx>
            <c:strRef>
              <c:f>'по предпр'!$E$84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rgbClr val="FFFF00"/>
            </a:solidFill>
            <a:ln>
              <a:solidFill>
                <a:schemeClr val="accent1"/>
              </a:solidFill>
            </a:ln>
          </c:spPr>
          <c:invertIfNegative val="0"/>
          <c:cat>
            <c:strRef>
              <c:f>'по предпр'!$A$85:$A$89</c:f>
              <c:strCache>
                <c:ptCount val="5"/>
                <c:pt idx="0">
                  <c:v>Вифитех</c:v>
                </c:pt>
                <c:pt idx="1">
                  <c:v>Гиппократ</c:v>
                </c:pt>
                <c:pt idx="2">
                  <c:v>Камелия</c:v>
                </c:pt>
                <c:pt idx="3">
                  <c:v>Тульская фф</c:v>
                </c:pt>
                <c:pt idx="4">
                  <c:v>Лекрасет</c:v>
                </c:pt>
              </c:strCache>
            </c:strRef>
          </c:cat>
          <c:val>
            <c:numRef>
              <c:f>'по предпр'!$E$85:$E$89</c:f>
              <c:numCache>
                <c:formatCode>0</c:formatCode>
                <c:ptCount val="5"/>
                <c:pt idx="0">
                  <c:v>1703.4</c:v>
                </c:pt>
                <c:pt idx="1">
                  <c:v>58</c:v>
                </c:pt>
                <c:pt idx="2">
                  <c:v>23.5</c:v>
                </c:pt>
                <c:pt idx="3">
                  <c:v>136.19999999999999</c:v>
                </c:pt>
                <c:pt idx="4">
                  <c:v>72</c:v>
                </c:pt>
              </c:numCache>
            </c:numRef>
          </c:val>
        </c:ser>
        <c:ser>
          <c:idx val="4"/>
          <c:order val="4"/>
          <c:tx>
            <c:strRef>
              <c:f>'по предпр'!$F$84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rgbClr val="FFFF00"/>
            </a:solidFill>
            <a:ln>
              <a:solidFill>
                <a:schemeClr val="accent1"/>
              </a:solidFill>
            </a:ln>
          </c:spPr>
          <c:invertIfNegative val="0"/>
          <c:cat>
            <c:strRef>
              <c:f>'по предпр'!$A$85:$A$89</c:f>
              <c:strCache>
                <c:ptCount val="5"/>
                <c:pt idx="0">
                  <c:v>Вифитех</c:v>
                </c:pt>
                <c:pt idx="1">
                  <c:v>Гиппократ</c:v>
                </c:pt>
                <c:pt idx="2">
                  <c:v>Камелия</c:v>
                </c:pt>
                <c:pt idx="3">
                  <c:v>Тульская фф</c:v>
                </c:pt>
                <c:pt idx="4">
                  <c:v>Лекрасет</c:v>
                </c:pt>
              </c:strCache>
            </c:strRef>
          </c:cat>
          <c:val>
            <c:numRef>
              <c:f>'по предпр'!$F$85:$F$89</c:f>
              <c:numCache>
                <c:formatCode>General</c:formatCode>
                <c:ptCount val="5"/>
                <c:pt idx="0">
                  <c:v>458</c:v>
                </c:pt>
                <c:pt idx="1">
                  <c:v>55</c:v>
                </c:pt>
                <c:pt idx="2" formatCode="0">
                  <c:v>53</c:v>
                </c:pt>
                <c:pt idx="3" formatCode="0">
                  <c:v>113</c:v>
                </c:pt>
                <c:pt idx="4" formatCode="0">
                  <c:v>69</c:v>
                </c:pt>
              </c:numCache>
            </c:numRef>
          </c:val>
        </c:ser>
        <c:ser>
          <c:idx val="5"/>
          <c:order val="5"/>
          <c:tx>
            <c:strRef>
              <c:f>'по предпр'!$G$84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rgbClr val="FFFF00"/>
            </a:solidFill>
            <a:ln>
              <a:solidFill>
                <a:schemeClr val="accent1"/>
              </a:solidFill>
            </a:ln>
          </c:spPr>
          <c:invertIfNegative val="0"/>
          <c:cat>
            <c:strRef>
              <c:f>'по предпр'!$A$85:$A$89</c:f>
              <c:strCache>
                <c:ptCount val="5"/>
                <c:pt idx="0">
                  <c:v>Вифитех</c:v>
                </c:pt>
                <c:pt idx="1">
                  <c:v>Гиппократ</c:v>
                </c:pt>
                <c:pt idx="2">
                  <c:v>Камелия</c:v>
                </c:pt>
                <c:pt idx="3">
                  <c:v>Тульская фф</c:v>
                </c:pt>
                <c:pt idx="4">
                  <c:v>Лекрасет</c:v>
                </c:pt>
              </c:strCache>
            </c:strRef>
          </c:cat>
          <c:val>
            <c:numRef>
              <c:f>'по предпр'!$G$85:$G$89</c:f>
              <c:numCache>
                <c:formatCode>General</c:formatCode>
                <c:ptCount val="5"/>
                <c:pt idx="0">
                  <c:v>650.29999999999995</c:v>
                </c:pt>
                <c:pt idx="1">
                  <c:v>196</c:v>
                </c:pt>
                <c:pt idx="2" formatCode="0">
                  <c:v>99</c:v>
                </c:pt>
                <c:pt idx="3" formatCode="0">
                  <c:v>131.4</c:v>
                </c:pt>
                <c:pt idx="4" formatCode="0">
                  <c:v>101</c:v>
                </c:pt>
              </c:numCache>
            </c:numRef>
          </c:val>
        </c:ser>
        <c:ser>
          <c:idx val="6"/>
          <c:order val="6"/>
          <c:tx>
            <c:strRef>
              <c:f>'по предпр'!$H$84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rgbClr val="FFFF00"/>
            </a:solidFill>
            <a:ln>
              <a:solidFill>
                <a:schemeClr val="accent1"/>
              </a:solidFill>
            </a:ln>
          </c:spPr>
          <c:invertIfNegative val="0"/>
          <c:cat>
            <c:strRef>
              <c:f>'по предпр'!$A$85:$A$89</c:f>
              <c:strCache>
                <c:ptCount val="5"/>
                <c:pt idx="0">
                  <c:v>Вифитех</c:v>
                </c:pt>
                <c:pt idx="1">
                  <c:v>Гиппократ</c:v>
                </c:pt>
                <c:pt idx="2">
                  <c:v>Камелия</c:v>
                </c:pt>
                <c:pt idx="3">
                  <c:v>Тульская фф</c:v>
                </c:pt>
                <c:pt idx="4">
                  <c:v>Лекрасет</c:v>
                </c:pt>
              </c:strCache>
            </c:strRef>
          </c:cat>
          <c:val>
            <c:numRef>
              <c:f>'по предпр'!$H$85:$H$89</c:f>
              <c:numCache>
                <c:formatCode>General</c:formatCode>
                <c:ptCount val="5"/>
                <c:pt idx="0">
                  <c:v>854.5</c:v>
                </c:pt>
                <c:pt idx="1">
                  <c:v>316</c:v>
                </c:pt>
                <c:pt idx="2" formatCode="0">
                  <c:v>126</c:v>
                </c:pt>
                <c:pt idx="3" formatCode="0">
                  <c:v>177</c:v>
                </c:pt>
                <c:pt idx="4" formatCode="0">
                  <c:v>132</c:v>
                </c:pt>
              </c:numCache>
            </c:numRef>
          </c:val>
        </c:ser>
        <c:ser>
          <c:idx val="7"/>
          <c:order val="7"/>
          <c:tx>
            <c:strRef>
              <c:f>'по предпр'!$I$84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rgbClr val="FFFF00"/>
            </a:solidFill>
            <a:ln>
              <a:solidFill>
                <a:schemeClr val="accent1"/>
              </a:solidFill>
            </a:ln>
          </c:spPr>
          <c:invertIfNegative val="0"/>
          <c:cat>
            <c:strRef>
              <c:f>'по предпр'!$A$85:$A$89</c:f>
              <c:strCache>
                <c:ptCount val="5"/>
                <c:pt idx="0">
                  <c:v>Вифитех</c:v>
                </c:pt>
                <c:pt idx="1">
                  <c:v>Гиппократ</c:v>
                </c:pt>
                <c:pt idx="2">
                  <c:v>Камелия</c:v>
                </c:pt>
                <c:pt idx="3">
                  <c:v>Тульская фф</c:v>
                </c:pt>
                <c:pt idx="4">
                  <c:v>Лекрасет</c:v>
                </c:pt>
              </c:strCache>
            </c:strRef>
          </c:cat>
          <c:val>
            <c:numRef>
              <c:f>'по предпр'!$I$85:$I$89</c:f>
              <c:numCache>
                <c:formatCode>General</c:formatCode>
                <c:ptCount val="5"/>
                <c:pt idx="0">
                  <c:v>633</c:v>
                </c:pt>
                <c:pt idx="1">
                  <c:v>279</c:v>
                </c:pt>
                <c:pt idx="2">
                  <c:v>116</c:v>
                </c:pt>
                <c:pt idx="3">
                  <c:v>50</c:v>
                </c:pt>
                <c:pt idx="4">
                  <c:v>189</c:v>
                </c:pt>
              </c:numCache>
            </c:numRef>
          </c:val>
        </c:ser>
        <c:ser>
          <c:idx val="8"/>
          <c:order val="8"/>
          <c:tx>
            <c:strRef>
              <c:f>'по предпр'!$J$84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FF0000"/>
            </a:solidFill>
            <a:ln>
              <a:solidFill>
                <a:schemeClr val="accent1"/>
              </a:solidFill>
            </a:ln>
          </c:spPr>
          <c:invertIfNegative val="0"/>
          <c:dLbls>
            <c:dLbl>
              <c:idx val="0"/>
              <c:layout>
                <c:manualLayout>
                  <c:x val="2.3546723714424594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3.5320085571636892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layout>
                <c:manualLayout>
                  <c:x val="0"/>
                  <c:y val="-5.55555555555555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'по предпр'!$A$85:$A$89</c:f>
              <c:strCache>
                <c:ptCount val="5"/>
                <c:pt idx="0">
                  <c:v>Вифитех</c:v>
                </c:pt>
                <c:pt idx="1">
                  <c:v>Гиппократ</c:v>
                </c:pt>
                <c:pt idx="2">
                  <c:v>Камелия</c:v>
                </c:pt>
                <c:pt idx="3">
                  <c:v>Тульская фф</c:v>
                </c:pt>
                <c:pt idx="4">
                  <c:v>Лекрасет</c:v>
                </c:pt>
              </c:strCache>
            </c:strRef>
          </c:cat>
          <c:val>
            <c:numRef>
              <c:f>'по предпр'!$J$85:$J$89</c:f>
              <c:numCache>
                <c:formatCode>General</c:formatCode>
                <c:ptCount val="5"/>
                <c:pt idx="0">
                  <c:v>477</c:v>
                </c:pt>
                <c:pt idx="1">
                  <c:v>208</c:v>
                </c:pt>
                <c:pt idx="2">
                  <c:v>134</c:v>
                </c:pt>
                <c:pt idx="3">
                  <c:v>109</c:v>
                </c:pt>
                <c:pt idx="4">
                  <c:v>110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79975936"/>
        <c:axId val="79977472"/>
        <c:axId val="0"/>
      </c:bar3DChart>
      <c:catAx>
        <c:axId val="799759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79977472"/>
        <c:crosses val="autoZero"/>
        <c:auto val="1"/>
        <c:lblAlgn val="ctr"/>
        <c:lblOffset val="100"/>
        <c:noMultiLvlLbl val="0"/>
      </c:catAx>
      <c:valAx>
        <c:axId val="79977472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crossAx val="79975936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'по предпр'!$B$91</c:f>
              <c:strCache>
                <c:ptCount val="1"/>
                <c:pt idx="0">
                  <c:v>2014</c:v>
                </c:pt>
              </c:strCache>
            </c:strRef>
          </c:tx>
          <c:spPr>
            <a:solidFill>
              <a:srgbClr val="FFFF00"/>
            </a:solidFill>
            <a:ln>
              <a:solidFill>
                <a:schemeClr val="accent1"/>
              </a:solidFill>
            </a:ln>
          </c:spPr>
          <c:invertIfNegative val="0"/>
          <c:cat>
            <c:strRef>
              <c:f>'по предпр'!$A$92:$A$96</c:f>
              <c:strCache>
                <c:ptCount val="5"/>
                <c:pt idx="0">
                  <c:v>Глобал Фарм</c:v>
                </c:pt>
                <c:pt idx="1">
                  <c:v>Эвалар</c:v>
                </c:pt>
                <c:pt idx="2">
                  <c:v>Хорст</c:v>
                </c:pt>
                <c:pt idx="3">
                  <c:v>Хармс</c:v>
                </c:pt>
                <c:pt idx="4">
                  <c:v>Пензен. Зав.</c:v>
                </c:pt>
              </c:strCache>
            </c:strRef>
          </c:cat>
          <c:val>
            <c:numRef>
              <c:f>'по предпр'!$B$92:$B$96</c:f>
              <c:numCache>
                <c:formatCode>General</c:formatCode>
                <c:ptCount val="5"/>
                <c:pt idx="0">
                  <c:v>370</c:v>
                </c:pt>
                <c:pt idx="1">
                  <c:v>7</c:v>
                </c:pt>
                <c:pt idx="2">
                  <c:v>149</c:v>
                </c:pt>
                <c:pt idx="3" formatCode="0">
                  <c:v>155.05882352941177</c:v>
                </c:pt>
                <c:pt idx="4" formatCode="0">
                  <c:v>3.8873994638069704</c:v>
                </c:pt>
              </c:numCache>
            </c:numRef>
          </c:val>
        </c:ser>
        <c:ser>
          <c:idx val="1"/>
          <c:order val="1"/>
          <c:tx>
            <c:strRef>
              <c:f>'по предпр'!$C$91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rgbClr val="FFFF00"/>
            </a:solidFill>
            <a:ln>
              <a:solidFill>
                <a:schemeClr val="accent1"/>
              </a:solidFill>
            </a:ln>
          </c:spPr>
          <c:invertIfNegative val="0"/>
          <c:cat>
            <c:strRef>
              <c:f>'по предпр'!$A$92:$A$96</c:f>
              <c:strCache>
                <c:ptCount val="5"/>
                <c:pt idx="0">
                  <c:v>Глобал Фарм</c:v>
                </c:pt>
                <c:pt idx="1">
                  <c:v>Эвалар</c:v>
                </c:pt>
                <c:pt idx="2">
                  <c:v>Хорст</c:v>
                </c:pt>
                <c:pt idx="3">
                  <c:v>Хармс</c:v>
                </c:pt>
                <c:pt idx="4">
                  <c:v>Пензен. Зав.</c:v>
                </c:pt>
              </c:strCache>
            </c:strRef>
          </c:cat>
          <c:val>
            <c:numRef>
              <c:f>'по предпр'!$C$92:$C$96</c:f>
              <c:numCache>
                <c:formatCode>General</c:formatCode>
                <c:ptCount val="5"/>
                <c:pt idx="0">
                  <c:v>339</c:v>
                </c:pt>
                <c:pt idx="1">
                  <c:v>70</c:v>
                </c:pt>
                <c:pt idx="2">
                  <c:v>65</c:v>
                </c:pt>
                <c:pt idx="3" formatCode="0">
                  <c:v>40.153488372093022</c:v>
                </c:pt>
                <c:pt idx="4" formatCode="0">
                  <c:v>3.1013824884792625</c:v>
                </c:pt>
              </c:numCache>
            </c:numRef>
          </c:val>
        </c:ser>
        <c:ser>
          <c:idx val="2"/>
          <c:order val="2"/>
          <c:tx>
            <c:strRef>
              <c:f>'по предпр'!$D$91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rgbClr val="FFFF00"/>
            </a:solidFill>
            <a:ln>
              <a:solidFill>
                <a:schemeClr val="accent1"/>
              </a:solidFill>
            </a:ln>
          </c:spPr>
          <c:invertIfNegative val="0"/>
          <c:cat>
            <c:strRef>
              <c:f>'по предпр'!$A$92:$A$96</c:f>
              <c:strCache>
                <c:ptCount val="5"/>
                <c:pt idx="0">
                  <c:v>Глобал Фарм</c:v>
                </c:pt>
                <c:pt idx="1">
                  <c:v>Эвалар</c:v>
                </c:pt>
                <c:pt idx="2">
                  <c:v>Хорст</c:v>
                </c:pt>
                <c:pt idx="3">
                  <c:v>Хармс</c:v>
                </c:pt>
                <c:pt idx="4">
                  <c:v>Пензен. Зав.</c:v>
                </c:pt>
              </c:strCache>
            </c:strRef>
          </c:cat>
          <c:val>
            <c:numRef>
              <c:f>'по предпр'!$D$92:$D$96</c:f>
              <c:numCache>
                <c:formatCode>General</c:formatCode>
                <c:ptCount val="5"/>
                <c:pt idx="0">
                  <c:v>110</c:v>
                </c:pt>
                <c:pt idx="1">
                  <c:v>93</c:v>
                </c:pt>
                <c:pt idx="2">
                  <c:v>57</c:v>
                </c:pt>
                <c:pt idx="3" formatCode="0">
                  <c:v>110.7</c:v>
                </c:pt>
                <c:pt idx="4" formatCode="0">
                  <c:v>23.156862745098039</c:v>
                </c:pt>
              </c:numCache>
            </c:numRef>
          </c:val>
        </c:ser>
        <c:ser>
          <c:idx val="3"/>
          <c:order val="3"/>
          <c:tx>
            <c:strRef>
              <c:f>'по предпр'!$E$91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rgbClr val="FFFF00"/>
            </a:solidFill>
            <a:ln>
              <a:solidFill>
                <a:schemeClr val="accent1"/>
              </a:solidFill>
            </a:ln>
          </c:spPr>
          <c:invertIfNegative val="0"/>
          <c:cat>
            <c:strRef>
              <c:f>'по предпр'!$A$92:$A$96</c:f>
              <c:strCache>
                <c:ptCount val="5"/>
                <c:pt idx="0">
                  <c:v>Глобал Фарм</c:v>
                </c:pt>
                <c:pt idx="1">
                  <c:v>Эвалар</c:v>
                </c:pt>
                <c:pt idx="2">
                  <c:v>Хорст</c:v>
                </c:pt>
                <c:pt idx="3">
                  <c:v>Хармс</c:v>
                </c:pt>
                <c:pt idx="4">
                  <c:v>Пензен. Зав.</c:v>
                </c:pt>
              </c:strCache>
            </c:strRef>
          </c:cat>
          <c:val>
            <c:numRef>
              <c:f>'по предпр'!$E$92:$E$96</c:f>
              <c:numCache>
                <c:formatCode>0</c:formatCode>
                <c:ptCount val="5"/>
                <c:pt idx="0">
                  <c:v>305.7</c:v>
                </c:pt>
                <c:pt idx="1">
                  <c:v>114.3</c:v>
                </c:pt>
                <c:pt idx="2">
                  <c:v>82.6</c:v>
                </c:pt>
                <c:pt idx="3">
                  <c:v>143.19999999999999</c:v>
                </c:pt>
                <c:pt idx="4">
                  <c:v>136.56390977443607</c:v>
                </c:pt>
              </c:numCache>
            </c:numRef>
          </c:val>
        </c:ser>
        <c:ser>
          <c:idx val="4"/>
          <c:order val="4"/>
          <c:tx>
            <c:strRef>
              <c:f>'по предпр'!$F$91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rgbClr val="FFFF00"/>
            </a:solidFill>
            <a:ln>
              <a:solidFill>
                <a:schemeClr val="accent1"/>
              </a:solidFill>
            </a:ln>
          </c:spPr>
          <c:invertIfNegative val="0"/>
          <c:cat>
            <c:strRef>
              <c:f>'по предпр'!$A$92:$A$96</c:f>
              <c:strCache>
                <c:ptCount val="5"/>
                <c:pt idx="0">
                  <c:v>Глобал Фарм</c:v>
                </c:pt>
                <c:pt idx="1">
                  <c:v>Эвалар</c:v>
                </c:pt>
                <c:pt idx="2">
                  <c:v>Хорст</c:v>
                </c:pt>
                <c:pt idx="3">
                  <c:v>Хармс</c:v>
                </c:pt>
                <c:pt idx="4">
                  <c:v>Пензен. Зав.</c:v>
                </c:pt>
              </c:strCache>
            </c:strRef>
          </c:cat>
          <c:val>
            <c:numRef>
              <c:f>'по предпр'!$F$92:$F$96</c:f>
              <c:numCache>
                <c:formatCode>0</c:formatCode>
                <c:ptCount val="5"/>
                <c:pt idx="0">
                  <c:v>217</c:v>
                </c:pt>
                <c:pt idx="1">
                  <c:v>55</c:v>
                </c:pt>
                <c:pt idx="2">
                  <c:v>86</c:v>
                </c:pt>
                <c:pt idx="3">
                  <c:v>119</c:v>
                </c:pt>
                <c:pt idx="4">
                  <c:v>87</c:v>
                </c:pt>
              </c:numCache>
            </c:numRef>
          </c:val>
        </c:ser>
        <c:ser>
          <c:idx val="5"/>
          <c:order val="5"/>
          <c:tx>
            <c:strRef>
              <c:f>'по предпр'!$G$91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rgbClr val="FFFF00"/>
            </a:solidFill>
            <a:ln>
              <a:solidFill>
                <a:schemeClr val="accent1"/>
              </a:solidFill>
            </a:ln>
          </c:spPr>
          <c:invertIfNegative val="0"/>
          <c:cat>
            <c:strRef>
              <c:f>'по предпр'!$A$92:$A$96</c:f>
              <c:strCache>
                <c:ptCount val="5"/>
                <c:pt idx="0">
                  <c:v>Глобал Фарм</c:v>
                </c:pt>
                <c:pt idx="1">
                  <c:v>Эвалар</c:v>
                </c:pt>
                <c:pt idx="2">
                  <c:v>Хорст</c:v>
                </c:pt>
                <c:pt idx="3">
                  <c:v>Хармс</c:v>
                </c:pt>
                <c:pt idx="4">
                  <c:v>Пензен. Зав.</c:v>
                </c:pt>
              </c:strCache>
            </c:strRef>
          </c:cat>
          <c:val>
            <c:numRef>
              <c:f>'по предпр'!$G$92:$G$96</c:f>
              <c:numCache>
                <c:formatCode>0</c:formatCode>
                <c:ptCount val="5"/>
                <c:pt idx="0">
                  <c:v>169</c:v>
                </c:pt>
                <c:pt idx="1">
                  <c:v>28</c:v>
                </c:pt>
                <c:pt idx="2">
                  <c:v>157</c:v>
                </c:pt>
                <c:pt idx="3">
                  <c:v>40</c:v>
                </c:pt>
                <c:pt idx="4">
                  <c:v>3.5</c:v>
                </c:pt>
              </c:numCache>
            </c:numRef>
          </c:val>
        </c:ser>
        <c:ser>
          <c:idx val="6"/>
          <c:order val="6"/>
          <c:tx>
            <c:strRef>
              <c:f>'по предпр'!$H$91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rgbClr val="FFFF00"/>
            </a:solidFill>
            <a:ln>
              <a:solidFill>
                <a:schemeClr val="accent1"/>
              </a:solidFill>
            </a:ln>
          </c:spPr>
          <c:invertIfNegative val="0"/>
          <c:cat>
            <c:strRef>
              <c:f>'по предпр'!$A$92:$A$96</c:f>
              <c:strCache>
                <c:ptCount val="5"/>
                <c:pt idx="0">
                  <c:v>Глобал Фарм</c:v>
                </c:pt>
                <c:pt idx="1">
                  <c:v>Эвалар</c:v>
                </c:pt>
                <c:pt idx="2">
                  <c:v>Хорст</c:v>
                </c:pt>
                <c:pt idx="3">
                  <c:v>Хармс</c:v>
                </c:pt>
                <c:pt idx="4">
                  <c:v>Пензен. Зав.</c:v>
                </c:pt>
              </c:strCache>
            </c:strRef>
          </c:cat>
          <c:val>
            <c:numRef>
              <c:f>'по предпр'!$H$92:$H$96</c:f>
              <c:numCache>
                <c:formatCode>0</c:formatCode>
                <c:ptCount val="5"/>
                <c:pt idx="0">
                  <c:v>99</c:v>
                </c:pt>
                <c:pt idx="1">
                  <c:v>16</c:v>
                </c:pt>
                <c:pt idx="2">
                  <c:v>126</c:v>
                </c:pt>
                <c:pt idx="3">
                  <c:v>85</c:v>
                </c:pt>
                <c:pt idx="4">
                  <c:v>99</c:v>
                </c:pt>
              </c:numCache>
            </c:numRef>
          </c:val>
        </c:ser>
        <c:ser>
          <c:idx val="7"/>
          <c:order val="7"/>
          <c:tx>
            <c:strRef>
              <c:f>'по предпр'!$I$91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rgbClr val="FFFF00"/>
            </a:solidFill>
            <a:ln>
              <a:solidFill>
                <a:schemeClr val="accent1"/>
              </a:solidFill>
            </a:ln>
          </c:spPr>
          <c:invertIfNegative val="0"/>
          <c:cat>
            <c:strRef>
              <c:f>'по предпр'!$A$92:$A$96</c:f>
              <c:strCache>
                <c:ptCount val="5"/>
                <c:pt idx="0">
                  <c:v>Глобал Фарм</c:v>
                </c:pt>
                <c:pt idx="1">
                  <c:v>Эвалар</c:v>
                </c:pt>
                <c:pt idx="2">
                  <c:v>Хорст</c:v>
                </c:pt>
                <c:pt idx="3">
                  <c:v>Хармс</c:v>
                </c:pt>
                <c:pt idx="4">
                  <c:v>Пензен. Зав.</c:v>
                </c:pt>
              </c:strCache>
            </c:strRef>
          </c:cat>
          <c:val>
            <c:numRef>
              <c:f>'по предпр'!$I$92:$I$96</c:f>
              <c:numCache>
                <c:formatCode>General</c:formatCode>
                <c:ptCount val="5"/>
                <c:pt idx="0" formatCode="0">
                  <c:v>131</c:v>
                </c:pt>
                <c:pt idx="1">
                  <c:v>63</c:v>
                </c:pt>
                <c:pt idx="2">
                  <c:v>61</c:v>
                </c:pt>
                <c:pt idx="3">
                  <c:v>76</c:v>
                </c:pt>
                <c:pt idx="4">
                  <c:v>91</c:v>
                </c:pt>
              </c:numCache>
            </c:numRef>
          </c:val>
        </c:ser>
        <c:ser>
          <c:idx val="8"/>
          <c:order val="8"/>
          <c:tx>
            <c:strRef>
              <c:f>'по предпр'!$J$91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FF0000"/>
            </a:solidFill>
            <a:ln>
              <a:solidFill>
                <a:schemeClr val="accent1"/>
              </a:solidFill>
            </a:ln>
          </c:spPr>
          <c:invertIfNegative val="0"/>
          <c:dLbls>
            <c:dLbl>
              <c:idx val="0"/>
              <c:layout>
                <c:manualLayout>
                  <c:x val="2.3546723714424594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1.1773361857212297E-2"/>
                  <c:y val="-4.16666666666666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1.1773361857212297E-2"/>
                  <c:y val="-2.777777777777786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1.1773361857212297E-2"/>
                  <c:y val="-3.70370370370370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layout>
                <c:manualLayout>
                  <c:x val="0"/>
                  <c:y val="-5.55555555555555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'по предпр'!$A$92:$A$96</c:f>
              <c:strCache>
                <c:ptCount val="5"/>
                <c:pt idx="0">
                  <c:v>Глобал Фарм</c:v>
                </c:pt>
                <c:pt idx="1">
                  <c:v>Эвалар</c:v>
                </c:pt>
                <c:pt idx="2">
                  <c:v>Хорст</c:v>
                </c:pt>
                <c:pt idx="3">
                  <c:v>Хармс</c:v>
                </c:pt>
                <c:pt idx="4">
                  <c:v>Пензен. Зав.</c:v>
                </c:pt>
              </c:strCache>
            </c:strRef>
          </c:cat>
          <c:val>
            <c:numRef>
              <c:f>'по предпр'!$J$92:$J$96</c:f>
              <c:numCache>
                <c:formatCode>General</c:formatCode>
                <c:ptCount val="5"/>
                <c:pt idx="0" formatCode="0">
                  <c:v>0</c:v>
                </c:pt>
                <c:pt idx="1">
                  <c:v>34</c:v>
                </c:pt>
                <c:pt idx="2">
                  <c:v>17</c:v>
                </c:pt>
                <c:pt idx="3">
                  <c:v>60</c:v>
                </c:pt>
                <c:pt idx="4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80168448"/>
        <c:axId val="80169984"/>
        <c:axId val="0"/>
      </c:bar3DChart>
      <c:catAx>
        <c:axId val="801684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80169984"/>
        <c:crosses val="autoZero"/>
        <c:auto val="1"/>
        <c:lblAlgn val="ctr"/>
        <c:lblOffset val="100"/>
        <c:noMultiLvlLbl val="0"/>
      </c:catAx>
      <c:valAx>
        <c:axId val="80169984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crossAx val="80168448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3071062992125984"/>
          <c:y val="7.4548702245552642E-2"/>
          <c:w val="0.86928937007874019"/>
          <c:h val="0.57500218722659668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'по предпр'!$B$33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3">
                <a:lumMod val="60000"/>
                <a:lumOff val="40000"/>
              </a:schemeClr>
            </a:solidFill>
            <a:ln>
              <a:solidFill>
                <a:schemeClr val="accent3">
                  <a:lumMod val="75000"/>
                </a:schemeClr>
              </a:solidFill>
            </a:ln>
          </c:spPr>
          <c:invertIfNegative val="0"/>
          <c:cat>
            <c:strRef>
              <c:f>'по предпр'!$A$34:$A$43</c:f>
              <c:strCache>
                <c:ptCount val="10"/>
                <c:pt idx="0">
                  <c:v>Любысток</c:v>
                </c:pt>
                <c:pt idx="1">
                  <c:v>Ровенская ПК</c:v>
                </c:pt>
                <c:pt idx="2">
                  <c:v>Техн.та обладн. </c:v>
                </c:pt>
                <c:pt idx="3">
                  <c:v>Пайпер </c:v>
                </c:pt>
                <c:pt idx="4">
                  <c:v>Ямуна </c:v>
                </c:pt>
                <c:pt idx="5">
                  <c:v>Инто Укр. </c:v>
                </c:pt>
                <c:pt idx="6">
                  <c:v>Океан вкуса</c:v>
                </c:pt>
                <c:pt idx="7">
                  <c:v>Ивамакс</c:v>
                </c:pt>
                <c:pt idx="8">
                  <c:v>Экорганик</c:v>
                </c:pt>
                <c:pt idx="9">
                  <c:v>Виларус</c:v>
                </c:pt>
              </c:strCache>
            </c:strRef>
          </c:cat>
          <c:val>
            <c:numRef>
              <c:f>'по предпр'!$B$34:$B$43</c:f>
              <c:numCache>
                <c:formatCode>0</c:formatCode>
                <c:ptCount val="10"/>
                <c:pt idx="0">
                  <c:v>329</c:v>
                </c:pt>
                <c:pt idx="1">
                  <c:v>3</c:v>
                </c:pt>
                <c:pt idx="3">
                  <c:v>64</c:v>
                </c:pt>
                <c:pt idx="4">
                  <c:v>68</c:v>
                </c:pt>
                <c:pt idx="5">
                  <c:v>0</c:v>
                </c:pt>
                <c:pt idx="6">
                  <c:v>53</c:v>
                </c:pt>
                <c:pt idx="7">
                  <c:v>274</c:v>
                </c:pt>
                <c:pt idx="8">
                  <c:v>132</c:v>
                </c:pt>
                <c:pt idx="9">
                  <c:v>386</c:v>
                </c:pt>
              </c:numCache>
            </c:numRef>
          </c:val>
        </c:ser>
        <c:ser>
          <c:idx val="1"/>
          <c:order val="1"/>
          <c:tx>
            <c:strRef>
              <c:f>'по предпр'!$C$33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3">
                <a:lumMod val="60000"/>
                <a:lumOff val="40000"/>
              </a:schemeClr>
            </a:solidFill>
            <a:ln>
              <a:solidFill>
                <a:schemeClr val="accent3">
                  <a:lumMod val="75000"/>
                </a:schemeClr>
              </a:solidFill>
            </a:ln>
          </c:spPr>
          <c:invertIfNegative val="0"/>
          <c:cat>
            <c:strRef>
              <c:f>'по предпр'!$A$34:$A$43</c:f>
              <c:strCache>
                <c:ptCount val="10"/>
                <c:pt idx="0">
                  <c:v>Любысток</c:v>
                </c:pt>
                <c:pt idx="1">
                  <c:v>Ровенская ПК</c:v>
                </c:pt>
                <c:pt idx="2">
                  <c:v>Техн.та обладн. </c:v>
                </c:pt>
                <c:pt idx="3">
                  <c:v>Пайпер </c:v>
                </c:pt>
                <c:pt idx="4">
                  <c:v>Ямуна </c:v>
                </c:pt>
                <c:pt idx="5">
                  <c:v>Инто Укр. </c:v>
                </c:pt>
                <c:pt idx="6">
                  <c:v>Океан вкуса</c:v>
                </c:pt>
                <c:pt idx="7">
                  <c:v>Ивамакс</c:v>
                </c:pt>
                <c:pt idx="8">
                  <c:v>Экорганик</c:v>
                </c:pt>
                <c:pt idx="9">
                  <c:v>Виларус</c:v>
                </c:pt>
              </c:strCache>
            </c:strRef>
          </c:cat>
          <c:val>
            <c:numRef>
              <c:f>'по предпр'!$C$34:$C$43</c:f>
              <c:numCache>
                <c:formatCode>General</c:formatCode>
                <c:ptCount val="10"/>
                <c:pt idx="0">
                  <c:v>293</c:v>
                </c:pt>
                <c:pt idx="1">
                  <c:v>465</c:v>
                </c:pt>
                <c:pt idx="3">
                  <c:v>127</c:v>
                </c:pt>
                <c:pt idx="4">
                  <c:v>61</c:v>
                </c:pt>
                <c:pt idx="5" formatCode="0">
                  <c:v>0</c:v>
                </c:pt>
                <c:pt idx="6">
                  <c:v>87</c:v>
                </c:pt>
                <c:pt idx="7">
                  <c:v>164</c:v>
                </c:pt>
                <c:pt idx="8">
                  <c:v>106</c:v>
                </c:pt>
                <c:pt idx="9">
                  <c:v>486</c:v>
                </c:pt>
              </c:numCache>
            </c:numRef>
          </c:val>
        </c:ser>
        <c:ser>
          <c:idx val="2"/>
          <c:order val="2"/>
          <c:tx>
            <c:strRef>
              <c:f>'по предпр'!$D$33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chemeClr val="accent3">
                <a:lumMod val="60000"/>
                <a:lumOff val="40000"/>
              </a:schemeClr>
            </a:solidFill>
            <a:ln>
              <a:solidFill>
                <a:schemeClr val="accent3">
                  <a:lumMod val="75000"/>
                </a:schemeClr>
              </a:solidFill>
            </a:ln>
          </c:spPr>
          <c:invertIfNegative val="0"/>
          <c:cat>
            <c:strRef>
              <c:f>'по предпр'!$A$34:$A$43</c:f>
              <c:strCache>
                <c:ptCount val="10"/>
                <c:pt idx="0">
                  <c:v>Любысток</c:v>
                </c:pt>
                <c:pt idx="1">
                  <c:v>Ровенская ПК</c:v>
                </c:pt>
                <c:pt idx="2">
                  <c:v>Техн.та обладн. </c:v>
                </c:pt>
                <c:pt idx="3">
                  <c:v>Пайпер </c:v>
                </c:pt>
                <c:pt idx="4">
                  <c:v>Ямуна </c:v>
                </c:pt>
                <c:pt idx="5">
                  <c:v>Инто Укр. </c:v>
                </c:pt>
                <c:pt idx="6">
                  <c:v>Океан вкуса</c:v>
                </c:pt>
                <c:pt idx="7">
                  <c:v>Ивамакс</c:v>
                </c:pt>
                <c:pt idx="8">
                  <c:v>Экорганик</c:v>
                </c:pt>
                <c:pt idx="9">
                  <c:v>Виларус</c:v>
                </c:pt>
              </c:strCache>
            </c:strRef>
          </c:cat>
          <c:val>
            <c:numRef>
              <c:f>'по предпр'!$D$34:$D$43</c:f>
              <c:numCache>
                <c:formatCode>General</c:formatCode>
                <c:ptCount val="10"/>
                <c:pt idx="0">
                  <c:v>869</c:v>
                </c:pt>
                <c:pt idx="1">
                  <c:v>966</c:v>
                </c:pt>
                <c:pt idx="3">
                  <c:v>456</c:v>
                </c:pt>
                <c:pt idx="4">
                  <c:v>138</c:v>
                </c:pt>
                <c:pt idx="5" formatCode="0">
                  <c:v>0</c:v>
                </c:pt>
                <c:pt idx="6">
                  <c:v>296</c:v>
                </c:pt>
                <c:pt idx="7">
                  <c:v>128</c:v>
                </c:pt>
                <c:pt idx="8">
                  <c:v>54</c:v>
                </c:pt>
                <c:pt idx="9">
                  <c:v>962</c:v>
                </c:pt>
              </c:numCache>
            </c:numRef>
          </c:val>
        </c:ser>
        <c:ser>
          <c:idx val="3"/>
          <c:order val="3"/>
          <c:tx>
            <c:strRef>
              <c:f>'по предпр'!$E$33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chemeClr val="accent3">
                <a:lumMod val="60000"/>
                <a:lumOff val="40000"/>
              </a:schemeClr>
            </a:solidFill>
            <a:ln>
              <a:solidFill>
                <a:schemeClr val="accent3">
                  <a:lumMod val="75000"/>
                </a:schemeClr>
              </a:solidFill>
            </a:ln>
          </c:spPr>
          <c:invertIfNegative val="0"/>
          <c:cat>
            <c:strRef>
              <c:f>'по предпр'!$A$34:$A$43</c:f>
              <c:strCache>
                <c:ptCount val="10"/>
                <c:pt idx="0">
                  <c:v>Любысток</c:v>
                </c:pt>
                <c:pt idx="1">
                  <c:v>Ровенская ПК</c:v>
                </c:pt>
                <c:pt idx="2">
                  <c:v>Техн.та обладн. </c:v>
                </c:pt>
                <c:pt idx="3">
                  <c:v>Пайпер </c:v>
                </c:pt>
                <c:pt idx="4">
                  <c:v>Ямуна </c:v>
                </c:pt>
                <c:pt idx="5">
                  <c:v>Инто Укр. </c:v>
                </c:pt>
                <c:pt idx="6">
                  <c:v>Океан вкуса</c:v>
                </c:pt>
                <c:pt idx="7">
                  <c:v>Ивамакс</c:v>
                </c:pt>
                <c:pt idx="8">
                  <c:v>Экорганик</c:v>
                </c:pt>
                <c:pt idx="9">
                  <c:v>Виларус</c:v>
                </c:pt>
              </c:strCache>
            </c:strRef>
          </c:cat>
          <c:val>
            <c:numRef>
              <c:f>'по предпр'!$E$34:$E$43</c:f>
              <c:numCache>
                <c:formatCode>General</c:formatCode>
                <c:ptCount val="10"/>
                <c:pt idx="0">
                  <c:v>2221</c:v>
                </c:pt>
                <c:pt idx="1">
                  <c:v>966</c:v>
                </c:pt>
                <c:pt idx="2">
                  <c:v>127</c:v>
                </c:pt>
                <c:pt idx="3">
                  <c:v>281</c:v>
                </c:pt>
                <c:pt idx="4">
                  <c:v>168</c:v>
                </c:pt>
                <c:pt idx="5">
                  <c:v>240</c:v>
                </c:pt>
                <c:pt idx="6">
                  <c:v>328</c:v>
                </c:pt>
                <c:pt idx="7">
                  <c:v>103</c:v>
                </c:pt>
                <c:pt idx="8">
                  <c:v>596</c:v>
                </c:pt>
                <c:pt idx="9">
                  <c:v>680</c:v>
                </c:pt>
              </c:numCache>
            </c:numRef>
          </c:val>
        </c:ser>
        <c:ser>
          <c:idx val="4"/>
          <c:order val="4"/>
          <c:tx>
            <c:strRef>
              <c:f>'по предпр'!$F$33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chemeClr val="accent3">
                <a:lumMod val="60000"/>
                <a:lumOff val="40000"/>
              </a:schemeClr>
            </a:solidFill>
            <a:ln>
              <a:solidFill>
                <a:schemeClr val="accent3">
                  <a:lumMod val="75000"/>
                </a:schemeClr>
              </a:solidFill>
            </a:ln>
          </c:spPr>
          <c:invertIfNegative val="0"/>
          <c:cat>
            <c:strRef>
              <c:f>'по предпр'!$A$34:$A$43</c:f>
              <c:strCache>
                <c:ptCount val="10"/>
                <c:pt idx="0">
                  <c:v>Любысток</c:v>
                </c:pt>
                <c:pt idx="1">
                  <c:v>Ровенская ПК</c:v>
                </c:pt>
                <c:pt idx="2">
                  <c:v>Техн.та обладн. </c:v>
                </c:pt>
                <c:pt idx="3">
                  <c:v>Пайпер </c:v>
                </c:pt>
                <c:pt idx="4">
                  <c:v>Ямуна </c:v>
                </c:pt>
                <c:pt idx="5">
                  <c:v>Инто Укр. </c:v>
                </c:pt>
                <c:pt idx="6">
                  <c:v>Океан вкуса</c:v>
                </c:pt>
                <c:pt idx="7">
                  <c:v>Ивамакс</c:v>
                </c:pt>
                <c:pt idx="8">
                  <c:v>Экорганик</c:v>
                </c:pt>
                <c:pt idx="9">
                  <c:v>Виларус</c:v>
                </c:pt>
              </c:strCache>
            </c:strRef>
          </c:cat>
          <c:val>
            <c:numRef>
              <c:f>'по предпр'!$F$34:$F$43</c:f>
              <c:numCache>
                <c:formatCode>General</c:formatCode>
                <c:ptCount val="10"/>
                <c:pt idx="0">
                  <c:v>2238</c:v>
                </c:pt>
                <c:pt idx="1">
                  <c:v>888</c:v>
                </c:pt>
                <c:pt idx="2">
                  <c:v>0</c:v>
                </c:pt>
                <c:pt idx="3">
                  <c:v>1622</c:v>
                </c:pt>
                <c:pt idx="4">
                  <c:v>1314</c:v>
                </c:pt>
                <c:pt idx="5">
                  <c:v>686</c:v>
                </c:pt>
                <c:pt idx="6">
                  <c:v>349</c:v>
                </c:pt>
                <c:pt idx="7">
                  <c:v>5</c:v>
                </c:pt>
                <c:pt idx="8">
                  <c:v>969</c:v>
                </c:pt>
                <c:pt idx="9">
                  <c:v>1277</c:v>
                </c:pt>
              </c:numCache>
            </c:numRef>
          </c:val>
        </c:ser>
        <c:ser>
          <c:idx val="5"/>
          <c:order val="5"/>
          <c:tx>
            <c:strRef>
              <c:f>'по предпр'!$G$33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FF0000"/>
            </a:solidFill>
            <a:ln>
              <a:solidFill>
                <a:schemeClr val="accent3">
                  <a:lumMod val="75000"/>
                </a:schemeClr>
              </a:solidFill>
            </a:ln>
          </c:spPr>
          <c:invertIfNegative val="0"/>
          <c:cat>
            <c:strRef>
              <c:f>'по предпр'!$A$34:$A$43</c:f>
              <c:strCache>
                <c:ptCount val="10"/>
                <c:pt idx="0">
                  <c:v>Любысток</c:v>
                </c:pt>
                <c:pt idx="1">
                  <c:v>Ровенская ПК</c:v>
                </c:pt>
                <c:pt idx="2">
                  <c:v>Техн.та обладн. </c:v>
                </c:pt>
                <c:pt idx="3">
                  <c:v>Пайпер </c:v>
                </c:pt>
                <c:pt idx="4">
                  <c:v>Ямуна </c:v>
                </c:pt>
                <c:pt idx="5">
                  <c:v>Инто Укр. </c:v>
                </c:pt>
                <c:pt idx="6">
                  <c:v>Океан вкуса</c:v>
                </c:pt>
                <c:pt idx="7">
                  <c:v>Ивамакс</c:v>
                </c:pt>
                <c:pt idx="8">
                  <c:v>Экорганик</c:v>
                </c:pt>
                <c:pt idx="9">
                  <c:v>Виларус</c:v>
                </c:pt>
              </c:strCache>
            </c:strRef>
          </c:cat>
          <c:val>
            <c:numRef>
              <c:f>'по предпр'!$G$34:$G$43</c:f>
              <c:numCache>
                <c:formatCode>General</c:formatCode>
                <c:ptCount val="10"/>
                <c:pt idx="0">
                  <c:v>2783</c:v>
                </c:pt>
                <c:pt idx="1">
                  <c:v>2543</c:v>
                </c:pt>
                <c:pt idx="2">
                  <c:v>1444</c:v>
                </c:pt>
                <c:pt idx="3">
                  <c:v>1698</c:v>
                </c:pt>
                <c:pt idx="4">
                  <c:v>2213</c:v>
                </c:pt>
                <c:pt idx="5">
                  <c:v>1220</c:v>
                </c:pt>
                <c:pt idx="6">
                  <c:v>880</c:v>
                </c:pt>
                <c:pt idx="7">
                  <c:v>866</c:v>
                </c:pt>
                <c:pt idx="8">
                  <c:v>853</c:v>
                </c:pt>
                <c:pt idx="9">
                  <c:v>1091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80198656"/>
        <c:axId val="80200448"/>
        <c:axId val="0"/>
      </c:bar3DChart>
      <c:catAx>
        <c:axId val="80198656"/>
        <c:scaling>
          <c:orientation val="minMax"/>
        </c:scaling>
        <c:delete val="0"/>
        <c:axPos val="b"/>
        <c:majorTickMark val="out"/>
        <c:minorTickMark val="none"/>
        <c:tickLblPos val="nextTo"/>
        <c:crossAx val="80200448"/>
        <c:crosses val="autoZero"/>
        <c:auto val="1"/>
        <c:lblAlgn val="ctr"/>
        <c:lblOffset val="100"/>
        <c:noMultiLvlLbl val="0"/>
      </c:catAx>
      <c:valAx>
        <c:axId val="80200448"/>
        <c:scaling>
          <c:orientation val="minMax"/>
        </c:scaling>
        <c:delete val="0"/>
        <c:axPos val="l"/>
        <c:numFmt formatCode="0" sourceLinked="1"/>
        <c:majorTickMark val="out"/>
        <c:minorTickMark val="none"/>
        <c:tickLblPos val="nextTo"/>
        <c:crossAx val="80198656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'по предпр'!$B$113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rgbClr val="FFFF00"/>
            </a:solidFill>
            <a:ln>
              <a:solidFill>
                <a:schemeClr val="accent1"/>
              </a:solidFill>
            </a:ln>
          </c:spPr>
          <c:invertIfNegative val="0"/>
          <c:cat>
            <c:strRef>
              <c:f>'по предпр'!$A$114:$A$118</c:f>
              <c:strCache>
                <c:ptCount val="5"/>
                <c:pt idx="0">
                  <c:v>Имп.чай</c:v>
                </c:pt>
                <c:pt idx="1">
                  <c:v>Кежо Фууд</c:v>
                </c:pt>
                <c:pt idx="2">
                  <c:v>Мал Ком</c:v>
                </c:pt>
                <c:pt idx="3">
                  <c:v>Унив.пищ.тех</c:v>
                </c:pt>
                <c:pt idx="4">
                  <c:v>Органик Продукт</c:v>
                </c:pt>
              </c:strCache>
            </c:strRef>
          </c:cat>
          <c:val>
            <c:numRef>
              <c:f>'по предпр'!$B$114:$B$118</c:f>
              <c:numCache>
                <c:formatCode>General</c:formatCode>
                <c:ptCount val="5"/>
                <c:pt idx="0">
                  <c:v>10</c:v>
                </c:pt>
                <c:pt idx="1">
                  <c:v>51</c:v>
                </c:pt>
                <c:pt idx="2">
                  <c:v>9</c:v>
                </c:pt>
                <c:pt idx="3">
                  <c:v>263</c:v>
                </c:pt>
              </c:numCache>
            </c:numRef>
          </c:val>
        </c:ser>
        <c:ser>
          <c:idx val="1"/>
          <c:order val="1"/>
          <c:tx>
            <c:strRef>
              <c:f>'по предпр'!$C$113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rgbClr val="FFFF00"/>
            </a:solidFill>
            <a:ln>
              <a:solidFill>
                <a:schemeClr val="accent1"/>
              </a:solidFill>
            </a:ln>
          </c:spPr>
          <c:invertIfNegative val="0"/>
          <c:cat>
            <c:strRef>
              <c:f>'по предпр'!$A$114:$A$118</c:f>
              <c:strCache>
                <c:ptCount val="5"/>
                <c:pt idx="0">
                  <c:v>Имп.чай</c:v>
                </c:pt>
                <c:pt idx="1">
                  <c:v>Кежо Фууд</c:v>
                </c:pt>
                <c:pt idx="2">
                  <c:v>Мал Ком</c:v>
                </c:pt>
                <c:pt idx="3">
                  <c:v>Унив.пищ.тех</c:v>
                </c:pt>
                <c:pt idx="4">
                  <c:v>Органик Продукт</c:v>
                </c:pt>
              </c:strCache>
            </c:strRef>
          </c:cat>
          <c:val>
            <c:numRef>
              <c:f>'по предпр'!$C$114:$C$118</c:f>
              <c:numCache>
                <c:formatCode>General</c:formatCode>
                <c:ptCount val="5"/>
                <c:pt idx="0">
                  <c:v>79</c:v>
                </c:pt>
                <c:pt idx="1">
                  <c:v>76</c:v>
                </c:pt>
                <c:pt idx="2">
                  <c:v>45</c:v>
                </c:pt>
                <c:pt idx="3">
                  <c:v>178</c:v>
                </c:pt>
              </c:numCache>
            </c:numRef>
          </c:val>
        </c:ser>
        <c:ser>
          <c:idx val="2"/>
          <c:order val="2"/>
          <c:tx>
            <c:strRef>
              <c:f>'по предпр'!$D$113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rgbClr val="FFFF00"/>
            </a:solidFill>
            <a:ln>
              <a:solidFill>
                <a:schemeClr val="accent1"/>
              </a:solidFill>
            </a:ln>
          </c:spPr>
          <c:invertIfNegative val="0"/>
          <c:cat>
            <c:strRef>
              <c:f>'по предпр'!$A$114:$A$118</c:f>
              <c:strCache>
                <c:ptCount val="5"/>
                <c:pt idx="0">
                  <c:v>Имп.чай</c:v>
                </c:pt>
                <c:pt idx="1">
                  <c:v>Кежо Фууд</c:v>
                </c:pt>
                <c:pt idx="2">
                  <c:v>Мал Ком</c:v>
                </c:pt>
                <c:pt idx="3">
                  <c:v>Унив.пищ.тех</c:v>
                </c:pt>
                <c:pt idx="4">
                  <c:v>Органик Продукт</c:v>
                </c:pt>
              </c:strCache>
            </c:strRef>
          </c:cat>
          <c:val>
            <c:numRef>
              <c:f>'по предпр'!$D$114:$D$118</c:f>
              <c:numCache>
                <c:formatCode>0</c:formatCode>
                <c:ptCount val="5"/>
                <c:pt idx="0">
                  <c:v>118.2</c:v>
                </c:pt>
                <c:pt idx="1">
                  <c:v>36.6</c:v>
                </c:pt>
                <c:pt idx="2">
                  <c:v>48</c:v>
                </c:pt>
                <c:pt idx="3">
                  <c:v>130</c:v>
                </c:pt>
              </c:numCache>
            </c:numRef>
          </c:val>
        </c:ser>
        <c:ser>
          <c:idx val="3"/>
          <c:order val="3"/>
          <c:tx>
            <c:strRef>
              <c:f>'по предпр'!$E$113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rgbClr val="FFFF00"/>
            </a:solidFill>
            <a:ln>
              <a:solidFill>
                <a:schemeClr val="accent1"/>
              </a:solidFill>
            </a:ln>
          </c:spPr>
          <c:invertIfNegative val="0"/>
          <c:cat>
            <c:strRef>
              <c:f>'по предпр'!$A$114:$A$118</c:f>
              <c:strCache>
                <c:ptCount val="5"/>
                <c:pt idx="0">
                  <c:v>Имп.чай</c:v>
                </c:pt>
                <c:pt idx="1">
                  <c:v>Кежо Фууд</c:v>
                </c:pt>
                <c:pt idx="2">
                  <c:v>Мал Ком</c:v>
                </c:pt>
                <c:pt idx="3">
                  <c:v>Унив.пищ.тех</c:v>
                </c:pt>
                <c:pt idx="4">
                  <c:v>Органик Продукт</c:v>
                </c:pt>
              </c:strCache>
            </c:strRef>
          </c:cat>
          <c:val>
            <c:numRef>
              <c:f>'по предпр'!$E$114:$E$118</c:f>
              <c:numCache>
                <c:formatCode>0</c:formatCode>
                <c:ptCount val="5"/>
                <c:pt idx="0">
                  <c:v>136</c:v>
                </c:pt>
                <c:pt idx="1">
                  <c:v>36</c:v>
                </c:pt>
                <c:pt idx="2">
                  <c:v>24</c:v>
                </c:pt>
                <c:pt idx="3">
                  <c:v>149</c:v>
                </c:pt>
                <c:pt idx="4">
                  <c:v>1</c:v>
                </c:pt>
              </c:numCache>
            </c:numRef>
          </c:val>
        </c:ser>
        <c:ser>
          <c:idx val="4"/>
          <c:order val="4"/>
          <c:tx>
            <c:strRef>
              <c:f>'по предпр'!$F$113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rgbClr val="FFFF00"/>
            </a:solidFill>
            <a:ln>
              <a:solidFill>
                <a:schemeClr val="accent1"/>
              </a:solidFill>
            </a:ln>
          </c:spPr>
          <c:invertIfNegative val="0"/>
          <c:cat>
            <c:strRef>
              <c:f>'по предпр'!$A$114:$A$118</c:f>
              <c:strCache>
                <c:ptCount val="5"/>
                <c:pt idx="0">
                  <c:v>Имп.чай</c:v>
                </c:pt>
                <c:pt idx="1">
                  <c:v>Кежо Фууд</c:v>
                </c:pt>
                <c:pt idx="2">
                  <c:v>Мал Ком</c:v>
                </c:pt>
                <c:pt idx="3">
                  <c:v>Унив.пищ.тех</c:v>
                </c:pt>
                <c:pt idx="4">
                  <c:v>Органик Продукт</c:v>
                </c:pt>
              </c:strCache>
            </c:strRef>
          </c:cat>
          <c:val>
            <c:numRef>
              <c:f>'по предпр'!$F$114:$F$118</c:f>
              <c:numCache>
                <c:formatCode>0</c:formatCode>
                <c:ptCount val="5"/>
                <c:pt idx="0">
                  <c:v>294</c:v>
                </c:pt>
                <c:pt idx="1">
                  <c:v>36</c:v>
                </c:pt>
                <c:pt idx="2">
                  <c:v>83</c:v>
                </c:pt>
                <c:pt idx="3">
                  <c:v>128</c:v>
                </c:pt>
                <c:pt idx="4">
                  <c:v>23</c:v>
                </c:pt>
              </c:numCache>
            </c:numRef>
          </c:val>
        </c:ser>
        <c:ser>
          <c:idx val="5"/>
          <c:order val="5"/>
          <c:tx>
            <c:strRef>
              <c:f>'по предпр'!$G$113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rgbClr val="FFFF00"/>
            </a:solidFill>
            <a:ln>
              <a:solidFill>
                <a:schemeClr val="accent1"/>
              </a:solidFill>
            </a:ln>
          </c:spPr>
          <c:invertIfNegative val="0"/>
          <c:cat>
            <c:strRef>
              <c:f>'по предпр'!$A$114:$A$118</c:f>
              <c:strCache>
                <c:ptCount val="5"/>
                <c:pt idx="0">
                  <c:v>Имп.чай</c:v>
                </c:pt>
                <c:pt idx="1">
                  <c:v>Кежо Фууд</c:v>
                </c:pt>
                <c:pt idx="2">
                  <c:v>Мал Ком</c:v>
                </c:pt>
                <c:pt idx="3">
                  <c:v>Унив.пищ.тех</c:v>
                </c:pt>
                <c:pt idx="4">
                  <c:v>Органик Продукт</c:v>
                </c:pt>
              </c:strCache>
            </c:strRef>
          </c:cat>
          <c:val>
            <c:numRef>
              <c:f>'по предпр'!$G$114:$G$118</c:f>
              <c:numCache>
                <c:formatCode>0</c:formatCode>
                <c:ptCount val="5"/>
                <c:pt idx="0">
                  <c:v>250</c:v>
                </c:pt>
                <c:pt idx="1">
                  <c:v>69</c:v>
                </c:pt>
                <c:pt idx="2">
                  <c:v>94</c:v>
                </c:pt>
                <c:pt idx="3">
                  <c:v>150</c:v>
                </c:pt>
                <c:pt idx="4">
                  <c:v>48</c:v>
                </c:pt>
              </c:numCache>
            </c:numRef>
          </c:val>
        </c:ser>
        <c:ser>
          <c:idx val="6"/>
          <c:order val="6"/>
          <c:tx>
            <c:strRef>
              <c:f>'по предпр'!$H$113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rgbClr val="FFFF00"/>
            </a:solidFill>
            <a:ln>
              <a:solidFill>
                <a:schemeClr val="accent1"/>
              </a:solidFill>
            </a:ln>
          </c:spPr>
          <c:invertIfNegative val="0"/>
          <c:cat>
            <c:strRef>
              <c:f>'по предпр'!$A$114:$A$118</c:f>
              <c:strCache>
                <c:ptCount val="5"/>
                <c:pt idx="0">
                  <c:v>Имп.чай</c:v>
                </c:pt>
                <c:pt idx="1">
                  <c:v>Кежо Фууд</c:v>
                </c:pt>
                <c:pt idx="2">
                  <c:v>Мал Ком</c:v>
                </c:pt>
                <c:pt idx="3">
                  <c:v>Унив.пищ.тех</c:v>
                </c:pt>
                <c:pt idx="4">
                  <c:v>Органик Продукт</c:v>
                </c:pt>
              </c:strCache>
            </c:strRef>
          </c:cat>
          <c:val>
            <c:numRef>
              <c:f>'по предпр'!$H$114:$H$118</c:f>
              <c:numCache>
                <c:formatCode>0</c:formatCode>
                <c:ptCount val="5"/>
                <c:pt idx="0">
                  <c:v>351</c:v>
                </c:pt>
                <c:pt idx="1">
                  <c:v>110</c:v>
                </c:pt>
                <c:pt idx="2">
                  <c:v>55</c:v>
                </c:pt>
                <c:pt idx="3">
                  <c:v>140</c:v>
                </c:pt>
                <c:pt idx="4">
                  <c:v>105</c:v>
                </c:pt>
              </c:numCache>
            </c:numRef>
          </c:val>
        </c:ser>
        <c:ser>
          <c:idx val="7"/>
          <c:order val="7"/>
          <c:tx>
            <c:strRef>
              <c:f>'по предпр'!$I$113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FF0000"/>
            </a:solidFill>
            <a:ln>
              <a:solidFill>
                <a:schemeClr val="accent1"/>
              </a:solidFill>
            </a:ln>
          </c:spPr>
          <c:invertIfNegative val="0"/>
          <c:cat>
            <c:strRef>
              <c:f>'по предпр'!$A$114:$A$118</c:f>
              <c:strCache>
                <c:ptCount val="5"/>
                <c:pt idx="0">
                  <c:v>Имп.чай</c:v>
                </c:pt>
                <c:pt idx="1">
                  <c:v>Кежо Фууд</c:v>
                </c:pt>
                <c:pt idx="2">
                  <c:v>Мал Ком</c:v>
                </c:pt>
                <c:pt idx="3">
                  <c:v>Унив.пищ.тех</c:v>
                </c:pt>
                <c:pt idx="4">
                  <c:v>Органик Продукт</c:v>
                </c:pt>
              </c:strCache>
            </c:strRef>
          </c:cat>
          <c:val>
            <c:numRef>
              <c:f>'по предпр'!$I$114:$I$118</c:f>
              <c:numCache>
                <c:formatCode>0</c:formatCode>
                <c:ptCount val="5"/>
                <c:pt idx="0">
                  <c:v>362</c:v>
                </c:pt>
                <c:pt idx="1">
                  <c:v>180</c:v>
                </c:pt>
                <c:pt idx="2">
                  <c:v>48</c:v>
                </c:pt>
                <c:pt idx="3">
                  <c:v>350</c:v>
                </c:pt>
                <c:pt idx="4">
                  <c:v>41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80697216"/>
        <c:axId val="80698752"/>
        <c:axId val="0"/>
      </c:bar3DChart>
      <c:catAx>
        <c:axId val="806972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80698752"/>
        <c:crosses val="autoZero"/>
        <c:auto val="1"/>
        <c:lblAlgn val="ctr"/>
        <c:lblOffset val="100"/>
        <c:noMultiLvlLbl val="0"/>
      </c:catAx>
      <c:valAx>
        <c:axId val="80698752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crossAx val="80697216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/>
      <c:bar3DChart>
        <c:barDir val="col"/>
        <c:grouping val="stacked"/>
        <c:varyColors val="0"/>
        <c:ser>
          <c:idx val="0"/>
          <c:order val="0"/>
          <c:tx>
            <c:strRef>
              <c:f>спец!$A$3</c:f>
              <c:strCache>
                <c:ptCount val="1"/>
                <c:pt idx="0">
                  <c:v>до1года</c:v>
                </c:pt>
              </c:strCache>
            </c:strRef>
          </c:tx>
          <c:spPr>
            <a:solidFill>
              <a:srgbClr val="92D050"/>
            </a:solidFill>
          </c:spPr>
          <c:invertIfNegative val="0"/>
          <c:cat>
            <c:numRef>
              <c:f>спец!$B$2:$J$2</c:f>
              <c:numCache>
                <c:formatCode>General</c:formatCode>
                <c:ptCount val="9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</c:numCache>
            </c:numRef>
          </c:cat>
          <c:val>
            <c:numRef>
              <c:f>спец!$B$3:$J$3</c:f>
              <c:numCache>
                <c:formatCode>General</c:formatCode>
                <c:ptCount val="9"/>
                <c:pt idx="0">
                  <c:v>1249035</c:v>
                </c:pt>
                <c:pt idx="1">
                  <c:v>1440323</c:v>
                </c:pt>
                <c:pt idx="2">
                  <c:v>2028210</c:v>
                </c:pt>
                <c:pt idx="3">
                  <c:v>1507070</c:v>
                </c:pt>
                <c:pt idx="4">
                  <c:v>4057097</c:v>
                </c:pt>
                <c:pt idx="5">
                  <c:v>3376766</c:v>
                </c:pt>
                <c:pt idx="6">
                  <c:v>14025700</c:v>
                </c:pt>
                <c:pt idx="7">
                  <c:v>7051380</c:v>
                </c:pt>
                <c:pt idx="8">
                  <c:v>6014380</c:v>
                </c:pt>
              </c:numCache>
            </c:numRef>
          </c:val>
        </c:ser>
        <c:ser>
          <c:idx val="1"/>
          <c:order val="1"/>
          <c:tx>
            <c:strRef>
              <c:f>спец!$A$4</c:f>
              <c:strCache>
                <c:ptCount val="1"/>
                <c:pt idx="0">
                  <c:v>до 2лет</c:v>
                </c:pt>
              </c:strCache>
            </c:strRef>
          </c:tx>
          <c:spPr>
            <a:solidFill>
              <a:srgbClr val="FFFF00"/>
            </a:solidFill>
          </c:spPr>
          <c:invertIfNegative val="0"/>
          <c:cat>
            <c:numRef>
              <c:f>спец!$B$2:$J$2</c:f>
              <c:numCache>
                <c:formatCode>General</c:formatCode>
                <c:ptCount val="9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</c:numCache>
            </c:numRef>
          </c:cat>
          <c:val>
            <c:numRef>
              <c:f>спец!$B$4:$J$4</c:f>
              <c:numCache>
                <c:formatCode>General</c:formatCode>
                <c:ptCount val="9"/>
                <c:pt idx="0">
                  <c:v>127987</c:v>
                </c:pt>
                <c:pt idx="1">
                  <c:v>313538</c:v>
                </c:pt>
                <c:pt idx="2">
                  <c:v>1008</c:v>
                </c:pt>
                <c:pt idx="3">
                  <c:v>1114345</c:v>
                </c:pt>
                <c:pt idx="4">
                  <c:v>323194</c:v>
                </c:pt>
                <c:pt idx="5">
                  <c:v>116308</c:v>
                </c:pt>
                <c:pt idx="6">
                  <c:v>1327807</c:v>
                </c:pt>
                <c:pt idx="7">
                  <c:v>2224474</c:v>
                </c:pt>
              </c:numCache>
            </c:numRef>
          </c:val>
        </c:ser>
        <c:ser>
          <c:idx val="2"/>
          <c:order val="2"/>
          <c:tx>
            <c:strRef>
              <c:f>спец!$A$5</c:f>
              <c:strCache>
                <c:ptCount val="1"/>
                <c:pt idx="0">
                  <c:v>свыше 2 лет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numRef>
              <c:f>спец!$B$2:$J$2</c:f>
              <c:numCache>
                <c:formatCode>General</c:formatCode>
                <c:ptCount val="9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</c:numCache>
            </c:numRef>
          </c:cat>
          <c:val>
            <c:numRef>
              <c:f>спец!$B$5:$J$5</c:f>
              <c:numCache>
                <c:formatCode>General</c:formatCode>
                <c:ptCount val="9"/>
                <c:pt idx="0">
                  <c:v>1169720</c:v>
                </c:pt>
                <c:pt idx="1">
                  <c:v>764509</c:v>
                </c:pt>
                <c:pt idx="2">
                  <c:v>4438394</c:v>
                </c:pt>
                <c:pt idx="3">
                  <c:v>194397</c:v>
                </c:pt>
                <c:pt idx="4">
                  <c:v>295986</c:v>
                </c:pt>
                <c:pt idx="5">
                  <c:v>2457877</c:v>
                </c:pt>
                <c:pt idx="6">
                  <c:v>1042759</c:v>
                </c:pt>
              </c:numCache>
            </c:numRef>
          </c:val>
        </c:ser>
        <c:ser>
          <c:idx val="3"/>
          <c:order val="3"/>
          <c:tx>
            <c:strRef>
              <c:f>спец!$A$6</c:f>
              <c:strCache>
                <c:ptCount val="1"/>
                <c:pt idx="0">
                  <c:v>неизвестно</c:v>
                </c:pt>
              </c:strCache>
            </c:strRef>
          </c:tx>
          <c:spPr>
            <a:blipFill>
              <a:blip xmlns:r="http://schemas.openxmlformats.org/officeDocument/2006/relationships" r:embed="rId1"/>
              <a:tile tx="0" ty="0" sx="100000" sy="100000" flip="none" algn="tl"/>
            </a:blipFill>
          </c:spPr>
          <c:invertIfNegative val="0"/>
          <c:cat>
            <c:numRef>
              <c:f>спец!$B$2:$J$2</c:f>
              <c:numCache>
                <c:formatCode>General</c:formatCode>
                <c:ptCount val="9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</c:numCache>
            </c:numRef>
          </c:cat>
          <c:val>
            <c:numRef>
              <c:f>спец!$B$6:$J$6</c:f>
              <c:numCache>
                <c:formatCode>General</c:formatCode>
                <c:ptCount val="9"/>
                <c:pt idx="7">
                  <c:v>727616</c:v>
                </c:pt>
                <c:pt idx="8">
                  <c:v>11756254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81245312"/>
        <c:axId val="81246848"/>
        <c:axId val="0"/>
      </c:bar3DChart>
      <c:catAx>
        <c:axId val="812453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81246848"/>
        <c:crosses val="autoZero"/>
        <c:auto val="1"/>
        <c:lblAlgn val="ctr"/>
        <c:lblOffset val="100"/>
        <c:noMultiLvlLbl val="0"/>
      </c:catAx>
      <c:valAx>
        <c:axId val="81246848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crossAx val="81245312"/>
        <c:crosses val="autoZero"/>
        <c:crossBetween val="between"/>
      </c:valAx>
    </c:plotArea>
    <c:legend>
      <c:legendPos val="b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112661854768154"/>
          <c:y val="2.8252405949256341E-2"/>
          <c:w val="0.86928937007874019"/>
          <c:h val="0.72112459900845727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осн!$B$24</c:f>
              <c:strCache>
                <c:ptCount val="1"/>
                <c:pt idx="0">
                  <c:v>Украина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cat>
            <c:numRef>
              <c:f>осн!$A$25:$A$33</c:f>
              <c:numCache>
                <c:formatCode>General</c:formatCode>
                <c:ptCount val="9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</c:numCache>
            </c:numRef>
          </c:cat>
          <c:val>
            <c:numRef>
              <c:f>осн!$B$25:$B$33</c:f>
              <c:numCache>
                <c:formatCode>0</c:formatCode>
                <c:ptCount val="9"/>
                <c:pt idx="0">
                  <c:v>3281.9</c:v>
                </c:pt>
                <c:pt idx="1">
                  <c:v>3446.7</c:v>
                </c:pt>
                <c:pt idx="2">
                  <c:v>2477.4</c:v>
                </c:pt>
                <c:pt idx="3">
                  <c:v>2239</c:v>
                </c:pt>
                <c:pt idx="4">
                  <c:v>2687</c:v>
                </c:pt>
                <c:pt idx="5" formatCode="General">
                  <c:v>3020</c:v>
                </c:pt>
                <c:pt idx="6">
                  <c:v>3654</c:v>
                </c:pt>
                <c:pt idx="7">
                  <c:v>4384</c:v>
                </c:pt>
                <c:pt idx="8">
                  <c:v>3207</c:v>
                </c:pt>
              </c:numCache>
            </c:numRef>
          </c:val>
        </c:ser>
        <c:ser>
          <c:idx val="1"/>
          <c:order val="1"/>
          <c:tx>
            <c:strRef>
              <c:f>осн!$C$24</c:f>
              <c:strCache>
                <c:ptCount val="1"/>
                <c:pt idx="0">
                  <c:v>экспорт</c:v>
                </c:pt>
              </c:strCache>
            </c:strRef>
          </c:tx>
          <c:spPr>
            <a:solidFill>
              <a:srgbClr val="92D050"/>
            </a:solidFill>
          </c:spPr>
          <c:invertIfNegative val="0"/>
          <c:cat>
            <c:numRef>
              <c:f>осн!$A$25:$A$33</c:f>
              <c:numCache>
                <c:formatCode>General</c:formatCode>
                <c:ptCount val="9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</c:numCache>
            </c:numRef>
          </c:cat>
          <c:val>
            <c:numRef>
              <c:f>осн!$C$25:$C$33</c:f>
              <c:numCache>
                <c:formatCode>0</c:formatCode>
                <c:ptCount val="9"/>
                <c:pt idx="0">
                  <c:v>2579.6</c:v>
                </c:pt>
                <c:pt idx="1">
                  <c:v>2041.2</c:v>
                </c:pt>
                <c:pt idx="2">
                  <c:v>1620.7</c:v>
                </c:pt>
                <c:pt idx="3">
                  <c:v>2446.3000000000002</c:v>
                </c:pt>
                <c:pt idx="4">
                  <c:v>2735</c:v>
                </c:pt>
                <c:pt idx="5">
                  <c:v>3549</c:v>
                </c:pt>
                <c:pt idx="6">
                  <c:v>3934</c:v>
                </c:pt>
                <c:pt idx="7">
                  <c:v>4646</c:v>
                </c:pt>
                <c:pt idx="8">
                  <c:v>5639</c:v>
                </c:pt>
              </c:numCache>
            </c:numRef>
          </c:val>
        </c:ser>
        <c:ser>
          <c:idx val="2"/>
          <c:order val="2"/>
          <c:tx>
            <c:strRef>
              <c:f>осн!$D$24</c:f>
              <c:strCache>
                <c:ptCount val="1"/>
                <c:pt idx="0">
                  <c:v>Р.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numRef>
              <c:f>осн!$A$25:$A$33</c:f>
              <c:numCache>
                <c:formatCode>General</c:formatCode>
                <c:ptCount val="9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</c:numCache>
            </c:numRef>
          </c:cat>
          <c:val>
            <c:numRef>
              <c:f>осн!$D$25:$D$33</c:f>
              <c:numCache>
                <c:formatCode>0</c:formatCode>
                <c:ptCount val="9"/>
                <c:pt idx="0">
                  <c:v>6461.6</c:v>
                </c:pt>
                <c:pt idx="1">
                  <c:v>5421.9</c:v>
                </c:pt>
                <c:pt idx="2">
                  <c:v>5265.7999999999993</c:v>
                </c:pt>
                <c:pt idx="3">
                  <c:v>5521.9000000000005</c:v>
                </c:pt>
                <c:pt idx="4" formatCode="General">
                  <c:v>3796</c:v>
                </c:pt>
                <c:pt idx="5">
                  <c:v>4198.1000000000004</c:v>
                </c:pt>
                <c:pt idx="6">
                  <c:v>5283.9</c:v>
                </c:pt>
                <c:pt idx="7">
                  <c:v>5393.2</c:v>
                </c:pt>
                <c:pt idx="8">
                  <c:v>6045.2999999999993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07618688"/>
        <c:axId val="68662400"/>
        <c:axId val="0"/>
      </c:bar3DChart>
      <c:catAx>
        <c:axId val="1076186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68662400"/>
        <c:crosses val="autoZero"/>
        <c:auto val="1"/>
        <c:lblAlgn val="ctr"/>
        <c:lblOffset val="100"/>
        <c:noMultiLvlLbl val="0"/>
      </c:catAx>
      <c:valAx>
        <c:axId val="68662400"/>
        <c:scaling>
          <c:orientation val="minMax"/>
        </c:scaling>
        <c:delete val="0"/>
        <c:axPos val="l"/>
        <c:numFmt formatCode="0" sourceLinked="1"/>
        <c:majorTickMark val="out"/>
        <c:minorTickMark val="none"/>
        <c:tickLblPos val="nextTo"/>
        <c:crossAx val="107618688"/>
        <c:crosses val="autoZero"/>
        <c:crossBetween val="between"/>
      </c:valAx>
    </c:plotArea>
    <c:legend>
      <c:legendPos val="b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078018372703413"/>
          <c:y val="6.0659813356663747E-2"/>
          <c:w val="0.85699759405074361"/>
          <c:h val="0.78046014980433476"/>
        </c:manualLayout>
      </c:layout>
      <c:lineChart>
        <c:grouping val="standard"/>
        <c:varyColors val="0"/>
        <c:ser>
          <c:idx val="0"/>
          <c:order val="0"/>
          <c:tx>
            <c:strRef>
              <c:f>осн!$B$47</c:f>
              <c:strCache>
                <c:ptCount val="1"/>
                <c:pt idx="0">
                  <c:v>цена закуп.</c:v>
                </c:pt>
              </c:strCache>
            </c:strRef>
          </c:tx>
          <c:dLbls>
            <c:dLbl>
              <c:idx val="0"/>
              <c:layout>
                <c:manualLayout>
                  <c:x val="-4.4444444444444446E-2"/>
                  <c:y val="6.01851851851851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-4.4444444444444418E-2"/>
                  <c:y val="5.55555555555555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-4.1666666666666664E-2"/>
                  <c:y val="5.09259259259259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-6.3888888888888884E-2"/>
                  <c:y val="4.62962962962962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layout>
                <c:manualLayout>
                  <c:x val="-5.8333333333333334E-2"/>
                  <c:y val="4.16666666666666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layout>
                <c:manualLayout>
                  <c:x val="-3.3333333333333333E-2"/>
                  <c:y val="5.09259259259259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layout>
                <c:manualLayout>
                  <c:x val="-3.6111111111111108E-2"/>
                  <c:y val="5.55555555555555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7"/>
              <c:layout>
                <c:manualLayout>
                  <c:x val="-1.1111111111111112E-2"/>
                  <c:y val="4.16666666666666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Ref>
              <c:f>осн!$A$48:$A$56</c:f>
              <c:numCache>
                <c:formatCode>General</c:formatCode>
                <c:ptCount val="9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</c:numCache>
            </c:numRef>
          </c:cat>
          <c:val>
            <c:numRef>
              <c:f>осн!$B$48:$B$56</c:f>
              <c:numCache>
                <c:formatCode>0.00</c:formatCode>
                <c:ptCount val="9"/>
                <c:pt idx="0">
                  <c:v>2.7489154493138557</c:v>
                </c:pt>
                <c:pt idx="1">
                  <c:v>2.6785561176369717</c:v>
                </c:pt>
                <c:pt idx="2">
                  <c:v>2.9162547528517111</c:v>
                </c:pt>
                <c:pt idx="3">
                  <c:v>3.1559216384683881</c:v>
                </c:pt>
                <c:pt idx="4">
                  <c:v>2.1014352912797012</c:v>
                </c:pt>
                <c:pt idx="5">
                  <c:v>2.7547286003343006</c:v>
                </c:pt>
                <c:pt idx="6">
                  <c:v>2.0409554391301898</c:v>
                </c:pt>
                <c:pt idx="7">
                  <c:v>2.3137313432835822</c:v>
                </c:pt>
                <c:pt idx="8">
                  <c:v>3.5552210919659544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осн!$C$47</c:f>
              <c:strCache>
                <c:ptCount val="1"/>
                <c:pt idx="0">
                  <c:v>цена реализ.</c:v>
                </c:pt>
              </c:strCache>
            </c:strRef>
          </c:tx>
          <c:dLbls>
            <c:dLbl>
              <c:idx val="0"/>
              <c:layout>
                <c:manualLayout>
                  <c:x val="-5.8333333333333348E-2"/>
                  <c:y val="-6.94444444444444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-6.944444444444442E-2"/>
                  <c:y val="-6.48148148148148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-5.8333333333333334E-2"/>
                  <c:y val="-7.87037037037037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-0.05"/>
                  <c:y val="-7.87037037037036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layout>
                <c:manualLayout>
                  <c:x val="-6.6666666666666666E-2"/>
                  <c:y val="-6.48148148148148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layout>
                <c:manualLayout>
                  <c:x val="-8.3333333333333329E-2"/>
                  <c:y val="-7.87037037037036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layout>
                <c:manualLayout>
                  <c:x val="-4.1666666666666664E-2"/>
                  <c:y val="-6.94444444444444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8"/>
              <c:layout>
                <c:manualLayout>
                  <c:x val="-5.5555555555555455E-2"/>
                  <c:y val="-6.48148148148148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Ref>
              <c:f>осн!$A$48:$A$56</c:f>
              <c:numCache>
                <c:formatCode>General</c:formatCode>
                <c:ptCount val="9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</c:numCache>
            </c:numRef>
          </c:cat>
          <c:val>
            <c:numRef>
              <c:f>осн!$C$48:$C$56</c:f>
              <c:numCache>
                <c:formatCode>0.00</c:formatCode>
                <c:ptCount val="9"/>
                <c:pt idx="0">
                  <c:v>3.9116222760290555</c:v>
                </c:pt>
                <c:pt idx="1">
                  <c:v>3.8673323823109844</c:v>
                </c:pt>
                <c:pt idx="2">
                  <c:v>3.5994531784005468</c:v>
                </c:pt>
                <c:pt idx="3">
                  <c:v>3.7891992040074109</c:v>
                </c:pt>
                <c:pt idx="4">
                  <c:v>3.905349794238683</c:v>
                </c:pt>
                <c:pt idx="5">
                  <c:v>3.495420482930891</c:v>
                </c:pt>
                <c:pt idx="6">
                  <c:v>3.677105080027836</c:v>
                </c:pt>
                <c:pt idx="7">
                  <c:v>3.8329779673063253</c:v>
                </c:pt>
                <c:pt idx="8">
                  <c:v>4.2272727272727275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8679936"/>
        <c:axId val="69242880"/>
      </c:lineChart>
      <c:catAx>
        <c:axId val="686799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69242880"/>
        <c:crosses val="autoZero"/>
        <c:auto val="1"/>
        <c:lblAlgn val="ctr"/>
        <c:lblOffset val="100"/>
        <c:noMultiLvlLbl val="0"/>
      </c:catAx>
      <c:valAx>
        <c:axId val="69242880"/>
        <c:scaling>
          <c:orientation val="minMax"/>
        </c:scaling>
        <c:delete val="0"/>
        <c:axPos val="l"/>
        <c:numFmt formatCode="0.00" sourceLinked="1"/>
        <c:majorTickMark val="out"/>
        <c:minorTickMark val="none"/>
        <c:tickLblPos val="nextTo"/>
        <c:crossAx val="68679936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осн!$B$60</c:f>
              <c:strCache>
                <c:ptCount val="1"/>
                <c:pt idx="0">
                  <c:v>цена зак.</c:v>
                </c:pt>
              </c:strCache>
            </c:strRef>
          </c:tx>
          <c:dLbls>
            <c:dLbl>
              <c:idx val="0"/>
              <c:layout>
                <c:manualLayout>
                  <c:x val="-2.7777777777777776E-2"/>
                  <c:y val="-8.33333333333333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-2.5000000000000001E-2"/>
                  <c:y val="-6.48148148148148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-2.5000000000000001E-2"/>
                  <c:y val="-6.01851851851851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-3.6111111111111108E-2"/>
                  <c:y val="-9.72222222222222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layout>
                <c:manualLayout>
                  <c:x val="-2.7777777777777776E-2"/>
                  <c:y val="-9.259259259259258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layout>
                <c:manualLayout>
                  <c:x val="-0.05"/>
                  <c:y val="-0.1435185185185185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layout>
                <c:manualLayout>
                  <c:x val="-8.3333333333333329E-2"/>
                  <c:y val="-0.11111111111111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Ref>
              <c:f>осн!$A$61:$A$69</c:f>
              <c:numCache>
                <c:formatCode>General</c:formatCode>
                <c:ptCount val="9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</c:numCache>
            </c:numRef>
          </c:cat>
          <c:val>
            <c:numRef>
              <c:f>осн!$B$61:$B$69</c:f>
              <c:numCache>
                <c:formatCode>General</c:formatCode>
                <c:ptCount val="9"/>
                <c:pt idx="0">
                  <c:v>2585.5</c:v>
                </c:pt>
                <c:pt idx="1">
                  <c:v>2082.6999999999998</c:v>
                </c:pt>
                <c:pt idx="2">
                  <c:v>1747.2</c:v>
                </c:pt>
                <c:pt idx="3">
                  <c:v>1795.1</c:v>
                </c:pt>
                <c:pt idx="4">
                  <c:v>2143.8000000000002</c:v>
                </c:pt>
                <c:pt idx="5">
                  <c:v>2327.9</c:v>
                </c:pt>
                <c:pt idx="6">
                  <c:v>3254.9</c:v>
                </c:pt>
                <c:pt idx="7">
                  <c:v>3839.4</c:v>
                </c:pt>
                <c:pt idx="8">
                  <c:v>2379.6999999999998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осн!$C$60</c:f>
              <c:strCache>
                <c:ptCount val="1"/>
                <c:pt idx="0">
                  <c:v>цена реализ. </c:v>
                </c:pt>
              </c:strCache>
            </c:strRef>
          </c:tx>
          <c:dLbls>
            <c:dLbl>
              <c:idx val="0"/>
              <c:layout>
                <c:manualLayout>
                  <c:x val="-4.7222222222222221E-2"/>
                  <c:y val="5.09259259259259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-2.5000000000000001E-2"/>
                  <c:y val="4.62962962962963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-2.5000000000000001E-2"/>
                  <c:y val="4.16666666666665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-3.6111111111111108E-2"/>
                  <c:y val="6.94444444444443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layout>
                <c:manualLayout>
                  <c:x val="-1.6666666666666666E-2"/>
                  <c:y val="5.09259259259259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layout>
                <c:manualLayout>
                  <c:x val="-1.9444444444444445E-2"/>
                  <c:y val="-5.55555555555555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7"/>
              <c:layout>
                <c:manualLayout>
                  <c:x val="-1.388888888888899E-2"/>
                  <c:y val="-4.16666666666666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8"/>
              <c:layout>
                <c:manualLayout>
                  <c:x val="0"/>
                  <c:y val="-2.777777777777777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Ref>
              <c:f>осн!$A$61:$A$69</c:f>
              <c:numCache>
                <c:formatCode>General</c:formatCode>
                <c:ptCount val="9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</c:numCache>
            </c:numRef>
          </c:cat>
          <c:val>
            <c:numRef>
              <c:f>осн!$C$61:$C$69</c:f>
              <c:numCache>
                <c:formatCode>General</c:formatCode>
                <c:ptCount val="9"/>
                <c:pt idx="0">
                  <c:v>1129.5</c:v>
                </c:pt>
                <c:pt idx="1">
                  <c:v>1166.3</c:v>
                </c:pt>
                <c:pt idx="2">
                  <c:v>1052</c:v>
                </c:pt>
                <c:pt idx="3">
                  <c:v>1123</c:v>
                </c:pt>
                <c:pt idx="4">
                  <c:v>829.1</c:v>
                </c:pt>
                <c:pt idx="5">
                  <c:v>1136.7</c:v>
                </c:pt>
                <c:pt idx="6">
                  <c:v>1775.1</c:v>
                </c:pt>
                <c:pt idx="7">
                  <c:v>1340</c:v>
                </c:pt>
                <c:pt idx="8">
                  <c:v>963.4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2143616"/>
        <c:axId val="72145152"/>
      </c:lineChart>
      <c:catAx>
        <c:axId val="72143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72145152"/>
        <c:crosses val="autoZero"/>
        <c:auto val="1"/>
        <c:lblAlgn val="ctr"/>
        <c:lblOffset val="100"/>
        <c:noMultiLvlLbl val="0"/>
      </c:catAx>
      <c:valAx>
        <c:axId val="72145152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crossAx val="72143616"/>
        <c:crosses val="autoZero"/>
        <c:crossBetween val="between"/>
      </c:valAx>
    </c:plotArea>
    <c:legend>
      <c:legendPos val="b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ассортимент!$B$59</c:f>
              <c:strCache>
                <c:ptCount val="1"/>
                <c:pt idx="0">
                  <c:v>ЛС</c:v>
                </c:pt>
              </c:strCache>
            </c:strRef>
          </c:tx>
          <c:invertIfNegative val="0"/>
          <c:cat>
            <c:numRef>
              <c:f>ассортимент!$A$60:$A$68</c:f>
              <c:numCache>
                <c:formatCode>General</c:formatCode>
                <c:ptCount val="9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</c:numCache>
            </c:numRef>
          </c:cat>
          <c:val>
            <c:numRef>
              <c:f>ассортимент!$B$60:$B$68</c:f>
              <c:numCache>
                <c:formatCode>General</c:formatCode>
                <c:ptCount val="9"/>
                <c:pt idx="0">
                  <c:v>18153</c:v>
                </c:pt>
                <c:pt idx="1">
                  <c:v>30775</c:v>
                </c:pt>
                <c:pt idx="2">
                  <c:v>32252</c:v>
                </c:pt>
                <c:pt idx="3">
                  <c:v>37705</c:v>
                </c:pt>
                <c:pt idx="4">
                  <c:v>18404</c:v>
                </c:pt>
                <c:pt idx="5">
                  <c:v>26084</c:v>
                </c:pt>
                <c:pt idx="6">
                  <c:v>31539</c:v>
                </c:pt>
                <c:pt idx="7">
                  <c:v>28245</c:v>
                </c:pt>
                <c:pt idx="8">
                  <c:v>30993</c:v>
                </c:pt>
              </c:numCache>
            </c:numRef>
          </c:val>
        </c:ser>
        <c:ser>
          <c:idx val="1"/>
          <c:order val="1"/>
          <c:tx>
            <c:strRef>
              <c:f>ассортимент!$C$59</c:f>
              <c:strCache>
                <c:ptCount val="1"/>
                <c:pt idx="0">
                  <c:v>Чай</c:v>
                </c:pt>
              </c:strCache>
            </c:strRef>
          </c:tx>
          <c:invertIfNegative val="0"/>
          <c:cat>
            <c:numRef>
              <c:f>ассортимент!$A$60:$A$68</c:f>
              <c:numCache>
                <c:formatCode>General</c:formatCode>
                <c:ptCount val="9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</c:numCache>
            </c:numRef>
          </c:cat>
          <c:val>
            <c:numRef>
              <c:f>ассортимент!$C$60:$C$68</c:f>
              <c:numCache>
                <c:formatCode>General</c:formatCode>
                <c:ptCount val="9"/>
                <c:pt idx="0">
                  <c:v>9362</c:v>
                </c:pt>
                <c:pt idx="1">
                  <c:v>12007</c:v>
                </c:pt>
                <c:pt idx="2">
                  <c:v>12150</c:v>
                </c:pt>
                <c:pt idx="3">
                  <c:v>8738</c:v>
                </c:pt>
                <c:pt idx="4">
                  <c:v>12669</c:v>
                </c:pt>
                <c:pt idx="5">
                  <c:v>11704</c:v>
                </c:pt>
                <c:pt idx="6">
                  <c:v>11076</c:v>
                </c:pt>
                <c:pt idx="7">
                  <c:v>18288</c:v>
                </c:pt>
                <c:pt idx="8">
                  <c:v>47471</c:v>
                </c:pt>
              </c:numCache>
            </c:numRef>
          </c:val>
        </c:ser>
        <c:ser>
          <c:idx val="2"/>
          <c:order val="2"/>
          <c:tx>
            <c:strRef>
              <c:f>ассортимент!$D$59</c:f>
              <c:strCache>
                <c:ptCount val="1"/>
                <c:pt idx="0">
                  <c:v>Специи</c:v>
                </c:pt>
              </c:strCache>
            </c:strRef>
          </c:tx>
          <c:invertIfNegative val="0"/>
          <c:cat>
            <c:numRef>
              <c:f>ассортимент!$A$60:$A$68</c:f>
              <c:numCache>
                <c:formatCode>General</c:formatCode>
                <c:ptCount val="9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</c:numCache>
            </c:numRef>
          </c:cat>
          <c:val>
            <c:numRef>
              <c:f>ассортимент!$D$60:$D$68</c:f>
              <c:numCache>
                <c:formatCode>General</c:formatCode>
                <c:ptCount val="9"/>
                <c:pt idx="0">
                  <c:v>5136</c:v>
                </c:pt>
                <c:pt idx="1">
                  <c:v>2859</c:v>
                </c:pt>
                <c:pt idx="2">
                  <c:v>2648</c:v>
                </c:pt>
                <c:pt idx="3">
                  <c:v>4544</c:v>
                </c:pt>
                <c:pt idx="4">
                  <c:v>2817</c:v>
                </c:pt>
                <c:pt idx="5">
                  <c:v>1016</c:v>
                </c:pt>
                <c:pt idx="6">
                  <c:v>3543</c:v>
                </c:pt>
                <c:pt idx="7">
                  <c:v>5060</c:v>
                </c:pt>
                <c:pt idx="8">
                  <c:v>3772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78711040"/>
        <c:axId val="78712832"/>
        <c:axId val="0"/>
      </c:bar3DChart>
      <c:catAx>
        <c:axId val="787110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78712832"/>
        <c:crosses val="autoZero"/>
        <c:auto val="1"/>
        <c:lblAlgn val="ctr"/>
        <c:lblOffset val="100"/>
        <c:noMultiLvlLbl val="0"/>
      </c:catAx>
      <c:valAx>
        <c:axId val="78712832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crossAx val="78711040"/>
        <c:crosses val="autoZero"/>
        <c:crossBetween val="between"/>
      </c:valAx>
    </c:plotArea>
    <c:legend>
      <c:legendPos val="b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30"/>
      <c:rotY val="0"/>
      <c:rAngAx val="0"/>
      <c:perspective val="3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cat>
            <c:strRef>
              <c:f>ассортимент!$A$71:$A$75</c:f>
              <c:strCache>
                <c:ptCount val="5"/>
                <c:pt idx="0">
                  <c:v>чайные</c:v>
                </c:pt>
                <c:pt idx="1">
                  <c:v>пищевые</c:v>
                </c:pt>
                <c:pt idx="2">
                  <c:v>алкогольные</c:v>
                </c:pt>
                <c:pt idx="3">
                  <c:v>частные предпр., ФХ</c:v>
                </c:pt>
                <c:pt idx="4">
                  <c:v>фармацевтические</c:v>
                </c:pt>
              </c:strCache>
            </c:strRef>
          </c:cat>
          <c:val>
            <c:numRef>
              <c:f>ассортимент!$B$71:$B$75</c:f>
              <c:numCache>
                <c:formatCode>General</c:formatCode>
                <c:ptCount val="5"/>
                <c:pt idx="0">
                  <c:v>81502913</c:v>
                </c:pt>
                <c:pt idx="1">
                  <c:v>13648713</c:v>
                </c:pt>
                <c:pt idx="2">
                  <c:v>5282366</c:v>
                </c:pt>
                <c:pt idx="3">
                  <c:v>14452241</c:v>
                </c:pt>
                <c:pt idx="4">
                  <c:v>82036153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20"/>
      <c:depthPercent val="100"/>
      <c:rAngAx val="1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3071062992125984"/>
          <c:y val="0.1162153689122193"/>
          <c:w val="0.86928937007874019"/>
          <c:h val="0.72112459900845727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'[1]компании '!$A$155</c:f>
              <c:strCache>
                <c:ptCount val="1"/>
                <c:pt idx="0">
                  <c:v>Российское</c:v>
                </c:pt>
              </c:strCache>
            </c:strRef>
          </c:tx>
          <c:spPr>
            <a:solidFill>
              <a:schemeClr val="accent2">
                <a:lumMod val="75000"/>
              </a:schemeClr>
            </a:solidFill>
          </c:spPr>
          <c:invertIfNegative val="0"/>
          <c:cat>
            <c:strRef>
              <c:f>'[1]компании '!$B$154:$G$154</c:f>
              <c:strCache>
                <c:ptCount val="6"/>
                <c:pt idx="0">
                  <c:v>2012г</c:v>
                </c:pt>
                <c:pt idx="1">
                  <c:v>2013г</c:v>
                </c:pt>
                <c:pt idx="2">
                  <c:v>2014г</c:v>
                </c:pt>
                <c:pt idx="3">
                  <c:v>2015г</c:v>
                </c:pt>
                <c:pt idx="4">
                  <c:v>2016г</c:v>
                </c:pt>
                <c:pt idx="5">
                  <c:v>2017г</c:v>
                </c:pt>
              </c:strCache>
            </c:strRef>
          </c:cat>
          <c:val>
            <c:numRef>
              <c:f>'[1]компании '!$B$155:$G$155</c:f>
              <c:numCache>
                <c:formatCode>General</c:formatCode>
                <c:ptCount val="6"/>
                <c:pt idx="0">
                  <c:v>133</c:v>
                </c:pt>
                <c:pt idx="1">
                  <c:v>116</c:v>
                </c:pt>
                <c:pt idx="2">
                  <c:v>190</c:v>
                </c:pt>
                <c:pt idx="3">
                  <c:v>170</c:v>
                </c:pt>
                <c:pt idx="4">
                  <c:v>193</c:v>
                </c:pt>
                <c:pt idx="5">
                  <c:v>281</c:v>
                </c:pt>
              </c:numCache>
            </c:numRef>
          </c:val>
        </c:ser>
        <c:ser>
          <c:idx val="1"/>
          <c:order val="1"/>
          <c:tx>
            <c:strRef>
              <c:f>'[1]компании '!$A$156</c:f>
              <c:strCache>
                <c:ptCount val="1"/>
                <c:pt idx="0">
                  <c:v>Импортное </c:v>
                </c:pt>
              </c:strCache>
            </c:strRef>
          </c:tx>
          <c:spPr>
            <a:solidFill>
              <a:srgbClr val="92D050"/>
            </a:solidFill>
          </c:spPr>
          <c:invertIfNegative val="0"/>
          <c:cat>
            <c:strRef>
              <c:f>'[1]компании '!$B$154:$G$154</c:f>
              <c:strCache>
                <c:ptCount val="6"/>
                <c:pt idx="0">
                  <c:v>2012г</c:v>
                </c:pt>
                <c:pt idx="1">
                  <c:v>2013г</c:v>
                </c:pt>
                <c:pt idx="2">
                  <c:v>2014г</c:v>
                </c:pt>
                <c:pt idx="3">
                  <c:v>2015г</c:v>
                </c:pt>
                <c:pt idx="4">
                  <c:v>2016г</c:v>
                </c:pt>
                <c:pt idx="5">
                  <c:v>2017г</c:v>
                </c:pt>
              </c:strCache>
            </c:strRef>
          </c:cat>
          <c:val>
            <c:numRef>
              <c:f>'[1]компании '!$B$156:$G$156</c:f>
              <c:numCache>
                <c:formatCode>General</c:formatCode>
                <c:ptCount val="6"/>
                <c:pt idx="0">
                  <c:v>1168</c:v>
                </c:pt>
                <c:pt idx="1">
                  <c:v>1230</c:v>
                </c:pt>
                <c:pt idx="2">
                  <c:v>940</c:v>
                </c:pt>
                <c:pt idx="3">
                  <c:v>996</c:v>
                </c:pt>
                <c:pt idx="4">
                  <c:v>859</c:v>
                </c:pt>
                <c:pt idx="5">
                  <c:v>842</c:v>
                </c:pt>
              </c:numCache>
            </c:numRef>
          </c:val>
        </c:ser>
        <c:ser>
          <c:idx val="2"/>
          <c:order val="2"/>
          <c:tx>
            <c:strRef>
              <c:f>'[1]компании '!$A$157</c:f>
              <c:strCache>
                <c:ptCount val="1"/>
                <c:pt idx="0">
                  <c:v>Украинское</c:v>
                </c:pt>
              </c:strCache>
            </c:strRef>
          </c:tx>
          <c:spPr>
            <a:solidFill>
              <a:srgbClr val="FFFF00"/>
            </a:solidFill>
          </c:spPr>
          <c:invertIfNegative val="0"/>
          <c:dLbls>
            <c:dLbl>
              <c:idx val="0"/>
              <c:layout>
                <c:manualLayout>
                  <c:x val="3.3333333333333333E-2"/>
                  <c:y val="-2.1218890680033321E-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3.3333333333333381E-2"/>
                  <c:y val="4.629629629629629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4.1666666666666664E-2"/>
                  <c:y val="4.629629629629629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2.2222222222222223E-2"/>
                  <c:y val="4.629629629629629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layout>
                <c:manualLayout>
                  <c:x val="1.9444444444444445E-2"/>
                  <c:y val="4.629629629629629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layout>
                <c:manualLayout>
                  <c:x val="2.7777777777777776E-2"/>
                  <c:y val="4.629629629629629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'[1]компании '!$B$154:$G$154</c:f>
              <c:strCache>
                <c:ptCount val="6"/>
                <c:pt idx="0">
                  <c:v>2012г</c:v>
                </c:pt>
                <c:pt idx="1">
                  <c:v>2013г</c:v>
                </c:pt>
                <c:pt idx="2">
                  <c:v>2014г</c:v>
                </c:pt>
                <c:pt idx="3">
                  <c:v>2015г</c:v>
                </c:pt>
                <c:pt idx="4">
                  <c:v>2016г</c:v>
                </c:pt>
                <c:pt idx="5">
                  <c:v>2017г</c:v>
                </c:pt>
              </c:strCache>
            </c:strRef>
          </c:cat>
          <c:val>
            <c:numRef>
              <c:f>'[1]компании '!$B$157:$G$157</c:f>
              <c:numCache>
                <c:formatCode>General</c:formatCode>
                <c:ptCount val="6"/>
                <c:pt idx="0">
                  <c:v>1009</c:v>
                </c:pt>
                <c:pt idx="1">
                  <c:v>661</c:v>
                </c:pt>
                <c:pt idx="2">
                  <c:v>524</c:v>
                </c:pt>
                <c:pt idx="3">
                  <c:v>292</c:v>
                </c:pt>
                <c:pt idx="4">
                  <c:v>314</c:v>
                </c:pt>
                <c:pt idx="5">
                  <c:v>258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78757888"/>
        <c:axId val="78759424"/>
        <c:axId val="0"/>
      </c:bar3DChart>
      <c:catAx>
        <c:axId val="787578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ru-RU"/>
          </a:p>
        </c:txPr>
        <c:crossAx val="78759424"/>
        <c:crosses val="autoZero"/>
        <c:auto val="1"/>
        <c:lblAlgn val="ctr"/>
        <c:lblOffset val="100"/>
        <c:noMultiLvlLbl val="0"/>
      </c:catAx>
      <c:valAx>
        <c:axId val="78759424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ru-RU"/>
          </a:p>
        </c:txPr>
        <c:crossAx val="78757888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32382892057026474"/>
          <c:y val="0.84848993875765533"/>
          <c:w val="0.35234215885947046"/>
          <c:h val="0.10303093931440388"/>
        </c:manualLayout>
      </c:layout>
      <c:overlay val="0"/>
      <c:txPr>
        <a:bodyPr/>
        <a:lstStyle/>
        <a:p>
          <a:pPr>
            <a:defRPr sz="5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ru-RU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'[1]компании '!$A$151</c:f>
              <c:strCache>
                <c:ptCount val="1"/>
                <c:pt idx="0">
                  <c:v>цена укр.сырья</c:v>
                </c:pt>
              </c:strCache>
            </c:strRef>
          </c:tx>
          <c:dLbls>
            <c:dLbl>
              <c:idx val="0"/>
              <c:layout>
                <c:manualLayout>
                  <c:x val="-1.9444444444444445E-2"/>
                  <c:y val="5.55555555555555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-8.3333333333333332E-3"/>
                  <c:y val="5.0925925925925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2.7777777777777779E-3"/>
                  <c:y val="4.62962962962962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-1.6666666666666718E-2"/>
                  <c:y val="4.62962962962962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layout>
                <c:manualLayout>
                  <c:x val="0"/>
                  <c:y val="3.70370370370370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layout>
                <c:manualLayout>
                  <c:x val="-2.7777777777777779E-3"/>
                  <c:y val="4.62962962962962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layout>
                <c:manualLayout>
                  <c:x val="-8.3333333333334356E-3"/>
                  <c:y val="4.62962962962962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7"/>
              <c:layout>
                <c:manualLayout>
                  <c:x val="-1.1111111111111212E-2"/>
                  <c:y val="5.55555555555555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8"/>
              <c:layout>
                <c:manualLayout>
                  <c:x val="-8.3333333333333332E-3"/>
                  <c:y val="7.87037037037037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'[1]компании '!$B$150:$J$150</c:f>
              <c:strCache>
                <c:ptCount val="9"/>
                <c:pt idx="0">
                  <c:v>2012г</c:v>
                </c:pt>
                <c:pt idx="1">
                  <c:v>2013г</c:v>
                </c:pt>
                <c:pt idx="2">
                  <c:v>2014г</c:v>
                </c:pt>
                <c:pt idx="3">
                  <c:v>2015г</c:v>
                </c:pt>
                <c:pt idx="4">
                  <c:v>2016г</c:v>
                </c:pt>
                <c:pt idx="5">
                  <c:v>2017г</c:v>
                </c:pt>
                <c:pt idx="6">
                  <c:v>2018г</c:v>
                </c:pt>
                <c:pt idx="7">
                  <c:v>2019</c:v>
                </c:pt>
                <c:pt idx="8">
                  <c:v>2020</c:v>
                </c:pt>
              </c:strCache>
            </c:strRef>
          </c:cat>
          <c:val>
            <c:numRef>
              <c:f>'[1]компании '!$B$151:$J$151</c:f>
              <c:numCache>
                <c:formatCode>General</c:formatCode>
                <c:ptCount val="9"/>
                <c:pt idx="0">
                  <c:v>14</c:v>
                </c:pt>
                <c:pt idx="1">
                  <c:v>11</c:v>
                </c:pt>
                <c:pt idx="2">
                  <c:v>15</c:v>
                </c:pt>
                <c:pt idx="3">
                  <c:v>27</c:v>
                </c:pt>
                <c:pt idx="4">
                  <c:v>30</c:v>
                </c:pt>
                <c:pt idx="5">
                  <c:v>36</c:v>
                </c:pt>
                <c:pt idx="6">
                  <c:v>40</c:v>
                </c:pt>
                <c:pt idx="7">
                  <c:v>42</c:v>
                </c:pt>
                <c:pt idx="8">
                  <c:v>44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'[1]компании '!$A$152</c:f>
              <c:strCache>
                <c:ptCount val="1"/>
                <c:pt idx="0">
                  <c:v>цена импортн.сырья</c:v>
                </c:pt>
              </c:strCache>
            </c:strRef>
          </c:tx>
          <c:dLbls>
            <c:dLbl>
              <c:idx val="0"/>
              <c:layout>
                <c:manualLayout>
                  <c:x val="-3.6111111111111122E-2"/>
                  <c:y val="-6.01851851851851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-4.9999999999999975E-2"/>
                  <c:y val="-6.48148148148148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-5.8333333333333334E-2"/>
                  <c:y val="-6.01851851851851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-5.0000000000000051E-2"/>
                  <c:y val="-4.62962962962962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layout>
                <c:manualLayout>
                  <c:x val="-7.2222222222222215E-2"/>
                  <c:y val="-4.16666666666666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layout>
                <c:manualLayout>
                  <c:x val="-1.9444444444444445E-2"/>
                  <c:y val="-4.62962962962962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layout>
                <c:manualLayout>
                  <c:x val="-1.6666666666666767E-2"/>
                  <c:y val="-5.55555555555555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7"/>
              <c:layout>
                <c:manualLayout>
                  <c:x val="-8.3333333333334356E-3"/>
                  <c:y val="-5.55555555555555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'[1]компании '!$B$150:$J$150</c:f>
              <c:strCache>
                <c:ptCount val="9"/>
                <c:pt idx="0">
                  <c:v>2012г</c:v>
                </c:pt>
                <c:pt idx="1">
                  <c:v>2013г</c:v>
                </c:pt>
                <c:pt idx="2">
                  <c:v>2014г</c:v>
                </c:pt>
                <c:pt idx="3">
                  <c:v>2015г</c:v>
                </c:pt>
                <c:pt idx="4">
                  <c:v>2016г</c:v>
                </c:pt>
                <c:pt idx="5">
                  <c:v>2017г</c:v>
                </c:pt>
                <c:pt idx="6">
                  <c:v>2018г</c:v>
                </c:pt>
                <c:pt idx="7">
                  <c:v>2019</c:v>
                </c:pt>
                <c:pt idx="8">
                  <c:v>2020</c:v>
                </c:pt>
              </c:strCache>
            </c:strRef>
          </c:cat>
          <c:val>
            <c:numRef>
              <c:f>'[1]компании '!$B$152:$J$152</c:f>
              <c:numCache>
                <c:formatCode>General</c:formatCode>
                <c:ptCount val="9"/>
                <c:pt idx="0">
                  <c:v>23</c:v>
                </c:pt>
                <c:pt idx="1">
                  <c:v>22</c:v>
                </c:pt>
                <c:pt idx="2">
                  <c:v>31</c:v>
                </c:pt>
                <c:pt idx="3">
                  <c:v>58</c:v>
                </c:pt>
                <c:pt idx="4">
                  <c:v>73</c:v>
                </c:pt>
                <c:pt idx="5">
                  <c:v>74</c:v>
                </c:pt>
                <c:pt idx="6">
                  <c:v>61</c:v>
                </c:pt>
                <c:pt idx="7">
                  <c:v>63</c:v>
                </c:pt>
                <c:pt idx="8">
                  <c:v>60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8772864"/>
        <c:axId val="79237504"/>
      </c:lineChart>
      <c:catAx>
        <c:axId val="787728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27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ru-RU"/>
          </a:p>
        </c:txPr>
        <c:crossAx val="79237504"/>
        <c:crosses val="autoZero"/>
        <c:auto val="1"/>
        <c:lblAlgn val="ctr"/>
        <c:lblOffset val="100"/>
        <c:noMultiLvlLbl val="0"/>
      </c:catAx>
      <c:valAx>
        <c:axId val="79237504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ru-RU"/>
          </a:p>
        </c:txPr>
        <c:crossAx val="78772864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1690427698574338"/>
          <c:y val="0.89347367661516541"/>
          <c:w val="0.6537678207739307"/>
          <c:h val="8.2474587583768577E-2"/>
        </c:manualLayout>
      </c:layout>
      <c:overlay val="0"/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ru-RU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'по предпр'!$B$20</c:f>
              <c:strCache>
                <c:ptCount val="1"/>
                <c:pt idx="0">
                  <c:v>2014</c:v>
                </c:pt>
              </c:strCache>
            </c:strRef>
          </c:tx>
          <c:spPr>
            <a:solidFill>
              <a:srgbClr val="FFFF00"/>
            </a:solidFill>
            <a:ln>
              <a:solidFill>
                <a:schemeClr val="accent1"/>
              </a:solidFill>
            </a:ln>
          </c:spPr>
          <c:invertIfNegative val="0"/>
          <c:cat>
            <c:strRef>
              <c:f>'по предпр'!$A$21:$A$28</c:f>
              <c:strCache>
                <c:ptCount val="8"/>
                <c:pt idx="0">
                  <c:v>Житом. ф.ф.</c:v>
                </c:pt>
                <c:pt idx="1">
                  <c:v>Фитофарм</c:v>
                </c:pt>
                <c:pt idx="2">
                  <c:v>Укрмедфарм </c:v>
                </c:pt>
                <c:pt idx="3">
                  <c:v>ФБТ</c:v>
                </c:pt>
                <c:pt idx="4">
                  <c:v>Здоровье</c:v>
                </c:pt>
                <c:pt idx="5">
                  <c:v>Эс джи </c:v>
                </c:pt>
                <c:pt idx="6">
                  <c:v>Кормотех</c:v>
                </c:pt>
                <c:pt idx="7">
                  <c:v>Любысток</c:v>
                </c:pt>
              </c:strCache>
            </c:strRef>
          </c:cat>
          <c:val>
            <c:numRef>
              <c:f>'по предпр'!$B$21:$B$28</c:f>
              <c:numCache>
                <c:formatCode>General</c:formatCode>
                <c:ptCount val="8"/>
                <c:pt idx="0">
                  <c:v>75</c:v>
                </c:pt>
                <c:pt idx="1">
                  <c:v>81</c:v>
                </c:pt>
                <c:pt idx="2">
                  <c:v>0</c:v>
                </c:pt>
                <c:pt idx="3">
                  <c:v>25</c:v>
                </c:pt>
                <c:pt idx="4">
                  <c:v>14</c:v>
                </c:pt>
                <c:pt idx="6">
                  <c:v>0</c:v>
                </c:pt>
                <c:pt idx="7">
                  <c:v>39</c:v>
                </c:pt>
              </c:numCache>
            </c:numRef>
          </c:val>
        </c:ser>
        <c:ser>
          <c:idx val="1"/>
          <c:order val="1"/>
          <c:tx>
            <c:strRef>
              <c:f>'по предпр'!$C$20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rgbClr val="FFFF00"/>
            </a:solidFill>
            <a:ln>
              <a:solidFill>
                <a:schemeClr val="accent1"/>
              </a:solidFill>
            </a:ln>
          </c:spPr>
          <c:invertIfNegative val="0"/>
          <c:cat>
            <c:strRef>
              <c:f>'по предпр'!$A$21:$A$28</c:f>
              <c:strCache>
                <c:ptCount val="8"/>
                <c:pt idx="0">
                  <c:v>Житом. ф.ф.</c:v>
                </c:pt>
                <c:pt idx="1">
                  <c:v>Фитофарм</c:v>
                </c:pt>
                <c:pt idx="2">
                  <c:v>Укрмедфарм </c:v>
                </c:pt>
                <c:pt idx="3">
                  <c:v>ФБТ</c:v>
                </c:pt>
                <c:pt idx="4">
                  <c:v>Здоровье</c:v>
                </c:pt>
                <c:pt idx="5">
                  <c:v>Эс джи </c:v>
                </c:pt>
                <c:pt idx="6">
                  <c:v>Кормотех</c:v>
                </c:pt>
                <c:pt idx="7">
                  <c:v>Любысток</c:v>
                </c:pt>
              </c:strCache>
            </c:strRef>
          </c:cat>
          <c:val>
            <c:numRef>
              <c:f>'по предпр'!$C$21:$C$28</c:f>
              <c:numCache>
                <c:formatCode>General</c:formatCode>
                <c:ptCount val="8"/>
                <c:pt idx="0">
                  <c:v>30</c:v>
                </c:pt>
                <c:pt idx="1">
                  <c:v>114</c:v>
                </c:pt>
                <c:pt idx="2">
                  <c:v>0</c:v>
                </c:pt>
                <c:pt idx="3">
                  <c:v>4</c:v>
                </c:pt>
                <c:pt idx="4">
                  <c:v>111</c:v>
                </c:pt>
                <c:pt idx="6">
                  <c:v>0</c:v>
                </c:pt>
                <c:pt idx="7">
                  <c:v>20</c:v>
                </c:pt>
              </c:numCache>
            </c:numRef>
          </c:val>
        </c:ser>
        <c:ser>
          <c:idx val="2"/>
          <c:order val="2"/>
          <c:tx>
            <c:strRef>
              <c:f>'по предпр'!$D$20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rgbClr val="FFFF00"/>
            </a:solidFill>
            <a:ln>
              <a:solidFill>
                <a:schemeClr val="accent1"/>
              </a:solidFill>
            </a:ln>
          </c:spPr>
          <c:invertIfNegative val="0"/>
          <c:cat>
            <c:strRef>
              <c:f>'по предпр'!$A$21:$A$28</c:f>
              <c:strCache>
                <c:ptCount val="8"/>
                <c:pt idx="0">
                  <c:v>Житом. ф.ф.</c:v>
                </c:pt>
                <c:pt idx="1">
                  <c:v>Фитофарм</c:v>
                </c:pt>
                <c:pt idx="2">
                  <c:v>Укрмедфарм </c:v>
                </c:pt>
                <c:pt idx="3">
                  <c:v>ФБТ</c:v>
                </c:pt>
                <c:pt idx="4">
                  <c:v>Здоровье</c:v>
                </c:pt>
                <c:pt idx="5">
                  <c:v>Эс джи </c:v>
                </c:pt>
                <c:pt idx="6">
                  <c:v>Кормотех</c:v>
                </c:pt>
                <c:pt idx="7">
                  <c:v>Любысток</c:v>
                </c:pt>
              </c:strCache>
            </c:strRef>
          </c:cat>
          <c:val>
            <c:numRef>
              <c:f>'по предпр'!$D$21:$D$28</c:f>
              <c:numCache>
                <c:formatCode>General</c:formatCode>
                <c:ptCount val="8"/>
                <c:pt idx="0">
                  <c:v>67</c:v>
                </c:pt>
                <c:pt idx="1">
                  <c:v>75</c:v>
                </c:pt>
                <c:pt idx="2">
                  <c:v>76</c:v>
                </c:pt>
                <c:pt idx="3">
                  <c:v>46</c:v>
                </c:pt>
                <c:pt idx="4">
                  <c:v>48</c:v>
                </c:pt>
                <c:pt idx="5" formatCode="0.0">
                  <c:v>49.725490196078432</c:v>
                </c:pt>
                <c:pt idx="6">
                  <c:v>0</c:v>
                </c:pt>
                <c:pt idx="7">
                  <c:v>14</c:v>
                </c:pt>
              </c:numCache>
            </c:numRef>
          </c:val>
        </c:ser>
        <c:ser>
          <c:idx val="3"/>
          <c:order val="3"/>
          <c:tx>
            <c:strRef>
              <c:f>'по предпр'!$E$20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rgbClr val="FFFF00"/>
            </a:solidFill>
            <a:ln>
              <a:solidFill>
                <a:schemeClr val="accent1"/>
              </a:solidFill>
            </a:ln>
          </c:spPr>
          <c:invertIfNegative val="0"/>
          <c:cat>
            <c:strRef>
              <c:f>'по предпр'!$A$21:$A$28</c:f>
              <c:strCache>
                <c:ptCount val="8"/>
                <c:pt idx="0">
                  <c:v>Житом. ф.ф.</c:v>
                </c:pt>
                <c:pt idx="1">
                  <c:v>Фитофарм</c:v>
                </c:pt>
                <c:pt idx="2">
                  <c:v>Укрмедфарм </c:v>
                </c:pt>
                <c:pt idx="3">
                  <c:v>ФБТ</c:v>
                </c:pt>
                <c:pt idx="4">
                  <c:v>Здоровье</c:v>
                </c:pt>
                <c:pt idx="5">
                  <c:v>Эс джи </c:v>
                </c:pt>
                <c:pt idx="6">
                  <c:v>Кормотех</c:v>
                </c:pt>
                <c:pt idx="7">
                  <c:v>Любысток</c:v>
                </c:pt>
              </c:strCache>
            </c:strRef>
          </c:cat>
          <c:val>
            <c:numRef>
              <c:f>'по предпр'!$E$21:$E$28</c:f>
              <c:numCache>
                <c:formatCode>0</c:formatCode>
                <c:ptCount val="8"/>
                <c:pt idx="0">
                  <c:v>53.70676691729323</c:v>
                </c:pt>
                <c:pt idx="1">
                  <c:v>51.691729323308266</c:v>
                </c:pt>
                <c:pt idx="2">
                  <c:v>78</c:v>
                </c:pt>
                <c:pt idx="3">
                  <c:v>54.503759398496236</c:v>
                </c:pt>
                <c:pt idx="4">
                  <c:v>4.2255639097744364</c:v>
                </c:pt>
                <c:pt idx="5">
                  <c:v>99.793233082706763</c:v>
                </c:pt>
                <c:pt idx="6" formatCode="General">
                  <c:v>0</c:v>
                </c:pt>
                <c:pt idx="7">
                  <c:v>12</c:v>
                </c:pt>
              </c:numCache>
            </c:numRef>
          </c:val>
        </c:ser>
        <c:ser>
          <c:idx val="4"/>
          <c:order val="4"/>
          <c:tx>
            <c:strRef>
              <c:f>'по предпр'!$F$20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rgbClr val="FFFF00"/>
            </a:solidFill>
            <a:ln>
              <a:solidFill>
                <a:schemeClr val="accent1"/>
              </a:solidFill>
            </a:ln>
          </c:spPr>
          <c:invertIfNegative val="0"/>
          <c:cat>
            <c:strRef>
              <c:f>'по предпр'!$A$21:$A$28</c:f>
              <c:strCache>
                <c:ptCount val="8"/>
                <c:pt idx="0">
                  <c:v>Житом. ф.ф.</c:v>
                </c:pt>
                <c:pt idx="1">
                  <c:v>Фитофарм</c:v>
                </c:pt>
                <c:pt idx="2">
                  <c:v>Укрмедфарм </c:v>
                </c:pt>
                <c:pt idx="3">
                  <c:v>ФБТ</c:v>
                </c:pt>
                <c:pt idx="4">
                  <c:v>Здоровье</c:v>
                </c:pt>
                <c:pt idx="5">
                  <c:v>Эс джи </c:v>
                </c:pt>
                <c:pt idx="6">
                  <c:v>Кормотех</c:v>
                </c:pt>
                <c:pt idx="7">
                  <c:v>Любысток</c:v>
                </c:pt>
              </c:strCache>
            </c:strRef>
          </c:cat>
          <c:val>
            <c:numRef>
              <c:f>'по предпр'!$F$21:$F$28</c:f>
              <c:numCache>
                <c:formatCode>General</c:formatCode>
                <c:ptCount val="8"/>
                <c:pt idx="0">
                  <c:v>66</c:v>
                </c:pt>
                <c:pt idx="1">
                  <c:v>129</c:v>
                </c:pt>
                <c:pt idx="2">
                  <c:v>158</c:v>
                </c:pt>
                <c:pt idx="3">
                  <c:v>54</c:v>
                </c:pt>
                <c:pt idx="4">
                  <c:v>40</c:v>
                </c:pt>
                <c:pt idx="5">
                  <c:v>70</c:v>
                </c:pt>
                <c:pt idx="6">
                  <c:v>0</c:v>
                </c:pt>
                <c:pt idx="7">
                  <c:v>10</c:v>
                </c:pt>
              </c:numCache>
            </c:numRef>
          </c:val>
        </c:ser>
        <c:ser>
          <c:idx val="5"/>
          <c:order val="5"/>
          <c:tx>
            <c:strRef>
              <c:f>'по предпр'!$G$20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rgbClr val="FFFF00"/>
            </a:solidFill>
            <a:ln>
              <a:solidFill>
                <a:schemeClr val="accent1"/>
              </a:solidFill>
            </a:ln>
          </c:spPr>
          <c:invertIfNegative val="0"/>
          <c:cat>
            <c:strRef>
              <c:f>'по предпр'!$A$21:$A$28</c:f>
              <c:strCache>
                <c:ptCount val="8"/>
                <c:pt idx="0">
                  <c:v>Житом. ф.ф.</c:v>
                </c:pt>
                <c:pt idx="1">
                  <c:v>Фитофарм</c:v>
                </c:pt>
                <c:pt idx="2">
                  <c:v>Укрмедфарм </c:v>
                </c:pt>
                <c:pt idx="3">
                  <c:v>ФБТ</c:v>
                </c:pt>
                <c:pt idx="4">
                  <c:v>Здоровье</c:v>
                </c:pt>
                <c:pt idx="5">
                  <c:v>Эс джи </c:v>
                </c:pt>
                <c:pt idx="6">
                  <c:v>Кормотех</c:v>
                </c:pt>
                <c:pt idx="7">
                  <c:v>Любысток</c:v>
                </c:pt>
              </c:strCache>
            </c:strRef>
          </c:cat>
          <c:val>
            <c:numRef>
              <c:f>'по предпр'!$G$21:$G$28</c:f>
              <c:numCache>
                <c:formatCode>General</c:formatCode>
                <c:ptCount val="8"/>
                <c:pt idx="0">
                  <c:v>79</c:v>
                </c:pt>
                <c:pt idx="1">
                  <c:v>61</c:v>
                </c:pt>
                <c:pt idx="2">
                  <c:v>167</c:v>
                </c:pt>
                <c:pt idx="3">
                  <c:v>40</c:v>
                </c:pt>
                <c:pt idx="4">
                  <c:v>7</c:v>
                </c:pt>
                <c:pt idx="5">
                  <c:v>55</c:v>
                </c:pt>
                <c:pt idx="6">
                  <c:v>20</c:v>
                </c:pt>
                <c:pt idx="7">
                  <c:v>34</c:v>
                </c:pt>
              </c:numCache>
            </c:numRef>
          </c:val>
        </c:ser>
        <c:ser>
          <c:idx val="6"/>
          <c:order val="6"/>
          <c:tx>
            <c:strRef>
              <c:f>'по предпр'!$H$20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rgbClr val="FFFF00"/>
            </a:solidFill>
            <a:ln>
              <a:solidFill>
                <a:schemeClr val="accent1"/>
              </a:solidFill>
            </a:ln>
          </c:spPr>
          <c:invertIfNegative val="0"/>
          <c:cat>
            <c:strRef>
              <c:f>'по предпр'!$A$21:$A$28</c:f>
              <c:strCache>
                <c:ptCount val="8"/>
                <c:pt idx="0">
                  <c:v>Житом. ф.ф.</c:v>
                </c:pt>
                <c:pt idx="1">
                  <c:v>Фитофарм</c:v>
                </c:pt>
                <c:pt idx="2">
                  <c:v>Укрмедфарм </c:v>
                </c:pt>
                <c:pt idx="3">
                  <c:v>ФБТ</c:v>
                </c:pt>
                <c:pt idx="4">
                  <c:v>Здоровье</c:v>
                </c:pt>
                <c:pt idx="5">
                  <c:v>Эс джи </c:v>
                </c:pt>
                <c:pt idx="6">
                  <c:v>Кормотех</c:v>
                </c:pt>
                <c:pt idx="7">
                  <c:v>Любысток</c:v>
                </c:pt>
              </c:strCache>
            </c:strRef>
          </c:cat>
          <c:val>
            <c:numRef>
              <c:f>'по предпр'!$H$21:$H$28</c:f>
              <c:numCache>
                <c:formatCode>General</c:formatCode>
                <c:ptCount val="8"/>
                <c:pt idx="0">
                  <c:v>35</c:v>
                </c:pt>
                <c:pt idx="1">
                  <c:v>136</c:v>
                </c:pt>
                <c:pt idx="2">
                  <c:v>53</c:v>
                </c:pt>
                <c:pt idx="3">
                  <c:v>49.5</c:v>
                </c:pt>
                <c:pt idx="4">
                  <c:v>155</c:v>
                </c:pt>
                <c:pt idx="5">
                  <c:v>9</c:v>
                </c:pt>
                <c:pt idx="6">
                  <c:v>119</c:v>
                </c:pt>
                <c:pt idx="7">
                  <c:v>81</c:v>
                </c:pt>
              </c:numCache>
            </c:numRef>
          </c:val>
        </c:ser>
        <c:ser>
          <c:idx val="7"/>
          <c:order val="7"/>
          <c:tx>
            <c:strRef>
              <c:f>'по предпр'!$I$20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rgbClr val="FFFF00"/>
            </a:solidFill>
            <a:ln>
              <a:solidFill>
                <a:schemeClr val="accent1"/>
              </a:solidFill>
            </a:ln>
          </c:spPr>
          <c:invertIfNegative val="0"/>
          <c:cat>
            <c:strRef>
              <c:f>'по предпр'!$A$21:$A$28</c:f>
              <c:strCache>
                <c:ptCount val="8"/>
                <c:pt idx="0">
                  <c:v>Житом. ф.ф.</c:v>
                </c:pt>
                <c:pt idx="1">
                  <c:v>Фитофарм</c:v>
                </c:pt>
                <c:pt idx="2">
                  <c:v>Укрмедфарм </c:v>
                </c:pt>
                <c:pt idx="3">
                  <c:v>ФБТ</c:v>
                </c:pt>
                <c:pt idx="4">
                  <c:v>Здоровье</c:v>
                </c:pt>
                <c:pt idx="5">
                  <c:v>Эс джи </c:v>
                </c:pt>
                <c:pt idx="6">
                  <c:v>Кормотех</c:v>
                </c:pt>
                <c:pt idx="7">
                  <c:v>Любысток</c:v>
                </c:pt>
              </c:strCache>
            </c:strRef>
          </c:cat>
          <c:val>
            <c:numRef>
              <c:f>'по предпр'!$I$21:$I$28</c:f>
              <c:numCache>
                <c:formatCode>General</c:formatCode>
                <c:ptCount val="8"/>
                <c:pt idx="0">
                  <c:v>17</c:v>
                </c:pt>
                <c:pt idx="1">
                  <c:v>29</c:v>
                </c:pt>
                <c:pt idx="2">
                  <c:v>0</c:v>
                </c:pt>
                <c:pt idx="3">
                  <c:v>35</c:v>
                </c:pt>
                <c:pt idx="4">
                  <c:v>35</c:v>
                </c:pt>
                <c:pt idx="5">
                  <c:v>17</c:v>
                </c:pt>
                <c:pt idx="6">
                  <c:v>154</c:v>
                </c:pt>
                <c:pt idx="7">
                  <c:v>81</c:v>
                </c:pt>
              </c:numCache>
            </c:numRef>
          </c:val>
        </c:ser>
        <c:ser>
          <c:idx val="8"/>
          <c:order val="8"/>
          <c:tx>
            <c:strRef>
              <c:f>'по предпр'!$J$20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FF0000"/>
            </a:solidFill>
            <a:ln>
              <a:solidFill>
                <a:schemeClr val="accent1"/>
              </a:solidFill>
            </a:ln>
          </c:spPr>
          <c:invertIfNegative val="0"/>
          <c:dLbls>
            <c:dLbl>
              <c:idx val="3"/>
              <c:layout>
                <c:manualLayout>
                  <c:x val="1.7429192570924772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layout>
                <c:manualLayout>
                  <c:x val="1.9365769523249827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layout>
                <c:manualLayout>
                  <c:x val="2.9048654284874739E-2"/>
                  <c:y val="-3.793266384670663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'по предпр'!$A$21:$A$28</c:f>
              <c:strCache>
                <c:ptCount val="8"/>
                <c:pt idx="0">
                  <c:v>Житом. ф.ф.</c:v>
                </c:pt>
                <c:pt idx="1">
                  <c:v>Фитофарм</c:v>
                </c:pt>
                <c:pt idx="2">
                  <c:v>Укрмедфарм </c:v>
                </c:pt>
                <c:pt idx="3">
                  <c:v>ФБТ</c:v>
                </c:pt>
                <c:pt idx="4">
                  <c:v>Здоровье</c:v>
                </c:pt>
                <c:pt idx="5">
                  <c:v>Эс джи </c:v>
                </c:pt>
                <c:pt idx="6">
                  <c:v>Кормотех</c:v>
                </c:pt>
                <c:pt idx="7">
                  <c:v>Любысток</c:v>
                </c:pt>
              </c:strCache>
            </c:strRef>
          </c:cat>
          <c:val>
            <c:numRef>
              <c:f>'по предпр'!$J$21:$J$28</c:f>
              <c:numCache>
                <c:formatCode>General</c:formatCode>
                <c:ptCount val="8"/>
                <c:pt idx="0">
                  <c:v>18</c:v>
                </c:pt>
                <c:pt idx="1">
                  <c:v>0</c:v>
                </c:pt>
                <c:pt idx="2">
                  <c:v>100</c:v>
                </c:pt>
                <c:pt idx="3">
                  <c:v>24</c:v>
                </c:pt>
                <c:pt idx="4">
                  <c:v>0</c:v>
                </c:pt>
                <c:pt idx="5">
                  <c:v>5</c:v>
                </c:pt>
                <c:pt idx="6">
                  <c:v>120</c:v>
                </c:pt>
                <c:pt idx="7">
                  <c:v>84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79365248"/>
        <c:axId val="79366784"/>
        <c:axId val="0"/>
      </c:bar3DChart>
      <c:catAx>
        <c:axId val="793652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79366784"/>
        <c:crosses val="autoZero"/>
        <c:auto val="1"/>
        <c:lblAlgn val="ctr"/>
        <c:lblOffset val="100"/>
        <c:noMultiLvlLbl val="0"/>
      </c:catAx>
      <c:valAx>
        <c:axId val="79366784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crossAx val="79365248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chart" Target="../charts/chart4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6.xml"/><Relationship Id="rId1" Type="http://schemas.openxmlformats.org/officeDocument/2006/relationships/chart" Target="../charts/chart5.xml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4.xml"/><Relationship Id="rId3" Type="http://schemas.openxmlformats.org/officeDocument/2006/relationships/chart" Target="../charts/chart9.xml"/><Relationship Id="rId7" Type="http://schemas.openxmlformats.org/officeDocument/2006/relationships/chart" Target="../charts/chart13.xml"/><Relationship Id="rId2" Type="http://schemas.openxmlformats.org/officeDocument/2006/relationships/chart" Target="../charts/chart8.xml"/><Relationship Id="rId1" Type="http://schemas.openxmlformats.org/officeDocument/2006/relationships/chart" Target="../charts/chart7.xml"/><Relationship Id="rId6" Type="http://schemas.openxmlformats.org/officeDocument/2006/relationships/chart" Target="../charts/chart12.xml"/><Relationship Id="rId5" Type="http://schemas.openxmlformats.org/officeDocument/2006/relationships/chart" Target="../charts/chart11.xml"/><Relationship Id="rId10" Type="http://schemas.openxmlformats.org/officeDocument/2006/relationships/chart" Target="../charts/chart16.xml"/><Relationship Id="rId4" Type="http://schemas.openxmlformats.org/officeDocument/2006/relationships/chart" Target="../charts/chart10.xml"/><Relationship Id="rId9" Type="http://schemas.openxmlformats.org/officeDocument/2006/relationships/chart" Target="../charts/chart15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7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700088</xdr:colOff>
      <xdr:row>19</xdr:row>
      <xdr:rowOff>119062</xdr:rowOff>
    </xdr:from>
    <xdr:to>
      <xdr:col>10</xdr:col>
      <xdr:colOff>466726</xdr:colOff>
      <xdr:row>29</xdr:row>
      <xdr:rowOff>47625</xdr:rowOff>
    </xdr:to>
    <xdr:graphicFrame macro="">
      <xdr:nvGraphicFramePr>
        <xdr:cNvPr id="9" name="Диаграмма 8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700087</xdr:colOff>
      <xdr:row>19</xdr:row>
      <xdr:rowOff>119062</xdr:rowOff>
    </xdr:from>
    <xdr:to>
      <xdr:col>11</xdr:col>
      <xdr:colOff>700087</xdr:colOff>
      <xdr:row>31</xdr:row>
      <xdr:rowOff>4762</xdr:rowOff>
    </xdr:to>
    <xdr:graphicFrame macro="">
      <xdr:nvGraphicFramePr>
        <xdr:cNvPr id="10" name="Диаграмма 9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5</xdr:col>
      <xdr:colOff>433387</xdr:colOff>
      <xdr:row>55</xdr:row>
      <xdr:rowOff>166687</xdr:rowOff>
    </xdr:from>
    <xdr:to>
      <xdr:col>11</xdr:col>
      <xdr:colOff>433387</xdr:colOff>
      <xdr:row>65</xdr:row>
      <xdr:rowOff>95250</xdr:rowOff>
    </xdr:to>
    <xdr:graphicFrame macro="">
      <xdr:nvGraphicFramePr>
        <xdr:cNvPr id="12" name="Диаграмма 1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5</xdr:col>
      <xdr:colOff>700087</xdr:colOff>
      <xdr:row>53</xdr:row>
      <xdr:rowOff>138112</xdr:rowOff>
    </xdr:from>
    <xdr:to>
      <xdr:col>11</xdr:col>
      <xdr:colOff>700087</xdr:colOff>
      <xdr:row>65</xdr:row>
      <xdr:rowOff>23812</xdr:rowOff>
    </xdr:to>
    <xdr:graphicFrame macro="">
      <xdr:nvGraphicFramePr>
        <xdr:cNvPr id="13" name="Диаграмма 1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157162</xdr:colOff>
      <xdr:row>53</xdr:row>
      <xdr:rowOff>209550</xdr:rowOff>
    </xdr:from>
    <xdr:to>
      <xdr:col>5</xdr:col>
      <xdr:colOff>14287</xdr:colOff>
      <xdr:row>65</xdr:row>
      <xdr:rowOff>95250</xdr:rowOff>
    </xdr:to>
    <xdr:graphicFrame macro="">
      <xdr:nvGraphicFramePr>
        <xdr:cNvPr id="3" name="Диаграмма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414337</xdr:colOff>
      <xdr:row>69</xdr:row>
      <xdr:rowOff>133350</xdr:rowOff>
    </xdr:from>
    <xdr:to>
      <xdr:col>7</xdr:col>
      <xdr:colOff>271462</xdr:colOff>
      <xdr:row>81</xdr:row>
      <xdr:rowOff>19050</xdr:rowOff>
    </xdr:to>
    <xdr:graphicFrame macro="">
      <xdr:nvGraphicFramePr>
        <xdr:cNvPr id="4" name="Диаграмма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590550</xdr:colOff>
      <xdr:row>179</xdr:row>
      <xdr:rowOff>57150</xdr:rowOff>
    </xdr:from>
    <xdr:to>
      <xdr:col>9</xdr:col>
      <xdr:colOff>466725</xdr:colOff>
      <xdr:row>187</xdr:row>
      <xdr:rowOff>28575</xdr:rowOff>
    </xdr:to>
    <xdr:graphicFrame macro="">
      <xdr:nvGraphicFramePr>
        <xdr:cNvPr id="2" name="Диаграмма 1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0</xdr:colOff>
      <xdr:row>161</xdr:row>
      <xdr:rowOff>38100</xdr:rowOff>
    </xdr:from>
    <xdr:to>
      <xdr:col>7</xdr:col>
      <xdr:colOff>161925</xdr:colOff>
      <xdr:row>175</xdr:row>
      <xdr:rowOff>9525</xdr:rowOff>
    </xdr:to>
    <xdr:graphicFrame macro="">
      <xdr:nvGraphicFramePr>
        <xdr:cNvPr id="3" name="Диаграмма 1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12</xdr:col>
      <xdr:colOff>104775</xdr:colOff>
      <xdr:row>27</xdr:row>
      <xdr:rowOff>33337</xdr:rowOff>
    </xdr:from>
    <xdr:to>
      <xdr:col>20</xdr:col>
      <xdr:colOff>276225</xdr:colOff>
      <xdr:row>42</xdr:row>
      <xdr:rowOff>76200</xdr:rowOff>
    </xdr:to>
    <xdr:graphicFrame macro="">
      <xdr:nvGraphicFramePr>
        <xdr:cNvPr id="6" name="Диаграмма 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10</xdr:col>
      <xdr:colOff>133350</xdr:colOff>
      <xdr:row>0</xdr:row>
      <xdr:rowOff>0</xdr:rowOff>
    </xdr:from>
    <xdr:to>
      <xdr:col>18</xdr:col>
      <xdr:colOff>595313</xdr:colOff>
      <xdr:row>12</xdr:row>
      <xdr:rowOff>38100</xdr:rowOff>
    </xdr:to>
    <xdr:graphicFrame macro="">
      <xdr:nvGraphicFramePr>
        <xdr:cNvPr id="7" name="Диаграмма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11</xdr:col>
      <xdr:colOff>0</xdr:colOff>
      <xdr:row>14</xdr:row>
      <xdr:rowOff>1</xdr:rowOff>
    </xdr:from>
    <xdr:to>
      <xdr:col>19</xdr:col>
      <xdr:colOff>409575</xdr:colOff>
      <xdr:row>26</xdr:row>
      <xdr:rowOff>76201</xdr:rowOff>
    </xdr:to>
    <xdr:graphicFrame macro="">
      <xdr:nvGraphicFramePr>
        <xdr:cNvPr id="8" name="Диаграмма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5</xdr:col>
      <xdr:colOff>304801</xdr:colOff>
      <xdr:row>50</xdr:row>
      <xdr:rowOff>28575</xdr:rowOff>
    </xdr:from>
    <xdr:to>
      <xdr:col>13</xdr:col>
      <xdr:colOff>457201</xdr:colOff>
      <xdr:row>59</xdr:row>
      <xdr:rowOff>28575</xdr:rowOff>
    </xdr:to>
    <xdr:graphicFrame macro="">
      <xdr:nvGraphicFramePr>
        <xdr:cNvPr id="9" name="Диаграмма 8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12</xdr:col>
      <xdr:colOff>138112</xdr:colOff>
      <xdr:row>62</xdr:row>
      <xdr:rowOff>166687</xdr:rowOff>
    </xdr:from>
    <xdr:to>
      <xdr:col>20</xdr:col>
      <xdr:colOff>514350</xdr:colOff>
      <xdr:row>74</xdr:row>
      <xdr:rowOff>52387</xdr:rowOff>
    </xdr:to>
    <xdr:graphicFrame macro="">
      <xdr:nvGraphicFramePr>
        <xdr:cNvPr id="11" name="Диаграмма 10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12</xdr:col>
      <xdr:colOff>76200</xdr:colOff>
      <xdr:row>74</xdr:row>
      <xdr:rowOff>228600</xdr:rowOff>
    </xdr:from>
    <xdr:to>
      <xdr:col>20</xdr:col>
      <xdr:colOff>452438</xdr:colOff>
      <xdr:row>86</xdr:row>
      <xdr:rowOff>114300</xdr:rowOff>
    </xdr:to>
    <xdr:graphicFrame macro="">
      <xdr:nvGraphicFramePr>
        <xdr:cNvPr id="12" name="Диаграмма 1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9</xdr:col>
      <xdr:colOff>557211</xdr:colOff>
      <xdr:row>21</xdr:row>
      <xdr:rowOff>9525</xdr:rowOff>
    </xdr:from>
    <xdr:to>
      <xdr:col>18</xdr:col>
      <xdr:colOff>180974</xdr:colOff>
      <xdr:row>33</xdr:row>
      <xdr:rowOff>147637</xdr:rowOff>
    </xdr:to>
    <xdr:graphicFrame macro="">
      <xdr:nvGraphicFramePr>
        <xdr:cNvPr id="13" name="Диаграмма 1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9</xdr:col>
      <xdr:colOff>0</xdr:colOff>
      <xdr:row>111</xdr:row>
      <xdr:rowOff>0</xdr:rowOff>
    </xdr:from>
    <xdr:to>
      <xdr:col>17</xdr:col>
      <xdr:colOff>376238</xdr:colOff>
      <xdr:row>122</xdr:row>
      <xdr:rowOff>123825</xdr:rowOff>
    </xdr:to>
    <xdr:graphicFrame macro="">
      <xdr:nvGraphicFramePr>
        <xdr:cNvPr id="14" name="Диаграмма 1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338136</xdr:colOff>
      <xdr:row>7</xdr:row>
      <xdr:rowOff>128586</xdr:rowOff>
    </xdr:from>
    <xdr:to>
      <xdr:col>8</xdr:col>
      <xdr:colOff>514349</xdr:colOff>
      <xdr:row>21</xdr:row>
      <xdr:rowOff>114299</xdr:rowOff>
    </xdr:to>
    <xdr:graphicFrame macro="">
      <xdr:nvGraphicFramePr>
        <xdr:cNvPr id="4" name="Диаграмма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2021\&#1072;&#1085;&#1072;&#1083;&#1080;&#1079;%20&#1075;&#1086;&#1076;\&#1076;&#1080;&#1072;&#1075;&#1088;&#1072;&#1084;&#1084;&#1099;2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2"/>
      <sheetName val="осн"/>
      <sheetName val="Лист7"/>
      <sheetName val="Лист1"/>
      <sheetName val="компании "/>
      <sheetName val="ассортимент"/>
      <sheetName val="Лист3"/>
      <sheetName val="специи всего"/>
      <sheetName val="Лист4"/>
      <sheetName val="Лист5"/>
      <sheetName val="переработка"/>
      <sheetName val="спец рос"/>
      <sheetName val="Лист6"/>
      <sheetName val="маржа"/>
      <sheetName val="Лист8"/>
      <sheetName val="Лист9"/>
      <sheetName val="Лист10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50">
          <cell r="B150" t="str">
            <v>2012г</v>
          </cell>
          <cell r="C150" t="str">
            <v>2013г</v>
          </cell>
          <cell r="D150" t="str">
            <v>2014г</v>
          </cell>
          <cell r="E150" t="str">
            <v>2015г</v>
          </cell>
          <cell r="F150" t="str">
            <v>2016г</v>
          </cell>
          <cell r="G150" t="str">
            <v>2017г</v>
          </cell>
          <cell r="H150" t="str">
            <v>2018г</v>
          </cell>
          <cell r="I150">
            <v>2019</v>
          </cell>
          <cell r="J150">
            <v>2020</v>
          </cell>
        </row>
        <row r="151">
          <cell r="A151" t="str">
            <v>цена укр.сырья</v>
          </cell>
          <cell r="B151">
            <v>14</v>
          </cell>
          <cell r="C151">
            <v>11</v>
          </cell>
          <cell r="D151">
            <v>15</v>
          </cell>
          <cell r="E151">
            <v>27</v>
          </cell>
          <cell r="F151">
            <v>30</v>
          </cell>
          <cell r="G151">
            <v>36</v>
          </cell>
          <cell r="H151">
            <v>40</v>
          </cell>
          <cell r="I151">
            <v>42</v>
          </cell>
          <cell r="J151">
            <v>44</v>
          </cell>
        </row>
        <row r="152">
          <cell r="A152" t="str">
            <v>цена импортн.сырья</v>
          </cell>
          <cell r="B152">
            <v>23</v>
          </cell>
          <cell r="C152">
            <v>22</v>
          </cell>
          <cell r="D152">
            <v>31</v>
          </cell>
          <cell r="E152">
            <v>58</v>
          </cell>
          <cell r="F152">
            <v>73</v>
          </cell>
          <cell r="G152">
            <v>74</v>
          </cell>
          <cell r="H152">
            <v>61</v>
          </cell>
          <cell r="I152">
            <v>63</v>
          </cell>
          <cell r="J152">
            <v>60</v>
          </cell>
        </row>
        <row r="154">
          <cell r="B154" t="str">
            <v>2012г</v>
          </cell>
          <cell r="C154" t="str">
            <v>2013г</v>
          </cell>
          <cell r="D154" t="str">
            <v>2014г</v>
          </cell>
          <cell r="E154" t="str">
            <v>2015г</v>
          </cell>
          <cell r="F154" t="str">
            <v>2016г</v>
          </cell>
          <cell r="G154" t="str">
            <v>2017г</v>
          </cell>
        </row>
        <row r="155">
          <cell r="A155" t="str">
            <v>Российское</v>
          </cell>
          <cell r="B155">
            <v>133</v>
          </cell>
          <cell r="C155">
            <v>116</v>
          </cell>
          <cell r="D155">
            <v>190</v>
          </cell>
          <cell r="E155">
            <v>170</v>
          </cell>
          <cell r="F155">
            <v>193</v>
          </cell>
          <cell r="G155">
            <v>281</v>
          </cell>
        </row>
        <row r="156">
          <cell r="A156" t="str">
            <v xml:space="preserve">Импортное </v>
          </cell>
          <cell r="B156">
            <v>1168</v>
          </cell>
          <cell r="C156">
            <v>1230</v>
          </cell>
          <cell r="D156">
            <v>940</v>
          </cell>
          <cell r="E156">
            <v>996</v>
          </cell>
          <cell r="F156">
            <v>859</v>
          </cell>
          <cell r="G156">
            <v>842</v>
          </cell>
        </row>
        <row r="157">
          <cell r="A157" t="str">
            <v>Украинское</v>
          </cell>
          <cell r="B157">
            <v>1009</v>
          </cell>
          <cell r="C157">
            <v>661</v>
          </cell>
          <cell r="D157">
            <v>524</v>
          </cell>
          <cell r="E157">
            <v>292</v>
          </cell>
          <cell r="F157">
            <v>314</v>
          </cell>
          <cell r="G157">
            <v>258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2"/>
  <sheetViews>
    <sheetView workbookViewId="0">
      <selection activeCell="F13" sqref="F12:F13"/>
    </sheetView>
  </sheetViews>
  <sheetFormatPr defaultRowHeight="18.75" x14ac:dyDescent="0.3"/>
  <cols>
    <col min="1" max="1" width="8.5546875" style="1" customWidth="1"/>
  </cols>
  <sheetData>
    <row r="1" spans="1:4" x14ac:dyDescent="0.3">
      <c r="B1" t="s">
        <v>3</v>
      </c>
    </row>
    <row r="2" spans="1:4" x14ac:dyDescent="0.3">
      <c r="A2" s="2"/>
      <c r="B2" s="3" t="s">
        <v>0</v>
      </c>
      <c r="C2" s="3" t="s">
        <v>1</v>
      </c>
      <c r="D2" s="3" t="s">
        <v>4</v>
      </c>
    </row>
    <row r="3" spans="1:4" x14ac:dyDescent="0.3">
      <c r="A3" s="2">
        <v>2014</v>
      </c>
      <c r="B3" s="3">
        <v>38834</v>
      </c>
      <c r="C3" s="3">
        <v>30431</v>
      </c>
      <c r="D3" s="3">
        <v>77793</v>
      </c>
    </row>
    <row r="4" spans="1:4" x14ac:dyDescent="0.3">
      <c r="A4" s="2">
        <v>2015</v>
      </c>
      <c r="B4" s="3">
        <v>79057</v>
      </c>
      <c r="C4" s="3">
        <v>45245</v>
      </c>
      <c r="D4" s="3">
        <v>119452</v>
      </c>
    </row>
    <row r="5" spans="1:4" x14ac:dyDescent="0.3">
      <c r="A5" s="2">
        <v>2016</v>
      </c>
      <c r="B5" s="3">
        <v>63594</v>
      </c>
      <c r="C5" s="3">
        <v>41499</v>
      </c>
      <c r="D5" s="3">
        <v>135579</v>
      </c>
    </row>
    <row r="6" spans="1:4" x14ac:dyDescent="0.3">
      <c r="A6" s="2">
        <v>2017</v>
      </c>
      <c r="B6" s="3">
        <v>60267</v>
      </c>
      <c r="C6" s="4">
        <v>65910.899999999994</v>
      </c>
      <c r="D6" s="4">
        <v>147027.9</v>
      </c>
    </row>
    <row r="7" spans="1:4" x14ac:dyDescent="0.3">
      <c r="A7" s="2">
        <v>2018</v>
      </c>
      <c r="B7" s="3">
        <v>72892</v>
      </c>
      <c r="C7" s="4">
        <v>75388</v>
      </c>
      <c r="D7" s="4">
        <v>101203</v>
      </c>
    </row>
    <row r="8" spans="1:4" x14ac:dyDescent="0.3">
      <c r="A8" s="2">
        <v>2019</v>
      </c>
      <c r="B8" s="3">
        <v>77509</v>
      </c>
      <c r="C8" s="4">
        <v>91673</v>
      </c>
      <c r="D8" s="4">
        <v>108847</v>
      </c>
    </row>
    <row r="9" spans="1:4" x14ac:dyDescent="0.3">
      <c r="A9" s="2">
        <v>2020</v>
      </c>
      <c r="B9" s="3">
        <v>98743</v>
      </c>
      <c r="C9" s="4">
        <v>106284</v>
      </c>
      <c r="D9" s="4">
        <v>141870</v>
      </c>
    </row>
    <row r="10" spans="1:4" x14ac:dyDescent="0.3">
      <c r="A10" s="2">
        <v>2021</v>
      </c>
      <c r="B10" s="3">
        <v>119596</v>
      </c>
      <c r="C10" s="4">
        <v>126320</v>
      </c>
      <c r="D10" s="4">
        <v>147427</v>
      </c>
    </row>
    <row r="11" spans="1:4" x14ac:dyDescent="0.3">
      <c r="A11" s="2">
        <v>2022</v>
      </c>
      <c r="B11" s="3">
        <v>102213</v>
      </c>
      <c r="C11" s="4">
        <v>186852</v>
      </c>
      <c r="D11" s="4">
        <v>197768</v>
      </c>
    </row>
    <row r="12" spans="1:4" x14ac:dyDescent="0.3">
      <c r="B12" t="s">
        <v>6</v>
      </c>
    </row>
    <row r="13" spans="1:4" x14ac:dyDescent="0.3">
      <c r="A13" s="2"/>
      <c r="B13" s="3" t="s">
        <v>0</v>
      </c>
      <c r="C13" s="3" t="s">
        <v>1</v>
      </c>
      <c r="D13" s="3" t="s">
        <v>4</v>
      </c>
    </row>
    <row r="14" spans="1:4" x14ac:dyDescent="0.3">
      <c r="A14" s="2">
        <v>2014</v>
      </c>
      <c r="B14" s="3">
        <v>920</v>
      </c>
      <c r="C14" s="3">
        <v>962</v>
      </c>
      <c r="D14" s="3">
        <v>1652</v>
      </c>
    </row>
    <row r="15" spans="1:4" x14ac:dyDescent="0.3">
      <c r="A15" s="2">
        <v>2015</v>
      </c>
      <c r="B15" s="3">
        <v>1032</v>
      </c>
      <c r="C15" s="3">
        <v>810</v>
      </c>
      <c r="D15" s="3">
        <v>1402</v>
      </c>
    </row>
    <row r="16" spans="1:4" x14ac:dyDescent="0.3">
      <c r="A16" s="2">
        <v>2016</v>
      </c>
      <c r="B16" s="3">
        <v>779</v>
      </c>
      <c r="C16" s="3">
        <v>630</v>
      </c>
      <c r="D16" s="3">
        <v>1463</v>
      </c>
    </row>
    <row r="17" spans="1:4" x14ac:dyDescent="0.3">
      <c r="A17" s="2">
        <v>2017</v>
      </c>
      <c r="B17" s="4">
        <v>704.2</v>
      </c>
      <c r="C17" s="4">
        <v>1052.4000000000001</v>
      </c>
      <c r="D17" s="4">
        <v>1457.3</v>
      </c>
    </row>
    <row r="18" spans="1:4" x14ac:dyDescent="0.3">
      <c r="A18" s="2">
        <v>2018</v>
      </c>
      <c r="B18" s="3">
        <v>876</v>
      </c>
      <c r="C18" s="3">
        <v>896</v>
      </c>
      <c r="D18" s="3">
        <v>972</v>
      </c>
    </row>
    <row r="19" spans="1:4" x14ac:dyDescent="0.3">
      <c r="A19" s="2">
        <v>2019</v>
      </c>
      <c r="B19" s="3">
        <v>942</v>
      </c>
      <c r="C19" s="3">
        <v>1323</v>
      </c>
      <c r="D19" s="3">
        <v>1201</v>
      </c>
    </row>
    <row r="20" spans="1:4" x14ac:dyDescent="0.3">
      <c r="A20" s="2">
        <v>2020</v>
      </c>
      <c r="B20" s="3">
        <v>1299</v>
      </c>
      <c r="C20" s="3">
        <v>1481</v>
      </c>
      <c r="D20" s="3">
        <v>1437</v>
      </c>
    </row>
    <row r="21" spans="1:4" x14ac:dyDescent="0.3">
      <c r="A21" s="2">
        <v>2021</v>
      </c>
      <c r="B21" s="3">
        <v>1523</v>
      </c>
      <c r="C21" s="3">
        <v>1399</v>
      </c>
      <c r="D21" s="3">
        <v>1407</v>
      </c>
    </row>
    <row r="22" spans="1:4" x14ac:dyDescent="0.3">
      <c r="A22" s="2">
        <v>2022</v>
      </c>
      <c r="B22" s="3">
        <v>958</v>
      </c>
      <c r="C22" s="3">
        <v>1552</v>
      </c>
      <c r="D22" s="3">
        <v>1430</v>
      </c>
    </row>
    <row r="23" spans="1:4" x14ac:dyDescent="0.3">
      <c r="B23" t="s">
        <v>5</v>
      </c>
    </row>
    <row r="24" spans="1:4" x14ac:dyDescent="0.3">
      <c r="A24" s="2"/>
      <c r="B24" s="3" t="s">
        <v>0</v>
      </c>
      <c r="C24" s="3" t="s">
        <v>1</v>
      </c>
      <c r="D24" s="3" t="s">
        <v>4</v>
      </c>
    </row>
    <row r="25" spans="1:4" x14ac:dyDescent="0.3">
      <c r="A25" s="2">
        <v>2014</v>
      </c>
      <c r="B25" s="4">
        <v>3281.9</v>
      </c>
      <c r="C25" s="4">
        <v>2579.6</v>
      </c>
      <c r="D25" s="4">
        <f>1571.6+4890</f>
        <v>6461.6</v>
      </c>
    </row>
    <row r="26" spans="1:4" x14ac:dyDescent="0.3">
      <c r="A26" s="2">
        <v>2015</v>
      </c>
      <c r="B26" s="4">
        <v>3446.7</v>
      </c>
      <c r="C26" s="4">
        <v>2041.2</v>
      </c>
      <c r="D26" s="4">
        <f>4435.9+986</f>
        <v>5421.9</v>
      </c>
    </row>
    <row r="27" spans="1:4" x14ac:dyDescent="0.3">
      <c r="A27" s="2">
        <v>2016</v>
      </c>
      <c r="B27" s="4">
        <v>2477.4</v>
      </c>
      <c r="C27" s="4">
        <v>1620.7</v>
      </c>
      <c r="D27" s="4">
        <f>4354.9+910.9</f>
        <v>5265.7999999999993</v>
      </c>
    </row>
    <row r="28" spans="1:4" x14ac:dyDescent="0.3">
      <c r="A28" s="2">
        <v>2017</v>
      </c>
      <c r="B28" s="4">
        <v>2239</v>
      </c>
      <c r="C28" s="4">
        <v>2446.3000000000002</v>
      </c>
      <c r="D28" s="4">
        <f>4587.3+934.6</f>
        <v>5521.9000000000005</v>
      </c>
    </row>
    <row r="29" spans="1:4" x14ac:dyDescent="0.3">
      <c r="A29" s="2">
        <v>2018</v>
      </c>
      <c r="B29" s="4">
        <v>2687</v>
      </c>
      <c r="C29" s="4">
        <v>2735</v>
      </c>
      <c r="D29" s="3">
        <f>2829.4+966.6</f>
        <v>3796</v>
      </c>
    </row>
    <row r="30" spans="1:4" x14ac:dyDescent="0.3">
      <c r="A30" s="2">
        <v>2019</v>
      </c>
      <c r="B30" s="3">
        <f>3020</f>
        <v>3020</v>
      </c>
      <c r="C30" s="4">
        <v>3549</v>
      </c>
      <c r="D30" s="4">
        <f>2754.1+1444</f>
        <v>4198.1000000000004</v>
      </c>
    </row>
    <row r="31" spans="1:4" x14ac:dyDescent="0.3">
      <c r="A31" s="2">
        <v>2020</v>
      </c>
      <c r="B31" s="4">
        <v>3654</v>
      </c>
      <c r="C31" s="4">
        <v>3934</v>
      </c>
      <c r="D31" s="4">
        <f>3911+1372.9</f>
        <v>5283.9</v>
      </c>
    </row>
    <row r="32" spans="1:4" x14ac:dyDescent="0.3">
      <c r="A32" s="2">
        <v>2021</v>
      </c>
      <c r="B32" s="4">
        <v>4384</v>
      </c>
      <c r="C32" s="4">
        <v>4646</v>
      </c>
      <c r="D32" s="4">
        <f>3601.2+1792</f>
        <v>5393.2</v>
      </c>
    </row>
    <row r="33" spans="1:15" x14ac:dyDescent="0.3">
      <c r="A33" s="2">
        <v>2022</v>
      </c>
      <c r="B33" s="4">
        <v>3207</v>
      </c>
      <c r="C33" s="4">
        <v>5639</v>
      </c>
      <c r="D33" s="4">
        <f>3116.7+2928.6</f>
        <v>6045.2999999999993</v>
      </c>
      <c r="H33" t="s">
        <v>15</v>
      </c>
    </row>
    <row r="34" spans="1:15" x14ac:dyDescent="0.3">
      <c r="A34" s="7" t="s">
        <v>16</v>
      </c>
      <c r="B34" s="7"/>
      <c r="C34" s="7"/>
      <c r="H34" t="s">
        <v>12</v>
      </c>
      <c r="M34" t="s">
        <v>7</v>
      </c>
    </row>
    <row r="35" spans="1:15" x14ac:dyDescent="0.3">
      <c r="A35" s="2"/>
      <c r="B35" s="3" t="s">
        <v>9</v>
      </c>
      <c r="C35" s="3" t="s">
        <v>8</v>
      </c>
      <c r="F35" s="2"/>
      <c r="G35" s="3" t="s">
        <v>0</v>
      </c>
      <c r="H35" s="3" t="s">
        <v>1</v>
      </c>
      <c r="I35" s="3" t="s">
        <v>10</v>
      </c>
      <c r="J35" s="3" t="s">
        <v>11</v>
      </c>
      <c r="K35" s="3" t="s">
        <v>17</v>
      </c>
      <c r="L35" s="6" t="s">
        <v>0</v>
      </c>
      <c r="M35" s="6" t="s">
        <v>13</v>
      </c>
      <c r="N35" s="3"/>
      <c r="O35" s="3"/>
    </row>
    <row r="36" spans="1:15" x14ac:dyDescent="0.3">
      <c r="A36" s="2">
        <v>2014</v>
      </c>
      <c r="B36" s="8">
        <f>L36/M36</f>
        <v>1.4523303036163218</v>
      </c>
      <c r="C36" s="8">
        <f>K36</f>
        <v>3.1145058448459086</v>
      </c>
      <c r="F36" s="2">
        <v>2014</v>
      </c>
      <c r="G36" s="4">
        <v>3281.9</v>
      </c>
      <c r="H36" s="4">
        <v>2579.6</v>
      </c>
      <c r="I36" s="4">
        <f>G36+H36</f>
        <v>5861.5</v>
      </c>
      <c r="J36" s="4">
        <f>B14+C14</f>
        <v>1882</v>
      </c>
      <c r="K36" s="5">
        <f>I36/J36</f>
        <v>3.1145058448459086</v>
      </c>
      <c r="L36" s="6">
        <v>3755</v>
      </c>
      <c r="M36" s="6">
        <v>2585.5</v>
      </c>
      <c r="N36" s="8">
        <f t="shared" ref="N36:N44" si="0">L36/M36</f>
        <v>1.4523303036163218</v>
      </c>
      <c r="O36" s="8">
        <f t="shared" ref="O36:O44" si="1">M36/N36</f>
        <v>1780.2424101198403</v>
      </c>
    </row>
    <row r="37" spans="1:15" x14ac:dyDescent="0.3">
      <c r="A37" s="2">
        <v>2015</v>
      </c>
      <c r="B37" s="8">
        <f t="shared" ref="B37:B44" si="2">N37</f>
        <v>1.7899841551831759</v>
      </c>
      <c r="C37" s="8">
        <f t="shared" ref="C37:C44" si="3">K37</f>
        <v>2.9793159609120519</v>
      </c>
      <c r="F37" s="2">
        <v>2015</v>
      </c>
      <c r="G37" s="4">
        <v>3446.7</v>
      </c>
      <c r="H37" s="4">
        <v>2041.2</v>
      </c>
      <c r="I37" s="4">
        <f t="shared" ref="I37:I44" si="4">G37+H37</f>
        <v>5487.9</v>
      </c>
      <c r="J37" s="4">
        <f t="shared" ref="J37:J44" si="5">B15+C15</f>
        <v>1842</v>
      </c>
      <c r="K37" s="5">
        <f t="shared" ref="K37:K44" si="6">I37/J37</f>
        <v>2.9793159609120519</v>
      </c>
      <c r="L37" s="6">
        <v>3728</v>
      </c>
      <c r="M37" s="6">
        <v>2082.6999999999998</v>
      </c>
      <c r="N37" s="8">
        <f t="shared" si="0"/>
        <v>1.7899841551831759</v>
      </c>
      <c r="O37" s="8">
        <f t="shared" si="1"/>
        <v>1163.529852467811</v>
      </c>
    </row>
    <row r="38" spans="1:15" x14ac:dyDescent="0.3">
      <c r="A38" s="2">
        <v>2016</v>
      </c>
      <c r="B38" s="8">
        <f t="shared" si="2"/>
        <v>1.5434409340659339</v>
      </c>
      <c r="C38" s="8">
        <f t="shared" si="3"/>
        <v>2.9085166784953871</v>
      </c>
      <c r="F38" s="2">
        <v>2016</v>
      </c>
      <c r="G38" s="4">
        <v>2477.4</v>
      </c>
      <c r="H38" s="4">
        <v>1620.7</v>
      </c>
      <c r="I38" s="4">
        <f t="shared" si="4"/>
        <v>4098.1000000000004</v>
      </c>
      <c r="J38" s="4">
        <f t="shared" si="5"/>
        <v>1409</v>
      </c>
      <c r="K38" s="5">
        <f t="shared" si="6"/>
        <v>2.9085166784953871</v>
      </c>
      <c r="L38" s="6">
        <f>1428.2+1268.5</f>
        <v>2696.7</v>
      </c>
      <c r="M38" s="6">
        <v>1747.2</v>
      </c>
      <c r="N38" s="8">
        <f t="shared" si="0"/>
        <v>1.5434409340659339</v>
      </c>
      <c r="O38" s="8">
        <f t="shared" si="1"/>
        <v>1132.0161085771501</v>
      </c>
    </row>
    <row r="39" spans="1:15" x14ac:dyDescent="0.3">
      <c r="A39" s="2">
        <v>2017</v>
      </c>
      <c r="B39" s="8">
        <f t="shared" si="2"/>
        <v>1.4994707815720572</v>
      </c>
      <c r="C39" s="8">
        <f t="shared" si="3"/>
        <v>2.6672549242855514</v>
      </c>
      <c r="F39" s="2">
        <v>2017</v>
      </c>
      <c r="G39" s="4">
        <v>2239</v>
      </c>
      <c r="H39" s="4">
        <v>2446.3000000000002</v>
      </c>
      <c r="I39" s="4">
        <f t="shared" si="4"/>
        <v>4685.3</v>
      </c>
      <c r="J39" s="4">
        <f t="shared" si="5"/>
        <v>1756.6000000000001</v>
      </c>
      <c r="K39" s="5">
        <f t="shared" si="6"/>
        <v>2.6672549242855514</v>
      </c>
      <c r="L39" s="6">
        <f>2021.9+669.8</f>
        <v>2691.7</v>
      </c>
      <c r="M39" s="6">
        <v>1795.1</v>
      </c>
      <c r="N39" s="8">
        <f t="shared" si="0"/>
        <v>1.4994707815720572</v>
      </c>
      <c r="O39" s="8">
        <f t="shared" si="1"/>
        <v>1197.155704573318</v>
      </c>
    </row>
    <row r="40" spans="1:15" x14ac:dyDescent="0.3">
      <c r="A40" s="2">
        <v>2018</v>
      </c>
      <c r="B40" s="8">
        <f t="shared" si="2"/>
        <v>1.5444537736729171</v>
      </c>
      <c r="C40" s="8">
        <f t="shared" si="3"/>
        <v>3.0598194130925509</v>
      </c>
      <c r="F40" s="2">
        <v>2018</v>
      </c>
      <c r="G40" s="4">
        <v>2687</v>
      </c>
      <c r="H40" s="4">
        <v>2735</v>
      </c>
      <c r="I40" s="4">
        <f t="shared" si="4"/>
        <v>5422</v>
      </c>
      <c r="J40" s="4">
        <f t="shared" si="5"/>
        <v>1772</v>
      </c>
      <c r="K40" s="5">
        <f t="shared" si="6"/>
        <v>3.0598194130925509</v>
      </c>
      <c r="L40" s="6">
        <f>2544.5+766.5</f>
        <v>3311</v>
      </c>
      <c r="M40" s="6">
        <v>2143.8000000000002</v>
      </c>
      <c r="N40" s="8">
        <f t="shared" si="0"/>
        <v>1.5444537736729171</v>
      </c>
      <c r="O40" s="8">
        <f t="shared" si="1"/>
        <v>1388.0635578375116</v>
      </c>
    </row>
    <row r="41" spans="1:15" x14ac:dyDescent="0.3">
      <c r="A41" s="2">
        <v>2019</v>
      </c>
      <c r="B41" s="8">
        <f t="shared" si="2"/>
        <v>1.7199192405172044</v>
      </c>
      <c r="C41" s="8">
        <f t="shared" si="3"/>
        <v>2.9002207505518762</v>
      </c>
      <c r="F41" s="2">
        <v>2019</v>
      </c>
      <c r="G41" s="3">
        <f>3020</f>
        <v>3020</v>
      </c>
      <c r="H41" s="4">
        <v>3549</v>
      </c>
      <c r="I41" s="4">
        <f t="shared" si="4"/>
        <v>6569</v>
      </c>
      <c r="J41" s="4">
        <f t="shared" si="5"/>
        <v>2265</v>
      </c>
      <c r="K41" s="5">
        <f t="shared" si="6"/>
        <v>2.9002207505518762</v>
      </c>
      <c r="L41" s="6">
        <f>2784.4+1219.4</f>
        <v>4003.8</v>
      </c>
      <c r="M41" s="6">
        <v>2327.9</v>
      </c>
      <c r="N41" s="8">
        <f t="shared" si="0"/>
        <v>1.7199192405172044</v>
      </c>
      <c r="O41" s="8">
        <f t="shared" si="1"/>
        <v>1353.4937834057646</v>
      </c>
    </row>
    <row r="42" spans="1:15" x14ac:dyDescent="0.3">
      <c r="A42" s="2">
        <v>2020</v>
      </c>
      <c r="B42" s="8">
        <f t="shared" si="2"/>
        <v>1.7076100648253403</v>
      </c>
      <c r="C42" s="8">
        <f t="shared" si="3"/>
        <v>2.729496402877698</v>
      </c>
      <c r="F42" s="2">
        <v>2020</v>
      </c>
      <c r="G42" s="4">
        <v>3654</v>
      </c>
      <c r="H42" s="4">
        <v>3934</v>
      </c>
      <c r="I42" s="4">
        <f t="shared" si="4"/>
        <v>7588</v>
      </c>
      <c r="J42" s="4">
        <f t="shared" si="5"/>
        <v>2780</v>
      </c>
      <c r="K42" s="5">
        <f t="shared" si="6"/>
        <v>2.729496402877698</v>
      </c>
      <c r="L42" s="6">
        <f>3191.2+2366.9</f>
        <v>5558.1</v>
      </c>
      <c r="M42" s="6">
        <v>3254.9</v>
      </c>
      <c r="N42" s="8">
        <f t="shared" si="0"/>
        <v>1.7076100648253403</v>
      </c>
      <c r="O42" s="8">
        <f t="shared" si="1"/>
        <v>1906.1143214407803</v>
      </c>
    </row>
    <row r="43" spans="1:15" x14ac:dyDescent="0.3">
      <c r="A43" s="2">
        <v>2021</v>
      </c>
      <c r="B43" s="8">
        <f t="shared" si="2"/>
        <v>1.8830546439547846</v>
      </c>
      <c r="C43" s="8">
        <f t="shared" si="3"/>
        <v>3.0903490759753591</v>
      </c>
      <c r="F43" s="2">
        <v>2021</v>
      </c>
      <c r="G43" s="4">
        <v>4384</v>
      </c>
      <c r="H43" s="4">
        <v>4646</v>
      </c>
      <c r="I43" s="4">
        <f t="shared" si="4"/>
        <v>9030</v>
      </c>
      <c r="J43" s="4">
        <f t="shared" si="5"/>
        <v>2922</v>
      </c>
      <c r="K43" s="5">
        <f t="shared" si="6"/>
        <v>3.0903490759753591</v>
      </c>
      <c r="L43" s="6">
        <f>4508.8+2721</f>
        <v>7229.8</v>
      </c>
      <c r="M43" s="6">
        <v>3839.4</v>
      </c>
      <c r="N43" s="8">
        <f t="shared" si="0"/>
        <v>1.8830546439547846</v>
      </c>
      <c r="O43" s="8">
        <f t="shared" si="1"/>
        <v>2038.9211817754294</v>
      </c>
    </row>
    <row r="44" spans="1:15" x14ac:dyDescent="0.3">
      <c r="A44" s="2">
        <v>2022</v>
      </c>
      <c r="B44" s="8">
        <f t="shared" si="2"/>
        <v>2.4156826490734131</v>
      </c>
      <c r="C44" s="8">
        <f t="shared" si="3"/>
        <v>3.5243027888446217</v>
      </c>
      <c r="F44" s="2">
        <v>2022</v>
      </c>
      <c r="G44" s="4">
        <v>3207</v>
      </c>
      <c r="H44" s="4">
        <v>5639</v>
      </c>
      <c r="I44" s="4">
        <f t="shared" si="4"/>
        <v>8846</v>
      </c>
      <c r="J44" s="4">
        <f t="shared" si="5"/>
        <v>2510</v>
      </c>
      <c r="K44" s="5">
        <f t="shared" si="6"/>
        <v>3.5243027888446217</v>
      </c>
      <c r="L44" s="6">
        <f>1574+4174.6</f>
        <v>5748.6</v>
      </c>
      <c r="M44" s="6">
        <v>2379.6999999999998</v>
      </c>
      <c r="N44" s="8">
        <f t="shared" si="0"/>
        <v>2.4156826490734131</v>
      </c>
      <c r="O44" s="8">
        <f t="shared" si="1"/>
        <v>985.1045628500849</v>
      </c>
    </row>
    <row r="46" spans="1:15" x14ac:dyDescent="0.3">
      <c r="A46" s="7" t="s">
        <v>18</v>
      </c>
      <c r="B46" s="7"/>
      <c r="C46" s="7"/>
      <c r="F46" s="2"/>
      <c r="G46" s="3"/>
      <c r="H46" s="3"/>
      <c r="I46" s="3"/>
      <c r="J46" s="6" t="s">
        <v>2</v>
      </c>
      <c r="K46" s="6" t="s">
        <v>14</v>
      </c>
      <c r="L46" s="6"/>
      <c r="M46" s="3"/>
    </row>
    <row r="47" spans="1:15" x14ac:dyDescent="0.3">
      <c r="A47" s="2"/>
      <c r="B47" s="3" t="s">
        <v>9</v>
      </c>
      <c r="C47" s="3" t="s">
        <v>8</v>
      </c>
      <c r="F47" s="2">
        <v>2014</v>
      </c>
      <c r="G47" s="3">
        <v>6462</v>
      </c>
      <c r="H47" s="3">
        <v>1652</v>
      </c>
      <c r="I47" s="8">
        <f>G47/H47</f>
        <v>3.9116222760290555</v>
      </c>
      <c r="J47" s="6">
        <f>235.9+17.9+2851.1</f>
        <v>3104.9</v>
      </c>
      <c r="K47" s="6">
        <v>1129.5</v>
      </c>
      <c r="L47" s="9">
        <f>J47/K47</f>
        <v>2.7489154493138557</v>
      </c>
      <c r="M47" s="3"/>
    </row>
    <row r="48" spans="1:15" x14ac:dyDescent="0.3">
      <c r="A48" s="2">
        <v>2014</v>
      </c>
      <c r="B48" s="8">
        <f>L47</f>
        <v>2.7489154493138557</v>
      </c>
      <c r="C48" s="8">
        <f>I47</f>
        <v>3.9116222760290555</v>
      </c>
      <c r="F48" s="2">
        <v>2015</v>
      </c>
      <c r="G48" s="3">
        <v>5422</v>
      </c>
      <c r="H48" s="3">
        <v>1402</v>
      </c>
      <c r="I48" s="8">
        <f t="shared" ref="I48:I55" si="7">G48/H48</f>
        <v>3.8673323823109844</v>
      </c>
      <c r="J48" s="6">
        <f>275.8+18.4+2829.8</f>
        <v>3124</v>
      </c>
      <c r="K48" s="6">
        <v>1166.3</v>
      </c>
      <c r="L48" s="9">
        <f t="shared" ref="L48:L55" si="8">J48/K48</f>
        <v>2.6785561176369717</v>
      </c>
      <c r="M48" s="3"/>
    </row>
    <row r="49" spans="1:13" x14ac:dyDescent="0.3">
      <c r="A49" s="2">
        <v>2015</v>
      </c>
      <c r="B49" s="8">
        <f t="shared" ref="B49:B56" si="9">L48</f>
        <v>2.6785561176369717</v>
      </c>
      <c r="C49" s="8">
        <f t="shared" ref="C49:C56" si="10">I48</f>
        <v>3.8673323823109844</v>
      </c>
      <c r="F49" s="2">
        <v>2016</v>
      </c>
      <c r="G49" s="3">
        <v>5266</v>
      </c>
      <c r="H49" s="3">
        <v>1463</v>
      </c>
      <c r="I49" s="8">
        <f t="shared" si="7"/>
        <v>3.5994531784005468</v>
      </c>
      <c r="J49" s="6">
        <f>299+17.1+2751.8</f>
        <v>3067.9</v>
      </c>
      <c r="K49" s="6">
        <v>1052</v>
      </c>
      <c r="L49" s="9">
        <f t="shared" si="8"/>
        <v>2.9162547528517111</v>
      </c>
      <c r="M49" s="3"/>
    </row>
    <row r="50" spans="1:13" x14ac:dyDescent="0.3">
      <c r="A50" s="2">
        <v>2016</v>
      </c>
      <c r="B50" s="8">
        <f t="shared" si="9"/>
        <v>2.9162547528517111</v>
      </c>
      <c r="C50" s="8">
        <f t="shared" si="10"/>
        <v>3.5994531784005468</v>
      </c>
      <c r="F50" s="2">
        <v>2017</v>
      </c>
      <c r="G50" s="3">
        <v>5522</v>
      </c>
      <c r="H50" s="4">
        <v>1457.3</v>
      </c>
      <c r="I50" s="8">
        <f t="shared" si="7"/>
        <v>3.7891992040074109</v>
      </c>
      <c r="J50" s="6">
        <f>521.3+41.9+2980.9</f>
        <v>3544.1</v>
      </c>
      <c r="K50" s="6">
        <v>1123</v>
      </c>
      <c r="L50" s="9">
        <f t="shared" si="8"/>
        <v>3.1559216384683881</v>
      </c>
      <c r="M50" s="3"/>
    </row>
    <row r="51" spans="1:13" x14ac:dyDescent="0.3">
      <c r="A51" s="2">
        <v>2017</v>
      </c>
      <c r="B51" s="8">
        <f t="shared" si="9"/>
        <v>3.1559216384683881</v>
      </c>
      <c r="C51" s="8">
        <f t="shared" si="10"/>
        <v>3.7891992040074109</v>
      </c>
      <c r="F51" s="2">
        <v>2018</v>
      </c>
      <c r="G51" s="3">
        <v>3796</v>
      </c>
      <c r="H51" s="3">
        <v>972</v>
      </c>
      <c r="I51" s="8">
        <f t="shared" si="7"/>
        <v>3.905349794238683</v>
      </c>
      <c r="J51" s="6">
        <f>216.9+14+1511.4</f>
        <v>1742.3000000000002</v>
      </c>
      <c r="K51" s="6">
        <v>829.1</v>
      </c>
      <c r="L51" s="9">
        <f t="shared" si="8"/>
        <v>2.1014352912797012</v>
      </c>
      <c r="M51" s="3"/>
    </row>
    <row r="52" spans="1:13" x14ac:dyDescent="0.3">
      <c r="A52" s="2">
        <v>2018</v>
      </c>
      <c r="B52" s="8">
        <f t="shared" si="9"/>
        <v>2.1014352912797012</v>
      </c>
      <c r="C52" s="8">
        <f t="shared" si="10"/>
        <v>3.905349794238683</v>
      </c>
      <c r="F52" s="2">
        <v>2019</v>
      </c>
      <c r="G52" s="3">
        <v>4198</v>
      </c>
      <c r="H52" s="3">
        <v>1201</v>
      </c>
      <c r="I52" s="8">
        <f t="shared" si="7"/>
        <v>3.495420482930891</v>
      </c>
      <c r="J52" s="6">
        <f>224.4+325.7+2581.2</f>
        <v>3131.2999999999997</v>
      </c>
      <c r="K52" s="6">
        <v>1136.7</v>
      </c>
      <c r="L52" s="9">
        <f t="shared" si="8"/>
        <v>2.7547286003343006</v>
      </c>
      <c r="M52" s="3"/>
    </row>
    <row r="53" spans="1:13" x14ac:dyDescent="0.3">
      <c r="A53" s="2">
        <v>2019</v>
      </c>
      <c r="B53" s="8">
        <f t="shared" si="9"/>
        <v>2.7547286003343006</v>
      </c>
      <c r="C53" s="8">
        <f t="shared" si="10"/>
        <v>3.495420482930891</v>
      </c>
      <c r="F53" s="2">
        <v>2020</v>
      </c>
      <c r="G53" s="3">
        <v>5284</v>
      </c>
      <c r="H53" s="3">
        <v>1437</v>
      </c>
      <c r="I53" s="8">
        <f t="shared" si="7"/>
        <v>3.677105080027836</v>
      </c>
      <c r="J53" s="6">
        <f>391.5+21+3210.4</f>
        <v>3622.9</v>
      </c>
      <c r="K53" s="6">
        <v>1775.1</v>
      </c>
      <c r="L53" s="9">
        <f t="shared" si="8"/>
        <v>2.0409554391301898</v>
      </c>
      <c r="M53" s="3"/>
    </row>
    <row r="54" spans="1:13" x14ac:dyDescent="0.3">
      <c r="A54" s="2">
        <v>2020</v>
      </c>
      <c r="B54" s="8">
        <f t="shared" si="9"/>
        <v>2.0409554391301898</v>
      </c>
      <c r="C54" s="8">
        <f t="shared" si="10"/>
        <v>3.677105080027836</v>
      </c>
      <c r="F54" s="2">
        <v>2021</v>
      </c>
      <c r="G54" s="3">
        <v>5393</v>
      </c>
      <c r="H54" s="3">
        <v>1407</v>
      </c>
      <c r="I54" s="8">
        <f t="shared" si="7"/>
        <v>3.8329779673063253</v>
      </c>
      <c r="J54" s="6">
        <f>425.9+50.5+2624</f>
        <v>3100.4</v>
      </c>
      <c r="K54" s="6">
        <v>1340</v>
      </c>
      <c r="L54" s="9">
        <f t="shared" si="8"/>
        <v>2.3137313432835822</v>
      </c>
      <c r="M54" s="3"/>
    </row>
    <row r="55" spans="1:13" x14ac:dyDescent="0.3">
      <c r="A55" s="2">
        <v>2021</v>
      </c>
      <c r="B55" s="8">
        <f t="shared" si="9"/>
        <v>2.3137313432835822</v>
      </c>
      <c r="C55" s="8">
        <f t="shared" si="10"/>
        <v>3.8329779673063253</v>
      </c>
      <c r="F55" s="2">
        <v>2022</v>
      </c>
      <c r="G55" s="3">
        <v>6045</v>
      </c>
      <c r="H55" s="3">
        <v>1430</v>
      </c>
      <c r="I55" s="8">
        <f t="shared" si="7"/>
        <v>4.2272727272727275</v>
      </c>
      <c r="J55" s="6">
        <f>1689.7+822.2+913.2</f>
        <v>3425.1000000000004</v>
      </c>
      <c r="K55" s="6">
        <v>963.4</v>
      </c>
      <c r="L55" s="9">
        <f t="shared" si="8"/>
        <v>3.5552210919659544</v>
      </c>
      <c r="M55" s="3"/>
    </row>
    <row r="56" spans="1:13" x14ac:dyDescent="0.3">
      <c r="A56" s="2">
        <v>2022</v>
      </c>
      <c r="B56" s="8">
        <f t="shared" si="9"/>
        <v>3.5552210919659544</v>
      </c>
      <c r="C56" s="8">
        <f t="shared" si="10"/>
        <v>4.2272727272727275</v>
      </c>
    </row>
    <row r="58" spans="1:13" x14ac:dyDescent="0.3">
      <c r="A58" s="1" t="s">
        <v>19</v>
      </c>
    </row>
    <row r="60" spans="1:13" x14ac:dyDescent="0.3">
      <c r="A60" s="2"/>
      <c r="B60" s="6" t="s">
        <v>22</v>
      </c>
      <c r="C60" s="6" t="s">
        <v>23</v>
      </c>
    </row>
    <row r="61" spans="1:13" x14ac:dyDescent="0.3">
      <c r="A61" s="2">
        <v>2014</v>
      </c>
      <c r="B61" s="6">
        <v>2585.5</v>
      </c>
      <c r="C61" s="6">
        <v>1129.5</v>
      </c>
    </row>
    <row r="62" spans="1:13" x14ac:dyDescent="0.3">
      <c r="A62" s="2">
        <v>2015</v>
      </c>
      <c r="B62" s="6">
        <v>2082.6999999999998</v>
      </c>
      <c r="C62" s="6">
        <v>1166.3</v>
      </c>
    </row>
    <row r="63" spans="1:13" x14ac:dyDescent="0.3">
      <c r="A63" s="2">
        <v>2016</v>
      </c>
      <c r="B63" s="6">
        <v>1747.2</v>
      </c>
      <c r="C63" s="6">
        <v>1052</v>
      </c>
    </row>
    <row r="64" spans="1:13" x14ac:dyDescent="0.3">
      <c r="A64" s="2">
        <v>2017</v>
      </c>
      <c r="B64" s="6">
        <v>1795.1</v>
      </c>
      <c r="C64" s="6">
        <v>1123</v>
      </c>
    </row>
    <row r="65" spans="1:10" x14ac:dyDescent="0.3">
      <c r="A65" s="2">
        <v>2018</v>
      </c>
      <c r="B65" s="6">
        <v>2143.8000000000002</v>
      </c>
      <c r="C65" s="6">
        <v>829.1</v>
      </c>
    </row>
    <row r="66" spans="1:10" x14ac:dyDescent="0.3">
      <c r="A66" s="2">
        <v>2019</v>
      </c>
      <c r="B66" s="6">
        <v>2327.9</v>
      </c>
      <c r="C66" s="6">
        <v>1136.7</v>
      </c>
    </row>
    <row r="67" spans="1:10" x14ac:dyDescent="0.3">
      <c r="A67" s="2">
        <v>2020</v>
      </c>
      <c r="B67" s="6">
        <v>3254.9</v>
      </c>
      <c r="C67" s="6">
        <v>1775.1</v>
      </c>
    </row>
    <row r="68" spans="1:10" x14ac:dyDescent="0.3">
      <c r="A68" s="2">
        <v>2021</v>
      </c>
      <c r="B68" s="6">
        <v>3839.4</v>
      </c>
      <c r="C68" s="6">
        <v>1340</v>
      </c>
    </row>
    <row r="69" spans="1:10" x14ac:dyDescent="0.3">
      <c r="A69" s="2">
        <v>2022</v>
      </c>
      <c r="B69" s="6">
        <v>2379.6999999999998</v>
      </c>
      <c r="C69" s="6">
        <v>963.4</v>
      </c>
      <c r="F69" s="10" t="s">
        <v>24</v>
      </c>
      <c r="G69">
        <f>I69+J69</f>
        <v>424.40000000000003</v>
      </c>
      <c r="I69">
        <v>260.10000000000002</v>
      </c>
      <c r="J69">
        <v>164.3</v>
      </c>
    </row>
    <row r="70" spans="1:10" x14ac:dyDescent="0.3">
      <c r="F70" s="10" t="s">
        <v>25</v>
      </c>
      <c r="G70">
        <f>I70+J70</f>
        <v>43.4</v>
      </c>
      <c r="I70">
        <v>19.7</v>
      </c>
      <c r="J70">
        <v>23.7</v>
      </c>
    </row>
    <row r="71" spans="1:10" x14ac:dyDescent="0.3">
      <c r="A71" s="1" t="s">
        <v>21</v>
      </c>
      <c r="F71" s="10" t="s">
        <v>26</v>
      </c>
      <c r="G71">
        <f>I71+J71</f>
        <v>12.600000000000001</v>
      </c>
      <c r="I71">
        <v>5.4</v>
      </c>
      <c r="J71">
        <v>7.2</v>
      </c>
    </row>
    <row r="72" spans="1:10" x14ac:dyDescent="0.3">
      <c r="F72" s="10" t="s">
        <v>27</v>
      </c>
      <c r="G72">
        <f>I72+J72</f>
        <v>6.6999999999999993</v>
      </c>
      <c r="I72">
        <v>3.9</v>
      </c>
      <c r="J72">
        <v>2.8</v>
      </c>
    </row>
    <row r="73" spans="1:10" x14ac:dyDescent="0.3">
      <c r="A73" s="2"/>
      <c r="B73" s="6" t="s">
        <v>13</v>
      </c>
      <c r="C73" s="6" t="s">
        <v>20</v>
      </c>
    </row>
    <row r="74" spans="1:10" x14ac:dyDescent="0.3">
      <c r="A74" s="2">
        <v>2014</v>
      </c>
      <c r="B74" s="6"/>
      <c r="C74" s="6"/>
    </row>
    <row r="75" spans="1:10" x14ac:dyDescent="0.3">
      <c r="A75" s="2">
        <v>2015</v>
      </c>
      <c r="B75" s="6"/>
      <c r="C75" s="6"/>
    </row>
    <row r="76" spans="1:10" x14ac:dyDescent="0.3">
      <c r="A76" s="2">
        <v>2016</v>
      </c>
      <c r="B76" s="6"/>
      <c r="C76" s="6"/>
    </row>
    <row r="77" spans="1:10" x14ac:dyDescent="0.3">
      <c r="A77" s="2">
        <v>2017</v>
      </c>
      <c r="B77" s="6"/>
      <c r="C77" s="6"/>
    </row>
    <row r="78" spans="1:10" x14ac:dyDescent="0.3">
      <c r="A78" s="2">
        <v>2018</v>
      </c>
      <c r="B78" s="6"/>
      <c r="C78" s="6"/>
    </row>
    <row r="79" spans="1:10" x14ac:dyDescent="0.3">
      <c r="A79" s="2">
        <v>2019</v>
      </c>
      <c r="B79" s="6"/>
      <c r="C79" s="6"/>
    </row>
    <row r="80" spans="1:10" x14ac:dyDescent="0.3">
      <c r="A80" s="2">
        <v>2020</v>
      </c>
      <c r="B80" s="6"/>
      <c r="C80" s="6"/>
    </row>
    <row r="81" spans="1:3" x14ac:dyDescent="0.3">
      <c r="A81" s="2">
        <v>2021</v>
      </c>
      <c r="B81" s="6"/>
      <c r="C81" s="6"/>
    </row>
    <row r="82" spans="1:3" x14ac:dyDescent="0.3">
      <c r="A82" s="2">
        <v>2022</v>
      </c>
      <c r="B82" s="6"/>
      <c r="C82" s="6"/>
    </row>
  </sheetData>
  <pageMargins left="0.7" right="0.7" top="0.75" bottom="0.75" header="0.3" footer="0.3"/>
  <pageSetup paperSize="9" orientation="portrait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P295"/>
  <sheetViews>
    <sheetView topLeftCell="E10" workbookViewId="0">
      <selection activeCell="I50" sqref="I50"/>
    </sheetView>
  </sheetViews>
  <sheetFormatPr defaultColWidth="11" defaultRowHeight="18.75" x14ac:dyDescent="0.3"/>
  <cols>
    <col min="1" max="1" width="11" customWidth="1"/>
    <col min="2" max="2" width="11" style="126" customWidth="1"/>
    <col min="3" max="9" width="11" style="123" customWidth="1"/>
    <col min="10" max="10" width="11" style="144" customWidth="1"/>
    <col min="11" max="11" width="11" style="144"/>
  </cols>
  <sheetData>
    <row r="3" spans="1:16" x14ac:dyDescent="0.3">
      <c r="A3" s="120"/>
      <c r="B3" s="121" t="s">
        <v>302</v>
      </c>
      <c r="C3" s="122"/>
      <c r="E3"/>
      <c r="F3"/>
      <c r="G3" s="120"/>
      <c r="H3" s="121" t="s">
        <v>289</v>
      </c>
      <c r="I3" s="122"/>
      <c r="J3" s="123"/>
      <c r="M3" s="120"/>
      <c r="N3" s="121" t="s">
        <v>293</v>
      </c>
      <c r="O3" s="122"/>
      <c r="P3" s="123"/>
    </row>
    <row r="4" spans="1:16" s="133" customFormat="1" x14ac:dyDescent="0.3">
      <c r="A4" s="131" t="s">
        <v>11</v>
      </c>
      <c r="B4" s="132" t="s">
        <v>290</v>
      </c>
      <c r="C4" s="132">
        <v>691.7</v>
      </c>
      <c r="D4" s="132"/>
      <c r="E4" s="133">
        <v>-20.8</v>
      </c>
      <c r="F4" s="134">
        <f>E4/C4</f>
        <v>-3.0070839959520021E-2</v>
      </c>
      <c r="G4" s="131" t="s">
        <v>11</v>
      </c>
      <c r="H4" s="132" t="s">
        <v>290</v>
      </c>
      <c r="I4" s="132">
        <f>1879.5+15.6</f>
        <v>1895.1</v>
      </c>
      <c r="J4" s="135"/>
      <c r="K4" s="145"/>
      <c r="M4" s="131" t="s">
        <v>11</v>
      </c>
      <c r="N4" s="132" t="s">
        <v>290</v>
      </c>
      <c r="O4" s="132">
        <f>I4+C4</f>
        <v>2586.8000000000002</v>
      </c>
      <c r="P4" s="135"/>
    </row>
    <row r="5" spans="1:16" s="133" customFormat="1" x14ac:dyDescent="0.3">
      <c r="A5" s="131"/>
      <c r="B5" s="132" t="s">
        <v>291</v>
      </c>
      <c r="C5" s="132">
        <f>696.8-1.3</f>
        <v>695.5</v>
      </c>
      <c r="D5" s="132"/>
      <c r="G5" s="131"/>
      <c r="H5" s="132" t="s">
        <v>291</v>
      </c>
      <c r="I5" s="132">
        <f>327.6+37.5</f>
        <v>365.1</v>
      </c>
      <c r="J5" s="135"/>
      <c r="K5" s="145"/>
      <c r="M5" s="131"/>
      <c r="N5" s="132" t="s">
        <v>291</v>
      </c>
      <c r="O5" s="132">
        <f t="shared" ref="O5:O19" si="0">I5+C5</f>
        <v>1060.5999999999999</v>
      </c>
      <c r="P5" s="135"/>
    </row>
    <row r="6" spans="1:16" s="133" customFormat="1" x14ac:dyDescent="0.3">
      <c r="A6" s="131"/>
      <c r="B6" s="132" t="s">
        <v>292</v>
      </c>
      <c r="C6" s="132">
        <v>42.9</v>
      </c>
      <c r="D6" s="132"/>
      <c r="G6" s="131"/>
      <c r="H6" s="132" t="s">
        <v>292</v>
      </c>
      <c r="I6" s="132">
        <f>246.3+3</f>
        <v>249.3</v>
      </c>
      <c r="J6" s="135"/>
      <c r="K6" s="145"/>
      <c r="M6" s="131"/>
      <c r="N6" s="132" t="s">
        <v>292</v>
      </c>
      <c r="O6" s="132">
        <f t="shared" si="0"/>
        <v>292.2</v>
      </c>
      <c r="P6" s="135"/>
    </row>
    <row r="7" spans="1:16" s="133" customFormat="1" x14ac:dyDescent="0.3">
      <c r="A7" s="131"/>
      <c r="B7" s="132" t="s">
        <v>293</v>
      </c>
      <c r="C7" s="132">
        <f>SUM(C4:C6)</f>
        <v>1430.1000000000001</v>
      </c>
      <c r="D7" s="132">
        <v>1430.1</v>
      </c>
      <c r="E7" s="133">
        <f>C7-D7</f>
        <v>0</v>
      </c>
      <c r="G7" s="131"/>
      <c r="H7" s="132" t="s">
        <v>293</v>
      </c>
      <c r="I7" s="132">
        <f>SUM(I4:I6)</f>
        <v>2509.5</v>
      </c>
      <c r="J7" s="145"/>
      <c r="K7" s="132">
        <f>957.9+1551.6</f>
        <v>2509.5</v>
      </c>
      <c r="L7" s="133">
        <f>I7-K7</f>
        <v>0</v>
      </c>
      <c r="M7" s="131"/>
      <c r="N7" s="132" t="s">
        <v>293</v>
      </c>
      <c r="O7" s="132">
        <f t="shared" si="0"/>
        <v>3939.6000000000004</v>
      </c>
    </row>
    <row r="8" spans="1:16" s="133" customFormat="1" x14ac:dyDescent="0.3">
      <c r="A8" s="131" t="s">
        <v>294</v>
      </c>
      <c r="B8" s="132" t="s">
        <v>290</v>
      </c>
      <c r="C8" s="138">
        <f>97394.6+200</f>
        <v>97594.6</v>
      </c>
      <c r="D8" s="137">
        <f>C8/C11</f>
        <v>0.4914450593442673</v>
      </c>
      <c r="E8" s="133">
        <v>-2457.8000000000002</v>
      </c>
      <c r="F8" s="134">
        <f>E8/C8</f>
        <v>-2.5183770413526978E-2</v>
      </c>
      <c r="G8" s="131" t="s">
        <v>294</v>
      </c>
      <c r="H8" s="132" t="s">
        <v>290</v>
      </c>
      <c r="I8" s="132">
        <f>226705.3+6979.6</f>
        <v>233684.9</v>
      </c>
      <c r="J8" s="137">
        <f>I8/I11</f>
        <v>0.80841644612803343</v>
      </c>
      <c r="K8" s="145"/>
      <c r="M8" s="131" t="s">
        <v>294</v>
      </c>
      <c r="N8" s="132" t="s">
        <v>290</v>
      </c>
      <c r="O8" s="132">
        <f t="shared" si="0"/>
        <v>331279.5</v>
      </c>
      <c r="P8" s="137">
        <f>O8/O11</f>
        <v>0.67933587886443614</v>
      </c>
    </row>
    <row r="9" spans="1:16" s="133" customFormat="1" x14ac:dyDescent="0.3">
      <c r="A9" s="131"/>
      <c r="B9" s="132" t="s">
        <v>291</v>
      </c>
      <c r="C9" s="136">
        <f>92715.4+188.8</f>
        <v>92904.2</v>
      </c>
      <c r="D9" s="137">
        <f>C9/C11</f>
        <v>0.4678261920468107</v>
      </c>
      <c r="G9" s="131"/>
      <c r="H9" s="132" t="s">
        <v>291</v>
      </c>
      <c r="I9" s="132">
        <f>32602.2+430</f>
        <v>33032.199999999997</v>
      </c>
      <c r="J9" s="137">
        <f>I9/I11</f>
        <v>0.11427256845346201</v>
      </c>
      <c r="K9" s="145"/>
      <c r="M9" s="131"/>
      <c r="N9" s="132" t="s">
        <v>291</v>
      </c>
      <c r="O9" s="132">
        <f t="shared" si="0"/>
        <v>125936.4</v>
      </c>
      <c r="P9" s="137">
        <f>O9/O11</f>
        <v>0.25825055572416394</v>
      </c>
    </row>
    <row r="10" spans="1:16" s="133" customFormat="1" x14ac:dyDescent="0.3">
      <c r="A10" s="131"/>
      <c r="B10" s="132" t="s">
        <v>292</v>
      </c>
      <c r="C10" s="136">
        <v>8088.2</v>
      </c>
      <c r="D10" s="137">
        <f>C10/C11</f>
        <v>4.0728748608922033E-2</v>
      </c>
      <c r="G10" s="131"/>
      <c r="H10" s="132" t="s">
        <v>292</v>
      </c>
      <c r="I10" s="132">
        <f>22101.5+246.4</f>
        <v>22347.9</v>
      </c>
      <c r="J10" s="137">
        <f>I10/I11</f>
        <v>7.7310985418504494E-2</v>
      </c>
      <c r="K10" s="145"/>
      <c r="M10" s="131"/>
      <c r="N10" s="132" t="s">
        <v>292</v>
      </c>
      <c r="O10" s="132">
        <f t="shared" si="0"/>
        <v>30436.100000000002</v>
      </c>
      <c r="P10" s="137">
        <f>O10/O11</f>
        <v>6.2413565411399939E-2</v>
      </c>
    </row>
    <row r="11" spans="1:16" s="133" customFormat="1" x14ac:dyDescent="0.3">
      <c r="A11" s="131"/>
      <c r="B11" s="132" t="s">
        <v>293</v>
      </c>
      <c r="C11" s="138">
        <f>SUM(C8:C10)</f>
        <v>198587</v>
      </c>
      <c r="D11" s="139">
        <f>SUM(D8:D10)</f>
        <v>1</v>
      </c>
      <c r="E11" s="140">
        <f>198587-C11</f>
        <v>0</v>
      </c>
      <c r="F11" s="140"/>
      <c r="G11" s="131"/>
      <c r="H11" s="132" t="s">
        <v>293</v>
      </c>
      <c r="I11" s="132">
        <f>SUM(I8:I10)</f>
        <v>289065</v>
      </c>
      <c r="J11" s="139">
        <f>SUM(J8:J10)</f>
        <v>0.99999999999999989</v>
      </c>
      <c r="K11" s="146">
        <f>102213+186852</f>
        <v>289065</v>
      </c>
      <c r="L11" s="133">
        <f>I11-K11</f>
        <v>0</v>
      </c>
      <c r="M11" s="131"/>
      <c r="N11" s="132" t="s">
        <v>293</v>
      </c>
      <c r="O11" s="132">
        <f t="shared" si="0"/>
        <v>487652</v>
      </c>
      <c r="P11" s="139">
        <f>SUM(P8:P10)</f>
        <v>1</v>
      </c>
    </row>
    <row r="12" spans="1:16" s="133" customFormat="1" x14ac:dyDescent="0.3">
      <c r="A12" s="131" t="s">
        <v>295</v>
      </c>
      <c r="B12" s="132" t="s">
        <v>290</v>
      </c>
      <c r="C12" s="138">
        <v>66601.3</v>
      </c>
      <c r="D12" s="135"/>
      <c r="E12" s="140">
        <f>E11-C11</f>
        <v>-198587</v>
      </c>
      <c r="G12" s="131" t="s">
        <v>295</v>
      </c>
      <c r="H12" s="132" t="s">
        <v>290</v>
      </c>
      <c r="I12" s="132">
        <v>125071.5</v>
      </c>
      <c r="J12" s="135"/>
      <c r="K12" s="145">
        <f>K11-I11</f>
        <v>0</v>
      </c>
      <c r="M12" s="131" t="s">
        <v>295</v>
      </c>
      <c r="N12" s="132" t="s">
        <v>290</v>
      </c>
      <c r="O12" s="132">
        <f t="shared" si="0"/>
        <v>191672.8</v>
      </c>
      <c r="P12" s="135"/>
    </row>
    <row r="13" spans="1:16" s="133" customFormat="1" x14ac:dyDescent="0.3">
      <c r="A13" s="131"/>
      <c r="B13" s="132" t="s">
        <v>291</v>
      </c>
      <c r="C13" s="132">
        <v>45433.3</v>
      </c>
      <c r="D13" s="135"/>
      <c r="G13" s="131"/>
      <c r="H13" s="132" t="s">
        <v>291</v>
      </c>
      <c r="I13" s="132">
        <f>13718.7+1525</f>
        <v>15243.7</v>
      </c>
      <c r="J13" s="135"/>
      <c r="K13" s="145"/>
      <c r="M13" s="131"/>
      <c r="N13" s="132" t="s">
        <v>291</v>
      </c>
      <c r="O13" s="132">
        <f t="shared" si="0"/>
        <v>60677</v>
      </c>
      <c r="P13" s="135"/>
    </row>
    <row r="14" spans="1:16" s="133" customFormat="1" x14ac:dyDescent="0.3">
      <c r="A14" s="131"/>
      <c r="B14" s="132" t="s">
        <v>292</v>
      </c>
      <c r="C14" s="132">
        <v>4316.7</v>
      </c>
      <c r="D14" s="135"/>
      <c r="G14" s="131"/>
      <c r="H14" s="132" t="s">
        <v>292</v>
      </c>
      <c r="I14" s="132">
        <f>13060+74</f>
        <v>13134</v>
      </c>
      <c r="J14" s="135"/>
      <c r="K14" s="145"/>
      <c r="M14" s="131"/>
      <c r="N14" s="132" t="s">
        <v>292</v>
      </c>
      <c r="O14" s="132">
        <f t="shared" si="0"/>
        <v>17450.7</v>
      </c>
      <c r="P14" s="135"/>
    </row>
    <row r="15" spans="1:16" s="133" customFormat="1" x14ac:dyDescent="0.3">
      <c r="A15" s="131"/>
      <c r="B15" s="132" t="s">
        <v>293</v>
      </c>
      <c r="C15" s="138">
        <f>SUM(C12:C14)</f>
        <v>116351.3</v>
      </c>
      <c r="D15" s="135"/>
      <c r="G15" s="131"/>
      <c r="H15" s="132" t="s">
        <v>293</v>
      </c>
      <c r="I15" s="132">
        <f>SUM(I12:I14)</f>
        <v>153449.20000000001</v>
      </c>
      <c r="J15" s="135"/>
      <c r="K15" s="145"/>
      <c r="M15" s="131"/>
      <c r="N15" s="132" t="s">
        <v>293</v>
      </c>
      <c r="O15" s="132">
        <f t="shared" si="0"/>
        <v>269800.5</v>
      </c>
      <c r="P15" s="135"/>
    </row>
    <row r="16" spans="1:16" s="133" customFormat="1" x14ac:dyDescent="0.3">
      <c r="A16" s="131" t="s">
        <v>296</v>
      </c>
      <c r="B16" s="132" t="s">
        <v>290</v>
      </c>
      <c r="C16" s="132">
        <v>64708.7</v>
      </c>
      <c r="D16" s="135"/>
      <c r="G16" s="131" t="s">
        <v>296</v>
      </c>
      <c r="H16" s="132" t="s">
        <v>290</v>
      </c>
      <c r="I16" s="132">
        <v>117314.5</v>
      </c>
      <c r="J16" s="135"/>
      <c r="K16" s="145"/>
      <c r="M16" s="131" t="s">
        <v>296</v>
      </c>
      <c r="N16" s="132" t="s">
        <v>290</v>
      </c>
      <c r="O16" s="132">
        <f t="shared" si="0"/>
        <v>182023.2</v>
      </c>
      <c r="P16" s="135"/>
    </row>
    <row r="17" spans="1:16" s="133" customFormat="1" x14ac:dyDescent="0.3">
      <c r="A17" s="131"/>
      <c r="B17" s="132" t="s">
        <v>291</v>
      </c>
      <c r="C17" s="132">
        <v>45206.3</v>
      </c>
      <c r="D17" s="135"/>
      <c r="G17" s="131"/>
      <c r="H17" s="132" t="s">
        <v>291</v>
      </c>
      <c r="I17" s="132">
        <f>12113.3+1379.1</f>
        <v>13492.4</v>
      </c>
      <c r="J17" s="135"/>
      <c r="K17" s="145"/>
      <c r="M17" s="131"/>
      <c r="N17" s="132" t="s">
        <v>291</v>
      </c>
      <c r="O17" s="132">
        <f t="shared" si="0"/>
        <v>58698.700000000004</v>
      </c>
      <c r="P17" s="135"/>
    </row>
    <row r="18" spans="1:16" s="133" customFormat="1" x14ac:dyDescent="0.3">
      <c r="A18" s="131"/>
      <c r="B18" s="132" t="s">
        <v>292</v>
      </c>
      <c r="C18" s="132">
        <v>4266.6000000000004</v>
      </c>
      <c r="D18" s="135"/>
      <c r="G18" s="131"/>
      <c r="H18" s="132" t="s">
        <v>292</v>
      </c>
      <c r="I18" s="132">
        <f>12570.8+66.6</f>
        <v>12637.4</v>
      </c>
      <c r="J18" s="135"/>
      <c r="K18" s="145"/>
      <c r="M18" s="131"/>
      <c r="N18" s="132" t="s">
        <v>292</v>
      </c>
      <c r="O18" s="132">
        <f t="shared" si="0"/>
        <v>16904</v>
      </c>
      <c r="P18" s="135"/>
    </row>
    <row r="19" spans="1:16" s="133" customFormat="1" x14ac:dyDescent="0.3">
      <c r="A19" s="131"/>
      <c r="B19" s="132" t="s">
        <v>293</v>
      </c>
      <c r="C19" s="132">
        <f>SUM(C16:C18)</f>
        <v>114181.6</v>
      </c>
      <c r="D19" s="135"/>
      <c r="G19" s="131"/>
      <c r="H19" s="132" t="s">
        <v>293</v>
      </c>
      <c r="I19" s="132">
        <f>SUM(I16:I18)</f>
        <v>143444.29999999999</v>
      </c>
      <c r="J19" s="135"/>
      <c r="K19" s="145"/>
      <c r="M19" s="131"/>
      <c r="N19" s="132" t="s">
        <v>293</v>
      </c>
      <c r="O19" s="132">
        <f t="shared" si="0"/>
        <v>257625.9</v>
      </c>
      <c r="P19" s="135"/>
    </row>
    <row r="20" spans="1:16" s="133" customFormat="1" x14ac:dyDescent="0.3">
      <c r="A20" s="131" t="s">
        <v>297</v>
      </c>
      <c r="B20" s="132" t="s">
        <v>290</v>
      </c>
      <c r="C20" s="141">
        <f>C8/C4</f>
        <v>141.09382680352755</v>
      </c>
      <c r="D20" s="135"/>
      <c r="G20" s="131" t="s">
        <v>297</v>
      </c>
      <c r="H20" s="132" t="s">
        <v>290</v>
      </c>
      <c r="I20" s="141">
        <f>I8/I4</f>
        <v>123.31006279352013</v>
      </c>
      <c r="J20" s="135"/>
      <c r="K20" s="145"/>
      <c r="M20" s="131" t="s">
        <v>297</v>
      </c>
      <c r="N20" s="132" t="s">
        <v>290</v>
      </c>
      <c r="O20" s="141">
        <f>O8/O4</f>
        <v>128.06537034173496</v>
      </c>
      <c r="P20" s="135"/>
    </row>
    <row r="21" spans="1:16" s="133" customFormat="1" x14ac:dyDescent="0.3">
      <c r="A21" s="131" t="s">
        <v>298</v>
      </c>
      <c r="B21" s="132" t="s">
        <v>291</v>
      </c>
      <c r="C21" s="141">
        <f>C9/C5</f>
        <v>133.57900790797987</v>
      </c>
      <c r="D21" s="135"/>
      <c r="G21" s="131" t="s">
        <v>298</v>
      </c>
      <c r="H21" s="132" t="s">
        <v>291</v>
      </c>
      <c r="I21" s="141">
        <f>I9/I5</f>
        <v>90.474390577923842</v>
      </c>
      <c r="J21" s="135"/>
      <c r="K21" s="145"/>
      <c r="M21" s="131" t="s">
        <v>298</v>
      </c>
      <c r="N21" s="132" t="s">
        <v>291</v>
      </c>
      <c r="O21" s="141">
        <f>O9/O5</f>
        <v>118.74071280407317</v>
      </c>
      <c r="P21" s="135"/>
    </row>
    <row r="22" spans="1:16" s="133" customFormat="1" x14ac:dyDescent="0.3">
      <c r="A22" s="131"/>
      <c r="B22" s="132" t="s">
        <v>292</v>
      </c>
      <c r="C22" s="141">
        <f>C10/C6</f>
        <v>188.53613053613054</v>
      </c>
      <c r="D22" s="135"/>
      <c r="G22" s="131"/>
      <c r="H22" s="132" t="s">
        <v>292</v>
      </c>
      <c r="I22" s="141">
        <f>I10/I6</f>
        <v>89.642599277978334</v>
      </c>
      <c r="J22" s="135"/>
      <c r="K22" s="145"/>
      <c r="M22" s="131"/>
      <c r="N22" s="132" t="s">
        <v>292</v>
      </c>
      <c r="O22" s="141">
        <f>O10/O6</f>
        <v>104.1618754277892</v>
      </c>
      <c r="P22" s="135"/>
    </row>
    <row r="23" spans="1:16" s="133" customFormat="1" x14ac:dyDescent="0.3">
      <c r="A23" s="131"/>
      <c r="B23" s="132" t="s">
        <v>293</v>
      </c>
      <c r="C23" s="141">
        <f>C11/C7</f>
        <v>138.8623173204671</v>
      </c>
      <c r="D23" s="135"/>
      <c r="G23" s="131"/>
      <c r="H23" s="132" t="s">
        <v>293</v>
      </c>
      <c r="I23" s="141">
        <f>I11/I7</f>
        <v>115.18828451882845</v>
      </c>
      <c r="J23" s="135"/>
      <c r="K23" s="145"/>
      <c r="M23" s="131"/>
      <c r="N23" s="132" t="s">
        <v>293</v>
      </c>
      <c r="O23" s="141">
        <f>O11/O7</f>
        <v>123.78210985886891</v>
      </c>
      <c r="P23" s="135"/>
    </row>
    <row r="24" spans="1:16" s="133" customFormat="1" x14ac:dyDescent="0.3">
      <c r="A24" s="131" t="s">
        <v>297</v>
      </c>
      <c r="B24" s="132" t="s">
        <v>290</v>
      </c>
      <c r="C24" s="141">
        <f>C16/C4</f>
        <v>93.55023854272082</v>
      </c>
      <c r="D24" s="132">
        <f>C24*C4</f>
        <v>64708.7</v>
      </c>
      <c r="G24" s="131" t="s">
        <v>297</v>
      </c>
      <c r="H24" s="132" t="s">
        <v>290</v>
      </c>
      <c r="I24" s="141">
        <f>I16/I4</f>
        <v>61.904121154556492</v>
      </c>
      <c r="J24" s="135">
        <f>I24*I4</f>
        <v>117314.5</v>
      </c>
      <c r="K24" s="145"/>
      <c r="M24" s="131" t="s">
        <v>297</v>
      </c>
      <c r="N24" s="132" t="s">
        <v>290</v>
      </c>
      <c r="O24" s="141">
        <f>O16/O4</f>
        <v>70.36616669243854</v>
      </c>
      <c r="P24" s="135">
        <f>O24*O4</f>
        <v>182023.20000000004</v>
      </c>
    </row>
    <row r="25" spans="1:16" s="133" customFormat="1" x14ac:dyDescent="0.3">
      <c r="A25" s="131" t="s">
        <v>299</v>
      </c>
      <c r="B25" s="132" t="s">
        <v>291</v>
      </c>
      <c r="C25" s="141">
        <f>C17/C5</f>
        <v>64.998274622573689</v>
      </c>
      <c r="D25" s="132">
        <f>C25*C5</f>
        <v>45206.3</v>
      </c>
      <c r="G25" s="131" t="s">
        <v>299</v>
      </c>
      <c r="H25" s="132" t="s">
        <v>291</v>
      </c>
      <c r="I25" s="141">
        <f>I17/I5</f>
        <v>36.955354697343189</v>
      </c>
      <c r="J25" s="135">
        <f>I25*I5</f>
        <v>13492.4</v>
      </c>
      <c r="K25" s="145"/>
      <c r="M25" s="131" t="s">
        <v>299</v>
      </c>
      <c r="N25" s="132" t="s">
        <v>291</v>
      </c>
      <c r="O25" s="141">
        <f>O17/O5</f>
        <v>55.344804827456166</v>
      </c>
      <c r="P25" s="135">
        <f>O25*O5</f>
        <v>58698.700000000004</v>
      </c>
    </row>
    <row r="26" spans="1:16" s="133" customFormat="1" x14ac:dyDescent="0.3">
      <c r="A26" s="131"/>
      <c r="B26" s="132" t="s">
        <v>292</v>
      </c>
      <c r="C26" s="141">
        <f>C18/C6</f>
        <v>99.454545454545467</v>
      </c>
      <c r="D26" s="132">
        <f>C26*C6</f>
        <v>4266.6000000000004</v>
      </c>
      <c r="G26" s="131"/>
      <c r="H26" s="132" t="s">
        <v>292</v>
      </c>
      <c r="I26" s="141">
        <f>I18/I6</f>
        <v>50.691536301644604</v>
      </c>
      <c r="J26" s="135">
        <f>I26*I6</f>
        <v>12637.4</v>
      </c>
      <c r="K26" s="145"/>
      <c r="M26" s="131"/>
      <c r="N26" s="132" t="s">
        <v>292</v>
      </c>
      <c r="O26" s="141">
        <f>O18/O6</f>
        <v>57.850787132101303</v>
      </c>
      <c r="P26" s="135">
        <f>O26*O6</f>
        <v>16904</v>
      </c>
    </row>
    <row r="27" spans="1:16" s="133" customFormat="1" x14ac:dyDescent="0.3">
      <c r="A27" s="131"/>
      <c r="B27" s="132" t="s">
        <v>293</v>
      </c>
      <c r="C27" s="141">
        <f>C19/C7</f>
        <v>79.841689392350176</v>
      </c>
      <c r="D27" s="132">
        <f>C7</f>
        <v>1430.1000000000001</v>
      </c>
      <c r="G27" s="131"/>
      <c r="H27" s="132" t="s">
        <v>293</v>
      </c>
      <c r="I27" s="141">
        <f>I19/I7</f>
        <v>57.160510061765287</v>
      </c>
      <c r="J27" s="135">
        <f>I7</f>
        <v>2509.5</v>
      </c>
      <c r="K27" s="145"/>
      <c r="M27" s="131"/>
      <c r="N27" s="132" t="s">
        <v>293</v>
      </c>
      <c r="O27" s="141">
        <f>O19/O7</f>
        <v>65.393923240938165</v>
      </c>
      <c r="P27" s="135">
        <f>O7</f>
        <v>3939.6000000000004</v>
      </c>
    </row>
    <row r="28" spans="1:16" s="133" customFormat="1" x14ac:dyDescent="0.3">
      <c r="A28" s="131" t="s">
        <v>300</v>
      </c>
      <c r="B28" s="132" t="s">
        <v>290</v>
      </c>
      <c r="C28" s="136">
        <f>C8-C12</f>
        <v>30993.300000000003</v>
      </c>
      <c r="D28" s="139">
        <f>C28/C31</f>
        <v>0.37688376216168895</v>
      </c>
      <c r="G28" s="131" t="s">
        <v>300</v>
      </c>
      <c r="H28" s="132" t="s">
        <v>290</v>
      </c>
      <c r="I28" s="136">
        <f>I8-I12</f>
        <v>108613.4</v>
      </c>
      <c r="J28" s="142">
        <f>I28/I31</f>
        <v>0.80089045671669523</v>
      </c>
      <c r="K28" s="145"/>
      <c r="M28" s="131" t="s">
        <v>300</v>
      </c>
      <c r="N28" s="132" t="s">
        <v>290</v>
      </c>
      <c r="O28" s="136">
        <f>O8-O12</f>
        <v>139606.70000000001</v>
      </c>
      <c r="P28" s="139">
        <f>O28/O31</f>
        <v>0.64083423800157457</v>
      </c>
    </row>
    <row r="29" spans="1:16" s="133" customFormat="1" x14ac:dyDescent="0.3">
      <c r="A29" s="131"/>
      <c r="B29" s="132" t="s">
        <v>291</v>
      </c>
      <c r="C29" s="136">
        <f>C9-C13</f>
        <v>47470.899999999994</v>
      </c>
      <c r="D29" s="139">
        <f>C29/C31</f>
        <v>0.57725416090578663</v>
      </c>
      <c r="G29" s="131"/>
      <c r="H29" s="132" t="s">
        <v>291</v>
      </c>
      <c r="I29" s="136">
        <f>I9-I13</f>
        <v>17788.499999999996</v>
      </c>
      <c r="J29" s="142">
        <f>I29/I31</f>
        <v>0.13116834469140026</v>
      </c>
      <c r="K29" s="145"/>
      <c r="M29" s="131"/>
      <c r="N29" s="132" t="s">
        <v>291</v>
      </c>
      <c r="O29" s="136">
        <f>O9-O13</f>
        <v>65259.399999999994</v>
      </c>
      <c r="P29" s="139">
        <f>O29/O31</f>
        <v>0.29955910333415192</v>
      </c>
    </row>
    <row r="30" spans="1:16" s="133" customFormat="1" x14ac:dyDescent="0.3">
      <c r="A30" s="131"/>
      <c r="B30" s="132" t="s">
        <v>292</v>
      </c>
      <c r="C30" s="136">
        <f>C10-C14</f>
        <v>3771.5</v>
      </c>
      <c r="D30" s="139">
        <f>C30/C31</f>
        <v>4.5862076932524441E-2</v>
      </c>
      <c r="G30" s="131"/>
      <c r="H30" s="132" t="s">
        <v>292</v>
      </c>
      <c r="I30" s="136">
        <f>I10-I14</f>
        <v>9213.9000000000015</v>
      </c>
      <c r="J30" s="142">
        <f>I30/I31</f>
        <v>6.7941198591904506E-2</v>
      </c>
      <c r="K30" s="145"/>
      <c r="M30" s="131"/>
      <c r="N30" s="132" t="s">
        <v>292</v>
      </c>
      <c r="O30" s="136">
        <f>O10-O14</f>
        <v>12985.400000000001</v>
      </c>
      <c r="P30" s="139">
        <f>O30/O31</f>
        <v>5.9606658664273608E-2</v>
      </c>
    </row>
    <row r="31" spans="1:16" s="133" customFormat="1" x14ac:dyDescent="0.3">
      <c r="A31" s="131"/>
      <c r="B31" s="132" t="s">
        <v>293</v>
      </c>
      <c r="C31" s="136">
        <f>C11-C15</f>
        <v>82235.7</v>
      </c>
      <c r="D31" s="132"/>
      <c r="F31" s="143">
        <v>38804</v>
      </c>
      <c r="G31" s="131"/>
      <c r="H31" s="132" t="s">
        <v>293</v>
      </c>
      <c r="I31" s="136">
        <f>I11-I15</f>
        <v>135615.79999999999</v>
      </c>
      <c r="J31" s="135"/>
      <c r="K31" s="145"/>
      <c r="M31" s="131"/>
      <c r="N31" s="132" t="s">
        <v>293</v>
      </c>
      <c r="O31" s="136">
        <f>O11-O15</f>
        <v>217851.5</v>
      </c>
      <c r="P31" s="135"/>
    </row>
    <row r="32" spans="1:16" s="133" customFormat="1" x14ac:dyDescent="0.3">
      <c r="A32" s="131" t="s">
        <v>301</v>
      </c>
      <c r="B32" s="132" t="s">
        <v>290</v>
      </c>
      <c r="C32" s="137">
        <f>C28/C12</f>
        <v>0.46535578134360744</v>
      </c>
      <c r="D32" s="132"/>
      <c r="G32" s="131" t="s">
        <v>301</v>
      </c>
      <c r="H32" s="132" t="s">
        <v>290</v>
      </c>
      <c r="I32" s="137">
        <f>I28/I12</f>
        <v>0.86841046921161091</v>
      </c>
      <c r="J32" s="135"/>
      <c r="K32" s="145"/>
      <c r="M32" s="131" t="s">
        <v>301</v>
      </c>
      <c r="N32" s="132" t="s">
        <v>290</v>
      </c>
      <c r="O32" s="137">
        <f>O28/O12</f>
        <v>0.72835947510549237</v>
      </c>
      <c r="P32" s="135"/>
    </row>
    <row r="33" spans="1:16" s="133" customFormat="1" x14ac:dyDescent="0.3">
      <c r="A33" s="131"/>
      <c r="B33" s="132" t="s">
        <v>291</v>
      </c>
      <c r="C33" s="137">
        <f>C29/C13</f>
        <v>1.0448481620309331</v>
      </c>
      <c r="D33" s="132"/>
      <c r="G33" s="131"/>
      <c r="H33" s="132" t="s">
        <v>291</v>
      </c>
      <c r="I33" s="137">
        <f>I29/I13</f>
        <v>1.1669410969777676</v>
      </c>
      <c r="J33" s="135"/>
      <c r="K33" s="145"/>
      <c r="M33" s="131"/>
      <c r="N33" s="132" t="s">
        <v>291</v>
      </c>
      <c r="O33" s="137">
        <f>O29/O13</f>
        <v>1.0755212024325527</v>
      </c>
      <c r="P33" s="135"/>
    </row>
    <row r="34" spans="1:16" s="133" customFormat="1" x14ac:dyDescent="0.3">
      <c r="A34" s="131"/>
      <c r="B34" s="132" t="s">
        <v>292</v>
      </c>
      <c r="C34" s="137">
        <f>C30/C14</f>
        <v>0.87369981698983024</v>
      </c>
      <c r="D34" s="132"/>
      <c r="G34" s="131"/>
      <c r="H34" s="132" t="s">
        <v>292</v>
      </c>
      <c r="I34" s="137">
        <f>I30/I14</f>
        <v>0.7015303791685702</v>
      </c>
      <c r="J34" s="135"/>
      <c r="K34" s="145"/>
      <c r="M34" s="131"/>
      <c r="N34" s="132" t="s">
        <v>292</v>
      </c>
      <c r="O34" s="137">
        <f>O30/O14</f>
        <v>0.74411914708292515</v>
      </c>
      <c r="P34" s="135"/>
    </row>
    <row r="35" spans="1:16" s="133" customFormat="1" x14ac:dyDescent="0.3">
      <c r="A35" s="131"/>
      <c r="B35" s="132" t="s">
        <v>293</v>
      </c>
      <c r="C35" s="137">
        <f>C31/C15</f>
        <v>0.70678797744417121</v>
      </c>
      <c r="D35" s="132"/>
      <c r="G35" s="131"/>
      <c r="H35" s="132" t="s">
        <v>293</v>
      </c>
      <c r="I35" s="137">
        <f>I31/I15</f>
        <v>0.88378303699204674</v>
      </c>
      <c r="J35" s="135"/>
      <c r="K35" s="145"/>
      <c r="M35" s="131"/>
      <c r="N35" s="132" t="s">
        <v>293</v>
      </c>
      <c r="O35" s="137">
        <f>O31/O15</f>
        <v>0.80745402621566675</v>
      </c>
      <c r="P35" s="135"/>
    </row>
    <row r="38" spans="1:16" x14ac:dyDescent="0.3">
      <c r="B38" s="127" t="s">
        <v>303</v>
      </c>
      <c r="C38" t="s">
        <v>304</v>
      </c>
      <c r="D38" t="s">
        <v>305</v>
      </c>
      <c r="E38"/>
    </row>
    <row r="39" spans="1:16" x14ac:dyDescent="0.3">
      <c r="A39">
        <v>2014</v>
      </c>
      <c r="B39">
        <v>43140</v>
      </c>
      <c r="C39">
        <v>17749</v>
      </c>
      <c r="D39">
        <v>7222</v>
      </c>
      <c r="E39"/>
    </row>
    <row r="40" spans="1:16" x14ac:dyDescent="0.3">
      <c r="A40">
        <f>A39+1</f>
        <v>2015</v>
      </c>
      <c r="B40">
        <v>83984</v>
      </c>
      <c r="C40">
        <v>23773</v>
      </c>
      <c r="D40">
        <v>5034</v>
      </c>
      <c r="E40"/>
    </row>
    <row r="41" spans="1:16" x14ac:dyDescent="0.3">
      <c r="A41">
        <f t="shared" ref="A41:A46" si="1">A40+1</f>
        <v>2016</v>
      </c>
      <c r="B41">
        <v>80561</v>
      </c>
      <c r="C41">
        <v>20039</v>
      </c>
      <c r="D41">
        <v>4356</v>
      </c>
      <c r="E41"/>
    </row>
    <row r="42" spans="1:16" x14ac:dyDescent="0.3">
      <c r="A42">
        <f t="shared" si="1"/>
        <v>2017</v>
      </c>
      <c r="B42">
        <v>88067</v>
      </c>
      <c r="C42">
        <v>21821</v>
      </c>
      <c r="D42">
        <v>7519</v>
      </c>
      <c r="E42"/>
    </row>
    <row r="43" spans="1:16" x14ac:dyDescent="0.3">
      <c r="A43">
        <f t="shared" si="1"/>
        <v>2018</v>
      </c>
      <c r="B43">
        <v>76184</v>
      </c>
      <c r="C43">
        <v>26058</v>
      </c>
      <c r="D43">
        <v>5174</v>
      </c>
      <c r="E43"/>
    </row>
    <row r="44" spans="1:16" x14ac:dyDescent="0.3">
      <c r="A44">
        <f t="shared" si="1"/>
        <v>2019</v>
      </c>
      <c r="B44">
        <v>80091</v>
      </c>
      <c r="C44">
        <v>25609</v>
      </c>
      <c r="D44">
        <v>4180</v>
      </c>
      <c r="E44"/>
    </row>
    <row r="45" spans="1:16" x14ac:dyDescent="0.3">
      <c r="A45">
        <f t="shared" si="1"/>
        <v>2020</v>
      </c>
      <c r="B45">
        <v>90702</v>
      </c>
      <c r="C45">
        <v>33478</v>
      </c>
      <c r="D45">
        <v>7136</v>
      </c>
      <c r="E45"/>
    </row>
    <row r="46" spans="1:16" x14ac:dyDescent="0.3">
      <c r="A46">
        <f t="shared" si="1"/>
        <v>2021</v>
      </c>
      <c r="B46">
        <v>93373</v>
      </c>
      <c r="C46">
        <v>44261</v>
      </c>
      <c r="D46">
        <v>11293</v>
      </c>
      <c r="E46"/>
    </row>
    <row r="47" spans="1:16" x14ac:dyDescent="0.3">
      <c r="A47">
        <v>2022</v>
      </c>
      <c r="B47">
        <v>108613</v>
      </c>
      <c r="C47">
        <v>17789</v>
      </c>
      <c r="D47">
        <v>9214</v>
      </c>
      <c r="E47"/>
    </row>
    <row r="48" spans="1:16" x14ac:dyDescent="0.3">
      <c r="B48"/>
      <c r="C48"/>
      <c r="D48"/>
      <c r="E48"/>
    </row>
    <row r="49" spans="1:5" x14ac:dyDescent="0.3">
      <c r="B49" s="127" t="s">
        <v>303</v>
      </c>
      <c r="C49" t="s">
        <v>304</v>
      </c>
      <c r="D49" t="s">
        <v>305</v>
      </c>
      <c r="E49"/>
    </row>
    <row r="50" spans="1:5" x14ac:dyDescent="0.3">
      <c r="A50">
        <v>2014</v>
      </c>
      <c r="B50">
        <v>24987</v>
      </c>
      <c r="C50">
        <v>7767</v>
      </c>
      <c r="D50">
        <v>1576</v>
      </c>
      <c r="E50"/>
    </row>
    <row r="51" spans="1:5" x14ac:dyDescent="0.3">
      <c r="A51">
        <f>A50+1</f>
        <v>2015</v>
      </c>
      <c r="B51">
        <v>53209</v>
      </c>
      <c r="C51">
        <v>11766</v>
      </c>
      <c r="D51">
        <v>2175</v>
      </c>
      <c r="E51"/>
    </row>
    <row r="52" spans="1:5" x14ac:dyDescent="0.3">
      <c r="A52">
        <f t="shared" ref="A52:A57" si="2">A51+1</f>
        <v>2016</v>
      </c>
      <c r="B52">
        <v>48309</v>
      </c>
      <c r="C52">
        <v>7889</v>
      </c>
      <c r="D52">
        <v>1708</v>
      </c>
      <c r="E52"/>
    </row>
    <row r="53" spans="1:5" x14ac:dyDescent="0.3">
      <c r="A53">
        <f t="shared" si="2"/>
        <v>2017</v>
      </c>
      <c r="B53">
        <v>50364</v>
      </c>
      <c r="C53">
        <v>13083</v>
      </c>
      <c r="D53">
        <v>2975</v>
      </c>
      <c r="E53"/>
    </row>
    <row r="54" spans="1:5" x14ac:dyDescent="0.3">
      <c r="A54">
        <f t="shared" si="2"/>
        <v>2018</v>
      </c>
      <c r="B54">
        <v>57780</v>
      </c>
      <c r="C54">
        <v>13390</v>
      </c>
      <c r="D54">
        <v>2357</v>
      </c>
      <c r="E54"/>
    </row>
    <row r="55" spans="1:5" x14ac:dyDescent="0.3">
      <c r="A55">
        <f t="shared" si="2"/>
        <v>2019</v>
      </c>
      <c r="B55">
        <v>54007</v>
      </c>
      <c r="C55">
        <v>13905</v>
      </c>
      <c r="D55">
        <v>3164</v>
      </c>
      <c r="E55"/>
    </row>
    <row r="56" spans="1:5" x14ac:dyDescent="0.3">
      <c r="A56">
        <f t="shared" si="2"/>
        <v>2020</v>
      </c>
      <c r="B56">
        <v>59163</v>
      </c>
      <c r="C56">
        <v>22402</v>
      </c>
      <c r="D56">
        <v>3593</v>
      </c>
      <c r="E56"/>
    </row>
    <row r="57" spans="1:5" x14ac:dyDescent="0.3">
      <c r="A57">
        <f t="shared" si="2"/>
        <v>2021</v>
      </c>
      <c r="B57">
        <v>65129</v>
      </c>
      <c r="C57">
        <v>25974</v>
      </c>
      <c r="D57">
        <v>6233</v>
      </c>
      <c r="E57"/>
    </row>
    <row r="58" spans="1:5" x14ac:dyDescent="0.3">
      <c r="B58"/>
      <c r="C58"/>
      <c r="D58"/>
      <c r="E58"/>
    </row>
    <row r="59" spans="1:5" x14ac:dyDescent="0.3">
      <c r="B59" s="127" t="s">
        <v>303</v>
      </c>
      <c r="C59" t="s">
        <v>304</v>
      </c>
      <c r="D59" t="s">
        <v>305</v>
      </c>
      <c r="E59"/>
    </row>
    <row r="60" spans="1:5" x14ac:dyDescent="0.3">
      <c r="A60">
        <v>2014</v>
      </c>
      <c r="B60">
        <v>18153</v>
      </c>
      <c r="C60">
        <v>9362</v>
      </c>
      <c r="D60">
        <v>5136</v>
      </c>
      <c r="E60"/>
    </row>
    <row r="61" spans="1:5" x14ac:dyDescent="0.3">
      <c r="A61">
        <f>A60+1</f>
        <v>2015</v>
      </c>
      <c r="B61">
        <v>30775</v>
      </c>
      <c r="C61">
        <v>12007</v>
      </c>
      <c r="D61">
        <v>2859</v>
      </c>
      <c r="E61"/>
    </row>
    <row r="62" spans="1:5" x14ac:dyDescent="0.3">
      <c r="A62">
        <f t="shared" ref="A62:A67" si="3">A61+1</f>
        <v>2016</v>
      </c>
      <c r="B62">
        <v>32252</v>
      </c>
      <c r="C62">
        <v>12150</v>
      </c>
      <c r="D62">
        <v>2648</v>
      </c>
      <c r="E62"/>
    </row>
    <row r="63" spans="1:5" x14ac:dyDescent="0.3">
      <c r="A63">
        <f t="shared" si="3"/>
        <v>2017</v>
      </c>
      <c r="B63">
        <v>37705</v>
      </c>
      <c r="C63">
        <v>8738</v>
      </c>
      <c r="D63">
        <v>4544</v>
      </c>
      <c r="E63"/>
    </row>
    <row r="64" spans="1:5" x14ac:dyDescent="0.3">
      <c r="A64">
        <f t="shared" si="3"/>
        <v>2018</v>
      </c>
      <c r="B64">
        <v>18404</v>
      </c>
      <c r="C64">
        <v>12669</v>
      </c>
      <c r="D64">
        <v>2817</v>
      </c>
      <c r="E64"/>
    </row>
    <row r="65" spans="1:5" x14ac:dyDescent="0.3">
      <c r="A65">
        <f t="shared" si="3"/>
        <v>2019</v>
      </c>
      <c r="B65">
        <v>26084</v>
      </c>
      <c r="C65">
        <v>11704</v>
      </c>
      <c r="D65">
        <v>1016</v>
      </c>
      <c r="E65"/>
    </row>
    <row r="66" spans="1:5" x14ac:dyDescent="0.3">
      <c r="A66">
        <f t="shared" si="3"/>
        <v>2020</v>
      </c>
      <c r="B66">
        <v>31539</v>
      </c>
      <c r="C66">
        <v>11076</v>
      </c>
      <c r="D66">
        <v>3543</v>
      </c>
      <c r="E66"/>
    </row>
    <row r="67" spans="1:5" x14ac:dyDescent="0.3">
      <c r="A67">
        <f t="shared" si="3"/>
        <v>2021</v>
      </c>
      <c r="B67">
        <v>28245</v>
      </c>
      <c r="C67">
        <v>18288</v>
      </c>
      <c r="D67">
        <v>5060</v>
      </c>
      <c r="E67"/>
    </row>
    <row r="68" spans="1:5" x14ac:dyDescent="0.3">
      <c r="A68">
        <v>2022</v>
      </c>
      <c r="B68">
        <v>30993</v>
      </c>
      <c r="C68">
        <v>47471</v>
      </c>
      <c r="D68">
        <v>3772</v>
      </c>
      <c r="E68"/>
    </row>
    <row r="69" spans="1:5" x14ac:dyDescent="0.3">
      <c r="B69"/>
      <c r="C69"/>
      <c r="D69"/>
      <c r="E69"/>
    </row>
    <row r="70" spans="1:5" x14ac:dyDescent="0.3">
      <c r="B70"/>
      <c r="C70"/>
      <c r="D70"/>
      <c r="E70"/>
    </row>
    <row r="71" spans="1:5" x14ac:dyDescent="0.3">
      <c r="A71" t="s">
        <v>307</v>
      </c>
      <c r="B71" s="84">
        <f>3325140+78177773</f>
        <v>81502913</v>
      </c>
      <c r="C71"/>
      <c r="D71"/>
      <c r="E71"/>
    </row>
    <row r="72" spans="1:5" x14ac:dyDescent="0.3">
      <c r="A72" t="s">
        <v>315</v>
      </c>
      <c r="B72" s="84">
        <f>12856245+792468</f>
        <v>13648713</v>
      </c>
      <c r="C72"/>
      <c r="D72"/>
      <c r="E72"/>
    </row>
    <row r="73" spans="1:5" x14ac:dyDescent="0.3">
      <c r="A73" t="s">
        <v>309</v>
      </c>
      <c r="B73" s="84">
        <f>5191146+91220</f>
        <v>5282366</v>
      </c>
      <c r="C73"/>
      <c r="D73"/>
      <c r="E73"/>
    </row>
    <row r="74" spans="1:5" x14ac:dyDescent="0.3">
      <c r="A74" t="s">
        <v>316</v>
      </c>
      <c r="B74" s="84">
        <f>12148585+2303656</f>
        <v>14452241</v>
      </c>
      <c r="C74"/>
      <c r="D74"/>
      <c r="E74"/>
    </row>
    <row r="75" spans="1:5" x14ac:dyDescent="0.3">
      <c r="A75" t="s">
        <v>306</v>
      </c>
      <c r="B75" s="84">
        <f>78868549+3167604</f>
        <v>82036153</v>
      </c>
      <c r="C75"/>
      <c r="D75"/>
      <c r="E75"/>
    </row>
    <row r="76" spans="1:5" x14ac:dyDescent="0.3">
      <c r="B76" s="84"/>
      <c r="C76"/>
      <c r="D76"/>
      <c r="E76"/>
    </row>
    <row r="77" spans="1:5" x14ac:dyDescent="0.3">
      <c r="B77"/>
      <c r="C77"/>
      <c r="D77"/>
      <c r="E77"/>
    </row>
    <row r="124" spans="1:16" x14ac:dyDescent="0.3">
      <c r="N124" s="127" t="s">
        <v>303</v>
      </c>
      <c r="O124" t="s">
        <v>304</v>
      </c>
      <c r="P124" t="s">
        <v>305</v>
      </c>
    </row>
    <row r="125" spans="1:16" x14ac:dyDescent="0.3">
      <c r="M125">
        <v>2014</v>
      </c>
      <c r="N125">
        <v>43140</v>
      </c>
      <c r="O125">
        <v>17749</v>
      </c>
      <c r="P125">
        <v>7222</v>
      </c>
    </row>
    <row r="126" spans="1:16" x14ac:dyDescent="0.3">
      <c r="A126" t="s">
        <v>306</v>
      </c>
      <c r="C126" s="124"/>
      <c r="D126" s="124"/>
      <c r="H126" s="124"/>
      <c r="M126">
        <f>M125+1</f>
        <v>2015</v>
      </c>
      <c r="N126">
        <v>83984</v>
      </c>
      <c r="O126">
        <v>23773</v>
      </c>
      <c r="P126">
        <v>5034</v>
      </c>
    </row>
    <row r="127" spans="1:16" x14ac:dyDescent="0.3">
      <c r="A127" t="s">
        <v>307</v>
      </c>
      <c r="C127" s="124"/>
      <c r="D127" s="124"/>
      <c r="H127" s="124"/>
      <c r="M127">
        <f t="shared" ref="M127:M132" si="4">M126+1</f>
        <v>2016</v>
      </c>
      <c r="N127">
        <v>80561</v>
      </c>
      <c r="O127">
        <v>20039</v>
      </c>
      <c r="P127">
        <v>4356</v>
      </c>
    </row>
    <row r="128" spans="1:16" x14ac:dyDescent="0.3">
      <c r="A128" t="s">
        <v>308</v>
      </c>
      <c r="C128" s="124"/>
      <c r="D128" s="124"/>
      <c r="H128" s="124"/>
      <c r="M128">
        <f t="shared" si="4"/>
        <v>2017</v>
      </c>
      <c r="N128">
        <v>88067</v>
      </c>
      <c r="O128">
        <v>21821</v>
      </c>
      <c r="P128">
        <v>7519</v>
      </c>
    </row>
    <row r="129" spans="1:16" x14ac:dyDescent="0.3">
      <c r="A129" t="s">
        <v>309</v>
      </c>
      <c r="C129" s="124"/>
      <c r="D129" s="124"/>
      <c r="H129" s="124"/>
      <c r="M129">
        <f t="shared" si="4"/>
        <v>2018</v>
      </c>
      <c r="N129">
        <v>76184</v>
      </c>
      <c r="O129">
        <v>26058</v>
      </c>
      <c r="P129">
        <v>5174</v>
      </c>
    </row>
    <row r="130" spans="1:16" x14ac:dyDescent="0.3">
      <c r="A130" t="s">
        <v>310</v>
      </c>
      <c r="C130" s="124"/>
      <c r="D130" s="124"/>
      <c r="H130" s="124"/>
      <c r="M130">
        <f t="shared" si="4"/>
        <v>2019</v>
      </c>
      <c r="N130">
        <v>80091</v>
      </c>
      <c r="O130">
        <v>25609</v>
      </c>
      <c r="P130">
        <v>4180</v>
      </c>
    </row>
    <row r="131" spans="1:16" x14ac:dyDescent="0.3">
      <c r="A131" t="s">
        <v>311</v>
      </c>
      <c r="C131" s="124"/>
      <c r="D131" s="124"/>
      <c r="H131" s="124"/>
      <c r="M131">
        <f t="shared" si="4"/>
        <v>2020</v>
      </c>
      <c r="N131">
        <v>90702</v>
      </c>
      <c r="O131">
        <v>33478</v>
      </c>
      <c r="P131">
        <v>7136</v>
      </c>
    </row>
    <row r="132" spans="1:16" x14ac:dyDescent="0.3">
      <c r="M132">
        <f t="shared" si="4"/>
        <v>2021</v>
      </c>
      <c r="N132">
        <v>93373</v>
      </c>
      <c r="O132">
        <v>44261</v>
      </c>
      <c r="P132">
        <v>11293</v>
      </c>
    </row>
    <row r="135" spans="1:16" x14ac:dyDescent="0.3">
      <c r="N135" s="127" t="s">
        <v>303</v>
      </c>
      <c r="O135" t="s">
        <v>304</v>
      </c>
      <c r="P135" t="s">
        <v>305</v>
      </c>
    </row>
    <row r="136" spans="1:16" x14ac:dyDescent="0.3">
      <c r="M136">
        <v>2014</v>
      </c>
      <c r="N136">
        <v>24987</v>
      </c>
      <c r="O136">
        <v>7767</v>
      </c>
      <c r="P136">
        <v>1576</v>
      </c>
    </row>
    <row r="137" spans="1:16" x14ac:dyDescent="0.3">
      <c r="A137" t="s">
        <v>312</v>
      </c>
      <c r="M137">
        <f>M136+1</f>
        <v>2015</v>
      </c>
      <c r="N137">
        <v>53209</v>
      </c>
      <c r="O137">
        <v>11766</v>
      </c>
      <c r="P137">
        <v>2175</v>
      </c>
    </row>
    <row r="138" spans="1:16" x14ac:dyDescent="0.3">
      <c r="B138" s="126" t="s">
        <v>313</v>
      </c>
      <c r="M138">
        <f t="shared" ref="M138:M143" si="5">M137+1</f>
        <v>2016</v>
      </c>
      <c r="N138">
        <v>48309</v>
      </c>
      <c r="O138">
        <v>7889</v>
      </c>
      <c r="P138">
        <v>1708</v>
      </c>
    </row>
    <row r="139" spans="1:16" x14ac:dyDescent="0.3">
      <c r="A139">
        <v>2012</v>
      </c>
      <c r="B139" s="126">
        <v>70</v>
      </c>
      <c r="M139">
        <f t="shared" si="5"/>
        <v>2017</v>
      </c>
      <c r="N139">
        <v>50364</v>
      </c>
      <c r="O139">
        <v>13083</v>
      </c>
      <c r="P139">
        <v>2975</v>
      </c>
    </row>
    <row r="140" spans="1:16" x14ac:dyDescent="0.3">
      <c r="A140">
        <v>2013</v>
      </c>
      <c r="B140" s="126">
        <v>55</v>
      </c>
      <c r="M140">
        <f t="shared" si="5"/>
        <v>2018</v>
      </c>
      <c r="N140">
        <v>57780</v>
      </c>
      <c r="O140">
        <v>13390</v>
      </c>
      <c r="P140">
        <v>2357</v>
      </c>
    </row>
    <row r="141" spans="1:16" x14ac:dyDescent="0.3">
      <c r="A141">
        <v>2014</v>
      </c>
      <c r="B141" s="126">
        <v>64</v>
      </c>
      <c r="M141">
        <f t="shared" si="5"/>
        <v>2019</v>
      </c>
      <c r="N141">
        <v>54007</v>
      </c>
      <c r="O141">
        <v>13905</v>
      </c>
      <c r="P141">
        <v>3164</v>
      </c>
    </row>
    <row r="142" spans="1:16" x14ac:dyDescent="0.3">
      <c r="A142">
        <v>2015</v>
      </c>
      <c r="B142" s="126">
        <v>78</v>
      </c>
      <c r="M142">
        <f t="shared" si="5"/>
        <v>2020</v>
      </c>
      <c r="N142">
        <v>59163</v>
      </c>
      <c r="O142">
        <v>22402</v>
      </c>
      <c r="P142">
        <v>3593</v>
      </c>
    </row>
    <row r="143" spans="1:16" x14ac:dyDescent="0.3">
      <c r="A143">
        <v>2016</v>
      </c>
      <c r="B143" s="126">
        <v>119</v>
      </c>
      <c r="M143">
        <f t="shared" si="5"/>
        <v>2021</v>
      </c>
      <c r="N143">
        <v>65129</v>
      </c>
      <c r="O143">
        <v>25974</v>
      </c>
      <c r="P143">
        <v>6233</v>
      </c>
    </row>
    <row r="144" spans="1:16" x14ac:dyDescent="0.3">
      <c r="A144">
        <v>2017</v>
      </c>
      <c r="B144" s="126">
        <v>222</v>
      </c>
    </row>
    <row r="145" spans="1:16" x14ac:dyDescent="0.3">
      <c r="A145">
        <v>2018</v>
      </c>
      <c r="B145" s="126">
        <v>3</v>
      </c>
      <c r="N145" s="127" t="s">
        <v>303</v>
      </c>
      <c r="O145" t="s">
        <v>304</v>
      </c>
      <c r="P145" t="s">
        <v>305</v>
      </c>
    </row>
    <row r="146" spans="1:16" x14ac:dyDescent="0.3">
      <c r="M146">
        <v>2014</v>
      </c>
      <c r="N146">
        <v>18153</v>
      </c>
      <c r="O146">
        <v>9362</v>
      </c>
      <c r="P146">
        <v>5136</v>
      </c>
    </row>
    <row r="147" spans="1:16" x14ac:dyDescent="0.3">
      <c r="M147">
        <f>M146+1</f>
        <v>2015</v>
      </c>
      <c r="N147">
        <v>30775</v>
      </c>
      <c r="O147">
        <v>12007</v>
      </c>
      <c r="P147">
        <v>2859</v>
      </c>
    </row>
    <row r="148" spans="1:16" x14ac:dyDescent="0.3">
      <c r="M148">
        <f t="shared" ref="M148:M153" si="6">M147+1</f>
        <v>2016</v>
      </c>
      <c r="N148">
        <v>32252</v>
      </c>
      <c r="O148">
        <v>12150</v>
      </c>
      <c r="P148">
        <v>2648</v>
      </c>
    </row>
    <row r="149" spans="1:16" x14ac:dyDescent="0.3">
      <c r="M149">
        <f t="shared" si="6"/>
        <v>2017</v>
      </c>
      <c r="N149">
        <v>37705</v>
      </c>
      <c r="O149">
        <v>8738</v>
      </c>
      <c r="P149">
        <v>4544</v>
      </c>
    </row>
    <row r="150" spans="1:16" x14ac:dyDescent="0.3">
      <c r="M150">
        <f t="shared" si="6"/>
        <v>2018</v>
      </c>
      <c r="N150">
        <v>18404</v>
      </c>
      <c r="O150">
        <v>12669</v>
      </c>
      <c r="P150">
        <v>2817</v>
      </c>
    </row>
    <row r="151" spans="1:16" x14ac:dyDescent="0.3">
      <c r="A151" t="s">
        <v>314</v>
      </c>
      <c r="M151">
        <f t="shared" si="6"/>
        <v>2019</v>
      </c>
      <c r="N151">
        <v>26084</v>
      </c>
      <c r="O151">
        <v>11704</v>
      </c>
      <c r="P151">
        <v>1016</v>
      </c>
    </row>
    <row r="152" spans="1:16" x14ac:dyDescent="0.3">
      <c r="B152" s="126" t="s">
        <v>313</v>
      </c>
      <c r="M152">
        <f t="shared" si="6"/>
        <v>2020</v>
      </c>
      <c r="N152">
        <v>31539</v>
      </c>
      <c r="O152">
        <v>11076</v>
      </c>
      <c r="P152">
        <v>3543</v>
      </c>
    </row>
    <row r="153" spans="1:16" x14ac:dyDescent="0.3">
      <c r="A153">
        <v>2012</v>
      </c>
      <c r="B153" s="126">
        <v>235</v>
      </c>
      <c r="M153">
        <f t="shared" si="6"/>
        <v>2021</v>
      </c>
      <c r="N153">
        <v>28245</v>
      </c>
      <c r="O153">
        <v>18288</v>
      </c>
      <c r="P153">
        <v>5060</v>
      </c>
    </row>
    <row r="154" spans="1:16" x14ac:dyDescent="0.3">
      <c r="A154">
        <v>2013</v>
      </c>
      <c r="B154" s="126">
        <v>101</v>
      </c>
    </row>
    <row r="155" spans="1:16" x14ac:dyDescent="0.3">
      <c r="A155">
        <v>2014</v>
      </c>
      <c r="B155" s="126">
        <v>156</v>
      </c>
    </row>
    <row r="156" spans="1:16" x14ac:dyDescent="0.3">
      <c r="A156">
        <v>2015</v>
      </c>
      <c r="B156" s="126">
        <v>149</v>
      </c>
    </row>
    <row r="157" spans="1:16" x14ac:dyDescent="0.3">
      <c r="A157">
        <v>2016</v>
      </c>
      <c r="B157" s="126">
        <v>106</v>
      </c>
      <c r="M157" t="s">
        <v>307</v>
      </c>
      <c r="N157">
        <v>64813644</v>
      </c>
    </row>
    <row r="158" spans="1:16" x14ac:dyDescent="0.3">
      <c r="A158">
        <v>2017</v>
      </c>
      <c r="B158" s="126">
        <v>94</v>
      </c>
      <c r="M158" t="s">
        <v>315</v>
      </c>
      <c r="N158">
        <v>16098130</v>
      </c>
    </row>
    <row r="159" spans="1:16" x14ac:dyDescent="0.3">
      <c r="A159">
        <v>2018</v>
      </c>
      <c r="B159" s="126">
        <v>61</v>
      </c>
      <c r="M159" t="s">
        <v>309</v>
      </c>
      <c r="N159">
        <v>666665</v>
      </c>
    </row>
    <row r="160" spans="1:16" x14ac:dyDescent="0.3">
      <c r="M160" t="s">
        <v>310</v>
      </c>
      <c r="N160">
        <v>10508376</v>
      </c>
    </row>
    <row r="161" spans="1:14" x14ac:dyDescent="0.3">
      <c r="M161" t="s">
        <v>316</v>
      </c>
      <c r="N161">
        <v>2646118</v>
      </c>
    </row>
    <row r="162" spans="1:14" x14ac:dyDescent="0.3">
      <c r="M162" t="s">
        <v>306</v>
      </c>
      <c r="N162">
        <v>145815046</v>
      </c>
    </row>
    <row r="163" spans="1:14" x14ac:dyDescent="0.3">
      <c r="M163" t="s">
        <v>317</v>
      </c>
      <c r="N163">
        <v>4685321</v>
      </c>
    </row>
    <row r="164" spans="1:14" x14ac:dyDescent="0.3">
      <c r="M164" t="s">
        <v>318</v>
      </c>
      <c r="N164">
        <v>681582</v>
      </c>
    </row>
    <row r="166" spans="1:14" x14ac:dyDescent="0.3">
      <c r="A166" t="s">
        <v>319</v>
      </c>
      <c r="I166" s="123" t="s">
        <v>320</v>
      </c>
    </row>
    <row r="167" spans="1:14" x14ac:dyDescent="0.3">
      <c r="A167" s="125"/>
      <c r="B167" s="128" t="s">
        <v>313</v>
      </c>
      <c r="I167" s="129"/>
    </row>
    <row r="168" spans="1:14" x14ac:dyDescent="0.3">
      <c r="A168" s="125">
        <v>2012</v>
      </c>
      <c r="B168" s="128">
        <v>7.3</v>
      </c>
      <c r="I168" s="129">
        <v>2012</v>
      </c>
    </row>
    <row r="169" spans="1:14" x14ac:dyDescent="0.3">
      <c r="A169" s="125">
        <v>2013</v>
      </c>
      <c r="B169" s="128">
        <v>4.3</v>
      </c>
      <c r="I169" s="129">
        <v>2013</v>
      </c>
    </row>
    <row r="170" spans="1:14" x14ac:dyDescent="0.3">
      <c r="A170" s="125">
        <v>2014</v>
      </c>
      <c r="B170" s="128">
        <v>5.3</v>
      </c>
      <c r="I170" s="129">
        <v>2014</v>
      </c>
    </row>
    <row r="171" spans="1:14" x14ac:dyDescent="0.3">
      <c r="A171" s="125">
        <v>2015</v>
      </c>
      <c r="B171" s="128">
        <v>9.1</v>
      </c>
      <c r="I171" s="129">
        <v>2015</v>
      </c>
    </row>
    <row r="172" spans="1:14" x14ac:dyDescent="0.3">
      <c r="A172" s="125">
        <v>2016</v>
      </c>
      <c r="B172" s="128">
        <v>0.7</v>
      </c>
      <c r="I172" s="129">
        <v>2016</v>
      </c>
    </row>
    <row r="173" spans="1:14" x14ac:dyDescent="0.3">
      <c r="A173" s="125">
        <v>2017</v>
      </c>
      <c r="B173" s="128">
        <v>9.9</v>
      </c>
      <c r="I173" s="129">
        <v>2017</v>
      </c>
    </row>
    <row r="174" spans="1:14" x14ac:dyDescent="0.3">
      <c r="A174" s="125">
        <v>2018</v>
      </c>
      <c r="B174" s="128">
        <v>4.5999999999999996</v>
      </c>
      <c r="I174" s="129">
        <v>2018</v>
      </c>
    </row>
    <row r="182" spans="1:14" x14ac:dyDescent="0.3">
      <c r="A182" t="s">
        <v>321</v>
      </c>
      <c r="I182" s="129" t="s">
        <v>322</v>
      </c>
    </row>
    <row r="183" spans="1:14" x14ac:dyDescent="0.3">
      <c r="A183" s="125"/>
      <c r="B183" s="128" t="s">
        <v>313</v>
      </c>
      <c r="I183" s="129"/>
    </row>
    <row r="184" spans="1:14" x14ac:dyDescent="0.3">
      <c r="A184" s="125">
        <v>2012</v>
      </c>
      <c r="B184" s="128">
        <v>13.8</v>
      </c>
      <c r="I184" s="129">
        <v>2012</v>
      </c>
    </row>
    <row r="185" spans="1:14" x14ac:dyDescent="0.3">
      <c r="A185" s="125">
        <v>2013</v>
      </c>
      <c r="B185" s="128">
        <v>36.5</v>
      </c>
      <c r="I185" s="129">
        <v>2013</v>
      </c>
    </row>
    <row r="186" spans="1:14" x14ac:dyDescent="0.3">
      <c r="A186" s="125">
        <v>2014</v>
      </c>
      <c r="B186" s="128">
        <v>15.4</v>
      </c>
      <c r="I186" s="129">
        <v>2014</v>
      </c>
      <c r="M186" t="s">
        <v>307</v>
      </c>
      <c r="N186">
        <f>33190559+6527765</f>
        <v>39718324</v>
      </c>
    </row>
    <row r="187" spans="1:14" x14ac:dyDescent="0.3">
      <c r="A187" s="125">
        <v>2015</v>
      </c>
      <c r="B187" s="128">
        <v>20</v>
      </c>
      <c r="I187" s="129">
        <v>2015</v>
      </c>
      <c r="M187" t="s">
        <v>315</v>
      </c>
      <c r="N187">
        <f>5887255+1264016</f>
        <v>7151271</v>
      </c>
    </row>
    <row r="188" spans="1:14" x14ac:dyDescent="0.3">
      <c r="A188" s="125">
        <v>2016</v>
      </c>
      <c r="B188" s="128">
        <v>37</v>
      </c>
      <c r="I188" s="129">
        <v>2016</v>
      </c>
      <c r="M188" t="s">
        <v>309</v>
      </c>
      <c r="N188">
        <f>177623+8033173</f>
        <v>8210796</v>
      </c>
    </row>
    <row r="189" spans="1:14" x14ac:dyDescent="0.3">
      <c r="A189" s="125">
        <v>2017</v>
      </c>
      <c r="B189" s="128">
        <v>29</v>
      </c>
      <c r="I189" s="129">
        <v>2017</v>
      </c>
      <c r="M189" t="s">
        <v>310</v>
      </c>
      <c r="N189">
        <f>4376383+1995957</f>
        <v>6372340</v>
      </c>
    </row>
    <row r="190" spans="1:14" x14ac:dyDescent="0.3">
      <c r="A190" s="125">
        <v>2018</v>
      </c>
      <c r="B190" s="128">
        <v>17.5</v>
      </c>
      <c r="I190" s="129">
        <v>2018</v>
      </c>
      <c r="M190" t="s">
        <v>316</v>
      </c>
      <c r="N190">
        <f>3294174+10856795</f>
        <v>14150969</v>
      </c>
    </row>
    <row r="191" spans="1:14" x14ac:dyDescent="0.3">
      <c r="M191" t="s">
        <v>306</v>
      </c>
      <c r="N191">
        <f>1895401+71616627</f>
        <v>73512028</v>
      </c>
    </row>
    <row r="194" spans="1:2" x14ac:dyDescent="0.3">
      <c r="A194" t="s">
        <v>323</v>
      </c>
    </row>
    <row r="195" spans="1:2" x14ac:dyDescent="0.3">
      <c r="A195" s="34"/>
      <c r="B195" s="130" t="s">
        <v>313</v>
      </c>
    </row>
    <row r="196" spans="1:2" x14ac:dyDescent="0.3">
      <c r="A196" s="34">
        <v>2012</v>
      </c>
      <c r="B196" s="130">
        <v>49</v>
      </c>
    </row>
    <row r="197" spans="1:2" x14ac:dyDescent="0.3">
      <c r="A197" s="34">
        <v>2013</v>
      </c>
      <c r="B197" s="130">
        <v>33</v>
      </c>
    </row>
    <row r="198" spans="1:2" x14ac:dyDescent="0.3">
      <c r="A198" s="34">
        <v>2014</v>
      </c>
      <c r="B198" s="130">
        <v>58</v>
      </c>
    </row>
    <row r="199" spans="1:2" x14ac:dyDescent="0.3">
      <c r="A199" s="34">
        <v>2015</v>
      </c>
      <c r="B199" s="130">
        <v>26</v>
      </c>
    </row>
    <row r="200" spans="1:2" x14ac:dyDescent="0.3">
      <c r="A200" s="34">
        <v>2016</v>
      </c>
      <c r="B200" s="130">
        <v>40</v>
      </c>
    </row>
    <row r="201" spans="1:2" x14ac:dyDescent="0.3">
      <c r="A201" s="34">
        <v>2017</v>
      </c>
      <c r="B201" s="130">
        <v>31</v>
      </c>
    </row>
    <row r="202" spans="1:2" x14ac:dyDescent="0.3">
      <c r="A202" s="34">
        <v>2018</v>
      </c>
      <c r="B202" s="130">
        <v>14</v>
      </c>
    </row>
    <row r="205" spans="1:2" x14ac:dyDescent="0.3">
      <c r="A205" t="s">
        <v>324</v>
      </c>
    </row>
    <row r="206" spans="1:2" x14ac:dyDescent="0.3">
      <c r="A206" s="34"/>
      <c r="B206" s="130" t="s">
        <v>313</v>
      </c>
    </row>
    <row r="207" spans="1:2" x14ac:dyDescent="0.3">
      <c r="A207" s="34">
        <v>2012</v>
      </c>
      <c r="B207" s="130">
        <v>22.5</v>
      </c>
    </row>
    <row r="208" spans="1:2" x14ac:dyDescent="0.3">
      <c r="A208" s="34">
        <v>2013</v>
      </c>
      <c r="B208" s="130">
        <v>22.7</v>
      </c>
    </row>
    <row r="209" spans="1:9" x14ac:dyDescent="0.3">
      <c r="A209" s="34">
        <v>2014</v>
      </c>
      <c r="B209" s="130">
        <v>11.2</v>
      </c>
    </row>
    <row r="210" spans="1:9" x14ac:dyDescent="0.3">
      <c r="A210" s="34">
        <v>2015</v>
      </c>
      <c r="B210" s="130">
        <v>3</v>
      </c>
    </row>
    <row r="211" spans="1:9" x14ac:dyDescent="0.3">
      <c r="A211" s="34">
        <v>2016</v>
      </c>
      <c r="B211" s="130">
        <v>1.5</v>
      </c>
    </row>
    <row r="212" spans="1:9" x14ac:dyDescent="0.3">
      <c r="A212" s="34">
        <v>2017</v>
      </c>
      <c r="B212" s="130">
        <v>1.2</v>
      </c>
    </row>
    <row r="213" spans="1:9" x14ac:dyDescent="0.3">
      <c r="A213" s="34">
        <v>2018</v>
      </c>
      <c r="B213" s="130">
        <v>0.5</v>
      </c>
    </row>
    <row r="215" spans="1:9" x14ac:dyDescent="0.3">
      <c r="A215" t="s">
        <v>325</v>
      </c>
      <c r="I215" s="123" t="s">
        <v>326</v>
      </c>
    </row>
    <row r="216" spans="1:9" x14ac:dyDescent="0.3">
      <c r="A216" s="125"/>
      <c r="B216" s="128" t="s">
        <v>313</v>
      </c>
      <c r="I216" s="129"/>
    </row>
    <row r="217" spans="1:9" x14ac:dyDescent="0.3">
      <c r="A217" s="125">
        <v>2012</v>
      </c>
      <c r="B217" s="128">
        <v>30.6</v>
      </c>
      <c r="I217" s="129">
        <v>2012</v>
      </c>
    </row>
    <row r="218" spans="1:9" x14ac:dyDescent="0.3">
      <c r="A218" s="125">
        <v>2013</v>
      </c>
      <c r="B218" s="128">
        <v>40</v>
      </c>
      <c r="I218" s="129">
        <v>2013</v>
      </c>
    </row>
    <row r="219" spans="1:9" x14ac:dyDescent="0.3">
      <c r="A219" s="125">
        <v>2014</v>
      </c>
      <c r="B219" s="128">
        <v>12</v>
      </c>
      <c r="I219" s="129">
        <v>2014</v>
      </c>
    </row>
    <row r="220" spans="1:9" x14ac:dyDescent="0.3">
      <c r="A220" s="125">
        <v>2015</v>
      </c>
      <c r="B220" s="128">
        <v>1</v>
      </c>
      <c r="I220" s="129">
        <v>2015</v>
      </c>
    </row>
    <row r="221" spans="1:9" x14ac:dyDescent="0.3">
      <c r="A221" s="125">
        <v>2016</v>
      </c>
      <c r="B221" s="128">
        <v>9</v>
      </c>
      <c r="I221" s="129">
        <v>2016</v>
      </c>
    </row>
    <row r="222" spans="1:9" x14ac:dyDescent="0.3">
      <c r="A222" s="125">
        <v>2017</v>
      </c>
      <c r="B222" s="128">
        <v>18</v>
      </c>
      <c r="I222" s="129">
        <v>2017</v>
      </c>
    </row>
    <row r="223" spans="1:9" x14ac:dyDescent="0.3">
      <c r="A223" s="125">
        <v>2018</v>
      </c>
      <c r="B223" s="128">
        <v>10</v>
      </c>
      <c r="I223" s="129">
        <v>2018</v>
      </c>
    </row>
    <row r="225" spans="1:2" x14ac:dyDescent="0.3">
      <c r="A225" t="s">
        <v>327</v>
      </c>
    </row>
    <row r="226" spans="1:2" x14ac:dyDescent="0.3">
      <c r="A226" s="34"/>
      <c r="B226" s="130" t="s">
        <v>313</v>
      </c>
    </row>
    <row r="227" spans="1:2" x14ac:dyDescent="0.3">
      <c r="A227" s="34">
        <v>2012</v>
      </c>
      <c r="B227" s="130">
        <v>27.2</v>
      </c>
    </row>
    <row r="228" spans="1:2" x14ac:dyDescent="0.3">
      <c r="A228" s="34">
        <v>2013</v>
      </c>
      <c r="B228" s="130">
        <v>23.3</v>
      </c>
    </row>
    <row r="229" spans="1:2" x14ac:dyDescent="0.3">
      <c r="A229" s="34">
        <v>2014</v>
      </c>
      <c r="B229" s="130">
        <v>13.3</v>
      </c>
    </row>
    <row r="230" spans="1:2" x14ac:dyDescent="0.3">
      <c r="A230" s="34">
        <v>2015</v>
      </c>
      <c r="B230" s="130">
        <v>15</v>
      </c>
    </row>
    <row r="231" spans="1:2" x14ac:dyDescent="0.3">
      <c r="A231" s="34">
        <v>2016</v>
      </c>
      <c r="B231" s="130">
        <v>20</v>
      </c>
    </row>
    <row r="232" spans="1:2" x14ac:dyDescent="0.3">
      <c r="A232" s="34">
        <v>2017</v>
      </c>
      <c r="B232" s="130">
        <v>12</v>
      </c>
    </row>
    <row r="233" spans="1:2" x14ac:dyDescent="0.3">
      <c r="A233" s="34">
        <v>2018</v>
      </c>
      <c r="B233" s="130">
        <v>0</v>
      </c>
    </row>
    <row r="234" spans="1:2" x14ac:dyDescent="0.3">
      <c r="A234" s="125" t="s">
        <v>328</v>
      </c>
      <c r="B234" s="128"/>
    </row>
    <row r="235" spans="1:2" x14ac:dyDescent="0.3">
      <c r="A235" s="125"/>
      <c r="B235" s="128" t="s">
        <v>313</v>
      </c>
    </row>
    <row r="236" spans="1:2" x14ac:dyDescent="0.3">
      <c r="A236" s="125">
        <v>2012</v>
      </c>
      <c r="B236" s="128">
        <v>33</v>
      </c>
    </row>
    <row r="237" spans="1:2" x14ac:dyDescent="0.3">
      <c r="A237" s="125">
        <v>2013</v>
      </c>
      <c r="B237" s="128">
        <v>9</v>
      </c>
    </row>
    <row r="238" spans="1:2" x14ac:dyDescent="0.3">
      <c r="A238" s="125">
        <v>2014</v>
      </c>
      <c r="B238" s="128">
        <v>30</v>
      </c>
    </row>
    <row r="239" spans="1:2" x14ac:dyDescent="0.3">
      <c r="A239" s="125">
        <v>2015</v>
      </c>
      <c r="B239" s="128">
        <v>5</v>
      </c>
    </row>
    <row r="240" spans="1:2" x14ac:dyDescent="0.3">
      <c r="A240" s="125">
        <v>2016</v>
      </c>
      <c r="B240" s="128">
        <v>32</v>
      </c>
    </row>
    <row r="241" spans="1:8" x14ac:dyDescent="0.3">
      <c r="A241" s="125">
        <v>2017</v>
      </c>
      <c r="B241" s="128">
        <v>25</v>
      </c>
    </row>
    <row r="242" spans="1:8" x14ac:dyDescent="0.3">
      <c r="A242" s="125">
        <v>2018</v>
      </c>
      <c r="B242" s="128">
        <v>4</v>
      </c>
    </row>
    <row r="244" spans="1:8" x14ac:dyDescent="0.3">
      <c r="A244" t="s">
        <v>329</v>
      </c>
    </row>
    <row r="245" spans="1:8" x14ac:dyDescent="0.3">
      <c r="A245" s="34"/>
      <c r="B245" s="130" t="s">
        <v>313</v>
      </c>
    </row>
    <row r="246" spans="1:8" x14ac:dyDescent="0.3">
      <c r="A246" s="34">
        <v>2012</v>
      </c>
      <c r="B246" s="130">
        <v>15</v>
      </c>
    </row>
    <row r="247" spans="1:8" x14ac:dyDescent="0.3">
      <c r="A247" s="34">
        <v>2013</v>
      </c>
      <c r="B247" s="130">
        <v>23</v>
      </c>
    </row>
    <row r="248" spans="1:8" x14ac:dyDescent="0.3">
      <c r="A248" s="34">
        <v>2014</v>
      </c>
      <c r="B248" s="130">
        <v>23</v>
      </c>
    </row>
    <row r="249" spans="1:8" x14ac:dyDescent="0.3">
      <c r="A249" s="34">
        <v>2015</v>
      </c>
      <c r="B249" s="130">
        <v>19</v>
      </c>
    </row>
    <row r="250" spans="1:8" x14ac:dyDescent="0.3">
      <c r="A250" s="34">
        <v>2016</v>
      </c>
      <c r="B250" s="130">
        <v>7</v>
      </c>
    </row>
    <row r="251" spans="1:8" x14ac:dyDescent="0.3">
      <c r="A251" s="34">
        <v>2017</v>
      </c>
      <c r="B251" s="130">
        <v>7</v>
      </c>
    </row>
    <row r="252" spans="1:8" x14ac:dyDescent="0.3">
      <c r="A252" s="34">
        <v>2018</v>
      </c>
      <c r="B252" s="130">
        <v>3</v>
      </c>
    </row>
    <row r="255" spans="1:8" x14ac:dyDescent="0.3">
      <c r="A255" t="s">
        <v>330</v>
      </c>
    </row>
    <row r="256" spans="1:8" x14ac:dyDescent="0.3">
      <c r="A256" s="96"/>
      <c r="B256" s="96">
        <v>2015</v>
      </c>
      <c r="C256" s="96">
        <f t="shared" ref="C256:H256" si="7">B256+1</f>
        <v>2016</v>
      </c>
      <c r="D256" s="96">
        <f t="shared" si="7"/>
        <v>2017</v>
      </c>
      <c r="E256" s="96">
        <f t="shared" si="7"/>
        <v>2018</v>
      </c>
      <c r="F256" s="96">
        <f t="shared" si="7"/>
        <v>2019</v>
      </c>
      <c r="G256" s="96">
        <f t="shared" si="7"/>
        <v>2020</v>
      </c>
      <c r="H256" s="96">
        <f t="shared" si="7"/>
        <v>2021</v>
      </c>
    </row>
    <row r="257" spans="1:8" x14ac:dyDescent="0.3">
      <c r="A257" s="96" t="s">
        <v>331</v>
      </c>
      <c r="B257" s="96">
        <v>43140</v>
      </c>
      <c r="C257" s="96">
        <v>83984</v>
      </c>
      <c r="D257" s="96">
        <v>80561</v>
      </c>
      <c r="E257" s="96">
        <v>88067</v>
      </c>
      <c r="F257" s="96">
        <v>76184</v>
      </c>
      <c r="G257" s="96">
        <v>80091</v>
      </c>
      <c r="H257" s="96">
        <v>90702</v>
      </c>
    </row>
    <row r="258" spans="1:8" x14ac:dyDescent="0.3">
      <c r="A258" s="96" t="s">
        <v>332</v>
      </c>
      <c r="B258" s="96">
        <v>17749</v>
      </c>
      <c r="C258" s="96">
        <v>23773</v>
      </c>
      <c r="D258" s="96">
        <v>20039</v>
      </c>
      <c r="E258" s="96">
        <v>21821</v>
      </c>
      <c r="F258" s="96">
        <v>26058</v>
      </c>
      <c r="G258" s="96">
        <v>25609</v>
      </c>
      <c r="H258" s="96">
        <v>33478</v>
      </c>
    </row>
    <row r="259" spans="1:8" x14ac:dyDescent="0.3">
      <c r="A259" s="96" t="s">
        <v>305</v>
      </c>
      <c r="B259" s="96">
        <v>7222</v>
      </c>
      <c r="C259" s="96">
        <v>5034</v>
      </c>
      <c r="D259" s="96">
        <v>4356</v>
      </c>
      <c r="E259" s="96">
        <v>7519</v>
      </c>
      <c r="F259" s="96">
        <v>5174</v>
      </c>
      <c r="G259" s="96">
        <v>4180</v>
      </c>
      <c r="H259" s="96">
        <v>7136</v>
      </c>
    </row>
    <row r="271" spans="1:8" x14ac:dyDescent="0.3">
      <c r="B271" s="126" t="s">
        <v>289</v>
      </c>
    </row>
    <row r="272" spans="1:8" x14ac:dyDescent="0.3">
      <c r="A272" t="s">
        <v>333</v>
      </c>
      <c r="B272" s="126">
        <v>124315</v>
      </c>
    </row>
    <row r="273" spans="1:2" x14ac:dyDescent="0.3">
      <c r="A273" t="s">
        <v>334</v>
      </c>
      <c r="B273" s="126">
        <v>49227</v>
      </c>
    </row>
    <row r="274" spans="1:2" x14ac:dyDescent="0.3">
      <c r="A274" t="s">
        <v>315</v>
      </c>
      <c r="B274" s="126">
        <v>24940</v>
      </c>
    </row>
    <row r="275" spans="1:2" x14ac:dyDescent="0.3">
      <c r="A275" t="s">
        <v>310</v>
      </c>
      <c r="B275" s="126">
        <v>2580</v>
      </c>
    </row>
    <row r="276" spans="1:2" x14ac:dyDescent="0.3">
      <c r="A276" t="s">
        <v>335</v>
      </c>
      <c r="B276" s="126">
        <v>1225</v>
      </c>
    </row>
    <row r="277" spans="1:2" x14ac:dyDescent="0.3">
      <c r="A277" t="s">
        <v>336</v>
      </c>
      <c r="B277" s="126">
        <v>2762</v>
      </c>
    </row>
    <row r="281" spans="1:2" x14ac:dyDescent="0.3">
      <c r="B281" s="126" t="s">
        <v>302</v>
      </c>
    </row>
    <row r="282" spans="1:2" x14ac:dyDescent="0.3">
      <c r="A282" t="s">
        <v>306</v>
      </c>
      <c r="B282" s="126">
        <v>92765</v>
      </c>
    </row>
    <row r="283" spans="1:2" x14ac:dyDescent="0.3">
      <c r="A283" t="s">
        <v>334</v>
      </c>
      <c r="B283" s="126">
        <v>28982</v>
      </c>
    </row>
    <row r="284" spans="1:2" x14ac:dyDescent="0.3">
      <c r="A284" t="s">
        <v>315</v>
      </c>
      <c r="B284" s="126">
        <v>8340</v>
      </c>
    </row>
    <row r="285" spans="1:2" x14ac:dyDescent="0.3">
      <c r="A285" t="s">
        <v>310</v>
      </c>
      <c r="B285" s="126">
        <v>3886</v>
      </c>
    </row>
    <row r="286" spans="1:2" x14ac:dyDescent="0.3">
      <c r="A286" t="s">
        <v>337</v>
      </c>
      <c r="B286" s="126">
        <v>5615</v>
      </c>
    </row>
    <row r="287" spans="1:2" x14ac:dyDescent="0.3">
      <c r="A287" t="s">
        <v>336</v>
      </c>
      <c r="B287" s="126">
        <v>2069</v>
      </c>
    </row>
    <row r="290" spans="1:2" x14ac:dyDescent="0.3">
      <c r="A290" t="s">
        <v>306</v>
      </c>
      <c r="B290" s="126">
        <f t="shared" ref="B290:B295" si="8">B272+B282</f>
        <v>217080</v>
      </c>
    </row>
    <row r="291" spans="1:2" x14ac:dyDescent="0.3">
      <c r="A291" t="s">
        <v>334</v>
      </c>
      <c r="B291" s="126">
        <f t="shared" si="8"/>
        <v>78209</v>
      </c>
    </row>
    <row r="292" spans="1:2" x14ac:dyDescent="0.3">
      <c r="A292" t="s">
        <v>315</v>
      </c>
      <c r="B292" s="126">
        <f t="shared" si="8"/>
        <v>33280</v>
      </c>
    </row>
    <row r="293" spans="1:2" x14ac:dyDescent="0.3">
      <c r="A293" t="s">
        <v>310</v>
      </c>
      <c r="B293" s="126">
        <f t="shared" si="8"/>
        <v>6466</v>
      </c>
    </row>
    <row r="294" spans="1:2" x14ac:dyDescent="0.3">
      <c r="A294" t="s">
        <v>337</v>
      </c>
      <c r="B294" s="126">
        <f t="shared" si="8"/>
        <v>6840</v>
      </c>
    </row>
    <row r="295" spans="1:2" x14ac:dyDescent="0.3">
      <c r="A295" t="s">
        <v>336</v>
      </c>
      <c r="B295" s="126">
        <f t="shared" si="8"/>
        <v>4831</v>
      </c>
    </row>
  </sheetData>
  <pageMargins left="0.7" right="0.7" top="0.75" bottom="0.75" header="0.3" footer="0.3"/>
  <pageSetup paperSize="9" orientation="portrait" horizontalDpi="0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8"/>
  <sheetViews>
    <sheetView topLeftCell="A103" workbookViewId="0">
      <selection activeCell="Q124" sqref="Q124"/>
    </sheetView>
  </sheetViews>
  <sheetFormatPr defaultRowHeight="18.75" x14ac:dyDescent="0.3"/>
  <cols>
    <col min="1" max="1" width="14.21875" customWidth="1"/>
    <col min="9" max="9" width="8.88671875" style="16"/>
    <col min="10" max="10" width="8.88671875" style="53"/>
    <col min="255" max="255" width="18" customWidth="1"/>
    <col min="511" max="511" width="18" customWidth="1"/>
    <col min="767" max="767" width="18" customWidth="1"/>
    <col min="1023" max="1023" width="18" customWidth="1"/>
    <col min="1279" max="1279" width="18" customWidth="1"/>
    <col min="1535" max="1535" width="18" customWidth="1"/>
    <col min="1791" max="1791" width="18" customWidth="1"/>
    <col min="2047" max="2047" width="18" customWidth="1"/>
    <col min="2303" max="2303" width="18" customWidth="1"/>
    <col min="2559" max="2559" width="18" customWidth="1"/>
    <col min="2815" max="2815" width="18" customWidth="1"/>
    <col min="3071" max="3071" width="18" customWidth="1"/>
    <col min="3327" max="3327" width="18" customWidth="1"/>
    <col min="3583" max="3583" width="18" customWidth="1"/>
    <col min="3839" max="3839" width="18" customWidth="1"/>
    <col min="4095" max="4095" width="18" customWidth="1"/>
    <col min="4351" max="4351" width="18" customWidth="1"/>
    <col min="4607" max="4607" width="18" customWidth="1"/>
    <col min="4863" max="4863" width="18" customWidth="1"/>
    <col min="5119" max="5119" width="18" customWidth="1"/>
    <col min="5375" max="5375" width="18" customWidth="1"/>
    <col min="5631" max="5631" width="18" customWidth="1"/>
    <col min="5887" max="5887" width="18" customWidth="1"/>
    <col min="6143" max="6143" width="18" customWidth="1"/>
    <col min="6399" max="6399" width="18" customWidth="1"/>
    <col min="6655" max="6655" width="18" customWidth="1"/>
    <col min="6911" max="6911" width="18" customWidth="1"/>
    <col min="7167" max="7167" width="18" customWidth="1"/>
    <col min="7423" max="7423" width="18" customWidth="1"/>
    <col min="7679" max="7679" width="18" customWidth="1"/>
    <col min="7935" max="7935" width="18" customWidth="1"/>
    <col min="8191" max="8191" width="18" customWidth="1"/>
    <col min="8447" max="8447" width="18" customWidth="1"/>
    <col min="8703" max="8703" width="18" customWidth="1"/>
    <col min="8959" max="8959" width="18" customWidth="1"/>
    <col min="9215" max="9215" width="18" customWidth="1"/>
    <col min="9471" max="9471" width="18" customWidth="1"/>
    <col min="9727" max="9727" width="18" customWidth="1"/>
    <col min="9983" max="9983" width="18" customWidth="1"/>
    <col min="10239" max="10239" width="18" customWidth="1"/>
    <col min="10495" max="10495" width="18" customWidth="1"/>
    <col min="10751" max="10751" width="18" customWidth="1"/>
    <col min="11007" max="11007" width="18" customWidth="1"/>
    <col min="11263" max="11263" width="18" customWidth="1"/>
    <col min="11519" max="11519" width="18" customWidth="1"/>
    <col min="11775" max="11775" width="18" customWidth="1"/>
    <col min="12031" max="12031" width="18" customWidth="1"/>
    <col min="12287" max="12287" width="18" customWidth="1"/>
    <col min="12543" max="12543" width="18" customWidth="1"/>
    <col min="12799" max="12799" width="18" customWidth="1"/>
    <col min="13055" max="13055" width="18" customWidth="1"/>
    <col min="13311" max="13311" width="18" customWidth="1"/>
    <col min="13567" max="13567" width="18" customWidth="1"/>
    <col min="13823" max="13823" width="18" customWidth="1"/>
    <col min="14079" max="14079" width="18" customWidth="1"/>
    <col min="14335" max="14335" width="18" customWidth="1"/>
    <col min="14591" max="14591" width="18" customWidth="1"/>
    <col min="14847" max="14847" width="18" customWidth="1"/>
    <col min="15103" max="15103" width="18" customWidth="1"/>
    <col min="15359" max="15359" width="18" customWidth="1"/>
    <col min="15615" max="15615" width="18" customWidth="1"/>
    <col min="15871" max="15871" width="18" customWidth="1"/>
    <col min="16127" max="16127" width="18" customWidth="1"/>
  </cols>
  <sheetData>
    <row r="1" spans="1:10" x14ac:dyDescent="0.3">
      <c r="A1" t="s">
        <v>108</v>
      </c>
    </row>
    <row r="3" spans="1:10" x14ac:dyDescent="0.3">
      <c r="A3" s="60"/>
      <c r="B3" s="60">
        <v>2014</v>
      </c>
      <c r="C3" s="60">
        <v>2015</v>
      </c>
      <c r="D3" s="60">
        <v>2016</v>
      </c>
      <c r="E3" s="60">
        <v>2017</v>
      </c>
      <c r="F3" s="60">
        <v>2018</v>
      </c>
      <c r="G3" s="60">
        <v>2019</v>
      </c>
      <c r="H3" s="60">
        <v>2020</v>
      </c>
      <c r="I3" s="61">
        <v>2021</v>
      </c>
      <c r="J3" s="62">
        <v>2022</v>
      </c>
    </row>
    <row r="4" spans="1:10" x14ac:dyDescent="0.3">
      <c r="A4" s="60" t="s">
        <v>109</v>
      </c>
      <c r="B4" s="60">
        <v>1044</v>
      </c>
      <c r="C4" s="60">
        <v>2241</v>
      </c>
      <c r="D4" s="60">
        <v>878</v>
      </c>
      <c r="E4" s="60">
        <v>738</v>
      </c>
      <c r="F4" s="60">
        <v>405</v>
      </c>
      <c r="G4" s="60">
        <v>275</v>
      </c>
      <c r="H4" s="60">
        <v>401.7</v>
      </c>
      <c r="I4" s="61">
        <v>66.400000000000006</v>
      </c>
      <c r="J4" s="62">
        <v>78</v>
      </c>
    </row>
    <row r="5" spans="1:10" x14ac:dyDescent="0.3">
      <c r="A5" s="60" t="s">
        <v>70</v>
      </c>
      <c r="B5" s="60">
        <v>439</v>
      </c>
      <c r="C5" s="60">
        <v>888</v>
      </c>
      <c r="D5" s="60">
        <v>1466</v>
      </c>
      <c r="E5" s="63">
        <v>1703.4</v>
      </c>
      <c r="F5" s="60">
        <v>458</v>
      </c>
      <c r="G5" s="60">
        <v>650.29999999999995</v>
      </c>
      <c r="H5" s="60">
        <v>854.5</v>
      </c>
      <c r="I5" s="61">
        <v>633</v>
      </c>
      <c r="J5" s="62">
        <v>477</v>
      </c>
    </row>
    <row r="6" spans="1:10" ht="32.25" x14ac:dyDescent="0.3">
      <c r="A6" s="64" t="s">
        <v>28</v>
      </c>
      <c r="B6" s="65">
        <f>4304.8/12</f>
        <v>358.73333333333335</v>
      </c>
      <c r="C6" s="65">
        <f>8106.7/21.7</f>
        <v>373.58064516129031</v>
      </c>
      <c r="D6" s="65">
        <v>394.6</v>
      </c>
      <c r="E6" s="65">
        <f>359.8*1.13</f>
        <v>406.57399999999996</v>
      </c>
      <c r="F6" s="65">
        <v>402.1</v>
      </c>
      <c r="G6" s="60">
        <v>552.79999999999995</v>
      </c>
      <c r="H6" s="60">
        <v>286.7</v>
      </c>
      <c r="I6" s="66">
        <v>305.8</v>
      </c>
      <c r="J6" s="67">
        <v>701</v>
      </c>
    </row>
    <row r="7" spans="1:10" x14ac:dyDescent="0.3">
      <c r="A7" s="60" t="s">
        <v>29</v>
      </c>
      <c r="B7" s="60">
        <v>487</v>
      </c>
      <c r="C7" s="60">
        <v>701</v>
      </c>
      <c r="D7" s="60">
        <v>441</v>
      </c>
      <c r="E7" s="60">
        <v>292</v>
      </c>
      <c r="F7" s="61">
        <v>340.2</v>
      </c>
      <c r="G7" s="60">
        <v>296</v>
      </c>
      <c r="H7" s="60">
        <v>330.6</v>
      </c>
      <c r="I7" s="61">
        <v>367.8</v>
      </c>
      <c r="J7" s="62">
        <v>266</v>
      </c>
    </row>
    <row r="8" spans="1:10" x14ac:dyDescent="0.3">
      <c r="A8" s="60" t="s">
        <v>30</v>
      </c>
      <c r="B8" s="68">
        <f>5569.4/12</f>
        <v>464.11666666666662</v>
      </c>
      <c r="C8" s="68">
        <f>1859.3/21.7</f>
        <v>85.68202764976958</v>
      </c>
      <c r="D8" s="68">
        <f>3530.6/25.5</f>
        <v>138.4549019607843</v>
      </c>
      <c r="E8" s="68">
        <f>106.8*1.12</f>
        <v>119.61600000000001</v>
      </c>
      <c r="F8" s="68">
        <v>630.4</v>
      </c>
      <c r="G8" s="68">
        <f>821.5*1.12</f>
        <v>920.08</v>
      </c>
      <c r="H8" s="68">
        <v>248.3</v>
      </c>
      <c r="I8" s="68">
        <v>391.1</v>
      </c>
      <c r="J8" s="68">
        <v>909</v>
      </c>
    </row>
    <row r="10" spans="1:10" x14ac:dyDescent="0.3">
      <c r="A10" s="3"/>
      <c r="B10" s="3">
        <v>2014</v>
      </c>
      <c r="C10" s="3">
        <v>2015</v>
      </c>
      <c r="D10" s="3">
        <v>2016</v>
      </c>
      <c r="E10" s="3">
        <v>2017</v>
      </c>
      <c r="F10" s="3">
        <v>2018</v>
      </c>
      <c r="G10" s="3">
        <v>2019</v>
      </c>
      <c r="H10" s="3">
        <v>2020</v>
      </c>
      <c r="I10" s="17">
        <v>2021</v>
      </c>
      <c r="J10" s="58">
        <v>2022</v>
      </c>
    </row>
    <row r="11" spans="1:10" x14ac:dyDescent="0.3">
      <c r="A11" s="11" t="s">
        <v>31</v>
      </c>
      <c r="B11" s="11">
        <v>487</v>
      </c>
      <c r="C11" s="11">
        <v>701</v>
      </c>
      <c r="D11" s="11">
        <v>441</v>
      </c>
      <c r="E11" s="11">
        <v>292</v>
      </c>
      <c r="F11" s="12">
        <v>340</v>
      </c>
      <c r="G11" s="11">
        <v>296</v>
      </c>
      <c r="H11" s="11">
        <v>331</v>
      </c>
      <c r="I11" s="17">
        <v>368</v>
      </c>
      <c r="J11" s="69">
        <f>J7</f>
        <v>266</v>
      </c>
    </row>
    <row r="12" spans="1:10" x14ac:dyDescent="0.3">
      <c r="A12" s="3" t="s">
        <v>32</v>
      </c>
      <c r="B12" s="3">
        <v>356</v>
      </c>
      <c r="C12" s="3">
        <v>439</v>
      </c>
      <c r="D12" s="3">
        <v>240</v>
      </c>
      <c r="E12" s="4">
        <f>6324.5/26.6</f>
        <v>237.76315789473682</v>
      </c>
      <c r="F12" s="4">
        <v>195</v>
      </c>
      <c r="G12" s="4">
        <v>378</v>
      </c>
      <c r="H12" s="4">
        <v>261.2</v>
      </c>
      <c r="I12" s="17">
        <v>96</v>
      </c>
      <c r="J12" s="69">
        <v>95</v>
      </c>
    </row>
    <row r="13" spans="1:10" x14ac:dyDescent="0.3">
      <c r="A13" s="3" t="s">
        <v>33</v>
      </c>
      <c r="B13" s="3">
        <v>445</v>
      </c>
      <c r="C13" s="3">
        <v>229</v>
      </c>
      <c r="D13" s="3">
        <v>80</v>
      </c>
      <c r="E13" s="4">
        <v>84</v>
      </c>
      <c r="F13" s="4">
        <v>54</v>
      </c>
      <c r="G13" s="4">
        <v>175</v>
      </c>
      <c r="H13" s="4">
        <v>401</v>
      </c>
      <c r="I13" s="17">
        <v>745</v>
      </c>
      <c r="J13" s="69">
        <v>405</v>
      </c>
    </row>
    <row r="14" spans="1:10" x14ac:dyDescent="0.3">
      <c r="A14" s="3" t="s">
        <v>34</v>
      </c>
      <c r="B14" s="3">
        <v>34</v>
      </c>
      <c r="C14" s="3">
        <v>69</v>
      </c>
      <c r="D14" s="3">
        <v>125</v>
      </c>
      <c r="E14" s="4">
        <v>176</v>
      </c>
      <c r="F14" s="4">
        <v>302.39999999999998</v>
      </c>
      <c r="G14" s="4">
        <v>304</v>
      </c>
      <c r="H14" s="4">
        <v>293</v>
      </c>
      <c r="I14" s="17">
        <v>407</v>
      </c>
      <c r="J14" s="69">
        <v>328</v>
      </c>
    </row>
    <row r="15" spans="1:10" x14ac:dyDescent="0.3">
      <c r="A15" s="3" t="s">
        <v>35</v>
      </c>
      <c r="B15" s="4">
        <f>1354.6/8.15+1.5/9.93+26.9/11.6+100/11.68+69/11.8+154.7/11.77+254.4/12.95</f>
        <v>215.87608637020801</v>
      </c>
      <c r="C15" s="4">
        <f>196.8/24.68+83.9/22.7+593.3/22.67+223.2/21.28+261.9/21.77+606/21.81+55.5/21.88+92/23.47</f>
        <v>94.602173714745803</v>
      </c>
      <c r="D15" s="4">
        <f>4573.6/25.5</f>
        <v>179.35686274509806</v>
      </c>
      <c r="E15" s="4">
        <f>3409.8/26.6</f>
        <v>128.18796992481202</v>
      </c>
      <c r="F15" s="4">
        <v>202</v>
      </c>
      <c r="G15" s="4">
        <v>170</v>
      </c>
      <c r="H15" s="4">
        <v>132</v>
      </c>
      <c r="I15" s="17">
        <v>163</v>
      </c>
      <c r="J15" s="69">
        <v>132</v>
      </c>
    </row>
    <row r="16" spans="1:10" x14ac:dyDescent="0.3">
      <c r="A16" s="3" t="s">
        <v>36</v>
      </c>
      <c r="B16" s="3">
        <v>191</v>
      </c>
      <c r="C16" s="3">
        <v>281</v>
      </c>
      <c r="D16" s="3">
        <v>28</v>
      </c>
      <c r="E16" s="4">
        <f>1884.8/26.6</f>
        <v>70.857142857142847</v>
      </c>
      <c r="F16" s="3">
        <v>122</v>
      </c>
      <c r="G16" s="3">
        <v>136</v>
      </c>
      <c r="H16" s="3">
        <v>477</v>
      </c>
      <c r="I16" s="17">
        <v>876</v>
      </c>
      <c r="J16" s="69">
        <v>460</v>
      </c>
    </row>
    <row r="17" spans="1:10" x14ac:dyDescent="0.3">
      <c r="A17" s="3" t="s">
        <v>37</v>
      </c>
      <c r="B17" s="3">
        <v>921</v>
      </c>
      <c r="C17" s="3">
        <v>487</v>
      </c>
      <c r="D17" s="3">
        <v>451</v>
      </c>
      <c r="E17" s="4">
        <v>362</v>
      </c>
      <c r="F17" s="4">
        <v>259</v>
      </c>
      <c r="G17" s="4">
        <v>185</v>
      </c>
      <c r="H17" s="4">
        <v>215</v>
      </c>
      <c r="I17" s="17">
        <v>256</v>
      </c>
      <c r="J17" s="69">
        <v>194</v>
      </c>
    </row>
    <row r="18" spans="1:10" x14ac:dyDescent="0.3">
      <c r="A18" s="18"/>
      <c r="B18" s="18"/>
      <c r="C18" s="18"/>
      <c r="D18" s="18"/>
      <c r="E18" s="18"/>
      <c r="F18" s="19"/>
    </row>
    <row r="20" spans="1:10" x14ac:dyDescent="0.3">
      <c r="A20" s="3"/>
      <c r="B20" s="3">
        <v>2014</v>
      </c>
      <c r="C20" s="3">
        <v>2015</v>
      </c>
      <c r="D20" s="3">
        <v>2016</v>
      </c>
      <c r="E20" s="3">
        <v>2017</v>
      </c>
      <c r="F20" s="3">
        <v>2018</v>
      </c>
      <c r="G20" s="3">
        <v>2019</v>
      </c>
      <c r="H20" s="3">
        <v>2020</v>
      </c>
      <c r="I20" s="17">
        <v>2021</v>
      </c>
      <c r="J20" s="58">
        <v>2022</v>
      </c>
    </row>
    <row r="21" spans="1:10" x14ac:dyDescent="0.3">
      <c r="A21" s="3" t="s">
        <v>38</v>
      </c>
      <c r="B21" s="3">
        <v>75</v>
      </c>
      <c r="C21" s="3">
        <v>30</v>
      </c>
      <c r="D21" s="3">
        <v>67</v>
      </c>
      <c r="E21" s="4">
        <f>1428.6/26.6</f>
        <v>53.70676691729323</v>
      </c>
      <c r="F21" s="3">
        <v>66</v>
      </c>
      <c r="G21" s="3">
        <v>79</v>
      </c>
      <c r="H21" s="3">
        <v>35</v>
      </c>
      <c r="I21" s="17">
        <v>17</v>
      </c>
      <c r="J21" s="69">
        <v>18</v>
      </c>
    </row>
    <row r="22" spans="1:10" x14ac:dyDescent="0.3">
      <c r="A22" s="3" t="s">
        <v>39</v>
      </c>
      <c r="B22" s="3">
        <v>81</v>
      </c>
      <c r="C22" s="3">
        <v>114</v>
      </c>
      <c r="D22" s="3">
        <v>75</v>
      </c>
      <c r="E22" s="4">
        <f>1375/26.6</f>
        <v>51.691729323308266</v>
      </c>
      <c r="F22" s="3">
        <v>129</v>
      </c>
      <c r="G22" s="3">
        <v>61</v>
      </c>
      <c r="H22" s="3">
        <v>136</v>
      </c>
      <c r="I22" s="17">
        <v>29</v>
      </c>
      <c r="J22" s="69">
        <v>0</v>
      </c>
    </row>
    <row r="23" spans="1:10" x14ac:dyDescent="0.3">
      <c r="A23" s="3" t="s">
        <v>282</v>
      </c>
      <c r="B23" s="11">
        <v>0</v>
      </c>
      <c r="C23" s="11">
        <v>0</v>
      </c>
      <c r="D23" s="11">
        <v>76</v>
      </c>
      <c r="E23" s="114">
        <v>78</v>
      </c>
      <c r="F23" s="11">
        <v>158</v>
      </c>
      <c r="G23" s="11">
        <v>167</v>
      </c>
      <c r="H23" s="11">
        <v>53</v>
      </c>
      <c r="I23" s="12">
        <v>0</v>
      </c>
      <c r="J23" s="58">
        <v>100</v>
      </c>
    </row>
    <row r="24" spans="1:10" x14ac:dyDescent="0.3">
      <c r="A24" s="3" t="s">
        <v>41</v>
      </c>
      <c r="B24" s="3">
        <v>25</v>
      </c>
      <c r="C24" s="3">
        <v>4</v>
      </c>
      <c r="D24" s="3">
        <v>46</v>
      </c>
      <c r="E24" s="4">
        <f>1449.8/26.6</f>
        <v>54.503759398496236</v>
      </c>
      <c r="F24" s="3">
        <v>54</v>
      </c>
      <c r="G24" s="3">
        <v>40</v>
      </c>
      <c r="H24" s="3">
        <v>49.5</v>
      </c>
      <c r="I24" s="17">
        <v>35</v>
      </c>
      <c r="J24" s="69">
        <v>24</v>
      </c>
    </row>
    <row r="25" spans="1:10" x14ac:dyDescent="0.3">
      <c r="A25" s="3" t="s">
        <v>43</v>
      </c>
      <c r="B25" s="3">
        <v>14</v>
      </c>
      <c r="C25" s="3">
        <v>111</v>
      </c>
      <c r="D25" s="3">
        <v>48</v>
      </c>
      <c r="E25" s="4">
        <f>112.4/26.6</f>
        <v>4.2255639097744364</v>
      </c>
      <c r="F25" s="3">
        <v>40</v>
      </c>
      <c r="G25" s="3">
        <v>7</v>
      </c>
      <c r="H25" s="3">
        <v>155</v>
      </c>
      <c r="I25" s="17">
        <v>35</v>
      </c>
      <c r="J25" s="69">
        <v>0</v>
      </c>
    </row>
    <row r="26" spans="1:10" ht="20.25" customHeight="1" x14ac:dyDescent="0.3">
      <c r="A26" s="3" t="s">
        <v>283</v>
      </c>
      <c r="B26" s="3"/>
      <c r="C26" s="3"/>
      <c r="D26" s="5">
        <f>1268/25.5</f>
        <v>49.725490196078432</v>
      </c>
      <c r="E26" s="4">
        <f>2654.5/26.6</f>
        <v>99.793233082706763</v>
      </c>
      <c r="F26" s="3">
        <v>70</v>
      </c>
      <c r="G26" s="3">
        <v>55</v>
      </c>
      <c r="H26" s="3">
        <v>9</v>
      </c>
      <c r="I26" s="17">
        <v>17</v>
      </c>
      <c r="J26" s="69">
        <v>5</v>
      </c>
    </row>
    <row r="27" spans="1:10" x14ac:dyDescent="0.3">
      <c r="A27" s="23" t="s">
        <v>44</v>
      </c>
      <c r="B27" s="23">
        <v>0</v>
      </c>
      <c r="C27" s="23">
        <v>0</v>
      </c>
      <c r="D27" s="23">
        <v>0</v>
      </c>
      <c r="E27" s="23">
        <v>0</v>
      </c>
      <c r="F27" s="23">
        <v>0</v>
      </c>
      <c r="G27" s="23">
        <v>20</v>
      </c>
      <c r="H27" s="23">
        <v>119</v>
      </c>
      <c r="I27" s="24">
        <v>154</v>
      </c>
      <c r="J27" s="75">
        <v>120</v>
      </c>
    </row>
    <row r="28" spans="1:10" x14ac:dyDescent="0.3">
      <c r="A28" s="3" t="s">
        <v>45</v>
      </c>
      <c r="B28" s="3">
        <v>39</v>
      </c>
      <c r="C28" s="3">
        <v>20</v>
      </c>
      <c r="D28" s="3">
        <v>14</v>
      </c>
      <c r="E28" s="4">
        <v>12</v>
      </c>
      <c r="F28" s="3">
        <v>10</v>
      </c>
      <c r="G28" s="3">
        <v>34</v>
      </c>
      <c r="H28" s="3">
        <v>81</v>
      </c>
      <c r="I28" s="17">
        <v>81</v>
      </c>
      <c r="J28" s="69">
        <v>84</v>
      </c>
    </row>
    <row r="29" spans="1:10" x14ac:dyDescent="0.3">
      <c r="A29" s="70"/>
      <c r="B29" s="71"/>
      <c r="C29" s="71"/>
      <c r="D29" s="71"/>
      <c r="E29" s="71"/>
      <c r="F29" s="71"/>
      <c r="G29" s="71"/>
      <c r="H29" s="71"/>
      <c r="I29" s="74"/>
      <c r="J29" s="55"/>
    </row>
    <row r="30" spans="1:10" x14ac:dyDescent="0.3">
      <c r="A30" s="70"/>
      <c r="B30" s="71"/>
      <c r="C30" s="71"/>
      <c r="D30" s="71"/>
      <c r="E30" s="71"/>
      <c r="F30" s="71"/>
      <c r="G30" s="71"/>
      <c r="H30" s="71"/>
      <c r="I30" s="74"/>
      <c r="J30" s="55"/>
    </row>
    <row r="31" spans="1:10" x14ac:dyDescent="0.3">
      <c r="A31" s="70" t="s">
        <v>115</v>
      </c>
      <c r="B31" s="71"/>
      <c r="C31" s="71"/>
      <c r="D31" s="72"/>
      <c r="E31" s="73"/>
      <c r="F31" s="71"/>
      <c r="G31" s="71"/>
      <c r="H31" s="71"/>
      <c r="I31" s="74"/>
      <c r="J31" s="54"/>
    </row>
    <row r="32" spans="1:10" x14ac:dyDescent="0.3">
      <c r="A32" s="70"/>
      <c r="B32" s="71"/>
      <c r="C32" s="71"/>
      <c r="D32" s="72"/>
      <c r="E32" s="73"/>
      <c r="F32" s="71"/>
      <c r="G32" s="71"/>
      <c r="H32" s="71"/>
      <c r="I32" s="74"/>
      <c r="J32" s="54"/>
    </row>
    <row r="33" spans="1:10" ht="19.5" thickBot="1" x14ac:dyDescent="0.35">
      <c r="A33" s="20"/>
      <c r="B33" s="21">
        <v>2017</v>
      </c>
      <c r="C33" s="21">
        <v>2018</v>
      </c>
      <c r="D33" s="21">
        <v>2019</v>
      </c>
      <c r="E33" s="21">
        <v>2020</v>
      </c>
      <c r="F33" s="22">
        <v>2021</v>
      </c>
      <c r="G33" s="58">
        <v>2022</v>
      </c>
      <c r="I33"/>
      <c r="J33"/>
    </row>
    <row r="34" spans="1:10" x14ac:dyDescent="0.3">
      <c r="A34" s="3" t="s">
        <v>45</v>
      </c>
      <c r="B34" s="4">
        <v>329</v>
      </c>
      <c r="C34" s="3">
        <v>293</v>
      </c>
      <c r="D34" s="3">
        <v>869</v>
      </c>
      <c r="E34" s="3">
        <v>2221</v>
      </c>
      <c r="F34" s="17">
        <v>2238</v>
      </c>
      <c r="G34" s="69">
        <v>2783</v>
      </c>
      <c r="I34"/>
      <c r="J34"/>
    </row>
    <row r="35" spans="1:10" x14ac:dyDescent="0.3">
      <c r="A35" s="3" t="s">
        <v>110</v>
      </c>
      <c r="B35" s="4">
        <v>3</v>
      </c>
      <c r="C35" s="3">
        <v>465</v>
      </c>
      <c r="D35" s="3">
        <v>966</v>
      </c>
      <c r="E35" s="3">
        <v>966</v>
      </c>
      <c r="F35" s="17">
        <v>888</v>
      </c>
      <c r="G35" s="69">
        <v>2543</v>
      </c>
      <c r="I35"/>
      <c r="J35"/>
    </row>
    <row r="36" spans="1:10" x14ac:dyDescent="0.3">
      <c r="A36" s="3" t="s">
        <v>117</v>
      </c>
      <c r="B36" s="78"/>
      <c r="C36" s="79"/>
      <c r="D36" s="79"/>
      <c r="E36" s="80">
        <v>127</v>
      </c>
      <c r="F36" s="69">
        <v>0</v>
      </c>
      <c r="G36" s="69">
        <v>1444</v>
      </c>
      <c r="I36"/>
      <c r="J36"/>
    </row>
    <row r="37" spans="1:10" x14ac:dyDescent="0.3">
      <c r="A37" s="3" t="s">
        <v>47</v>
      </c>
      <c r="B37" s="4">
        <v>64</v>
      </c>
      <c r="C37" s="80">
        <v>127</v>
      </c>
      <c r="D37" s="80">
        <v>456</v>
      </c>
      <c r="E37" s="80">
        <v>281</v>
      </c>
      <c r="F37" s="69">
        <v>1622</v>
      </c>
      <c r="G37" s="69">
        <v>1698</v>
      </c>
      <c r="I37"/>
      <c r="J37"/>
    </row>
    <row r="38" spans="1:10" x14ac:dyDescent="0.3">
      <c r="A38" s="3" t="s">
        <v>48</v>
      </c>
      <c r="B38" s="81">
        <v>68</v>
      </c>
      <c r="C38" s="80">
        <v>61</v>
      </c>
      <c r="D38" s="80">
        <v>138</v>
      </c>
      <c r="E38" s="80">
        <v>168</v>
      </c>
      <c r="F38" s="69">
        <v>1314</v>
      </c>
      <c r="G38" s="69">
        <v>2213</v>
      </c>
      <c r="I38"/>
      <c r="J38"/>
    </row>
    <row r="39" spans="1:10" x14ac:dyDescent="0.3">
      <c r="A39" s="3" t="s">
        <v>111</v>
      </c>
      <c r="B39" s="4">
        <v>0</v>
      </c>
      <c r="C39" s="4">
        <v>0</v>
      </c>
      <c r="D39" s="4">
        <v>0</v>
      </c>
      <c r="E39" s="3">
        <v>240</v>
      </c>
      <c r="F39" s="17">
        <v>686</v>
      </c>
      <c r="G39" s="69">
        <v>1220</v>
      </c>
      <c r="I39"/>
      <c r="J39"/>
    </row>
    <row r="40" spans="1:10" x14ac:dyDescent="0.3">
      <c r="A40" s="3" t="s">
        <v>112</v>
      </c>
      <c r="B40" s="4">
        <v>53</v>
      </c>
      <c r="C40" s="3">
        <v>87</v>
      </c>
      <c r="D40" s="3">
        <v>296</v>
      </c>
      <c r="E40" s="3">
        <v>328</v>
      </c>
      <c r="F40" s="17">
        <v>349</v>
      </c>
      <c r="G40" s="69">
        <v>880</v>
      </c>
      <c r="I40"/>
      <c r="J40"/>
    </row>
    <row r="41" spans="1:10" x14ac:dyDescent="0.3">
      <c r="A41" s="3" t="s">
        <v>113</v>
      </c>
      <c r="B41" s="4">
        <v>274</v>
      </c>
      <c r="C41" s="3">
        <v>164</v>
      </c>
      <c r="D41" s="3">
        <v>128</v>
      </c>
      <c r="E41" s="3">
        <v>103</v>
      </c>
      <c r="F41" s="17">
        <v>5</v>
      </c>
      <c r="G41" s="69">
        <v>866</v>
      </c>
      <c r="I41"/>
      <c r="J41"/>
    </row>
    <row r="42" spans="1:10" x14ac:dyDescent="0.3">
      <c r="A42" s="3" t="s">
        <v>114</v>
      </c>
      <c r="B42" s="4">
        <v>132</v>
      </c>
      <c r="C42" s="3">
        <v>106</v>
      </c>
      <c r="D42" s="3">
        <v>54</v>
      </c>
      <c r="E42" s="3">
        <v>596</v>
      </c>
      <c r="F42" s="17">
        <v>969</v>
      </c>
      <c r="G42" s="69">
        <v>853</v>
      </c>
      <c r="I42"/>
      <c r="J42"/>
    </row>
    <row r="43" spans="1:10" x14ac:dyDescent="0.3">
      <c r="A43" s="3" t="s">
        <v>125</v>
      </c>
      <c r="B43" s="4">
        <v>386</v>
      </c>
      <c r="C43" s="3">
        <v>486</v>
      </c>
      <c r="D43" s="3">
        <v>962</v>
      </c>
      <c r="E43" s="3">
        <v>680</v>
      </c>
      <c r="F43" s="17">
        <v>1277</v>
      </c>
      <c r="G43" s="69">
        <v>1091</v>
      </c>
      <c r="H43" s="18"/>
      <c r="I43" s="76"/>
      <c r="J43" s="77"/>
    </row>
    <row r="45" spans="1:10" s="28" customFormat="1" x14ac:dyDescent="0.3">
      <c r="A45" s="25"/>
      <c r="B45" s="26" t="e">
        <f>#REF!+1</f>
        <v>#REF!</v>
      </c>
      <c r="C45" s="26" t="e">
        <f>B45+1</f>
        <v>#REF!</v>
      </c>
      <c r="D45" s="26" t="e">
        <f>C45+1</f>
        <v>#REF!</v>
      </c>
      <c r="E45" s="26">
        <v>2017</v>
      </c>
      <c r="F45" s="26">
        <v>2018</v>
      </c>
      <c r="G45" s="26">
        <v>2019</v>
      </c>
      <c r="H45" s="26">
        <v>2020</v>
      </c>
      <c r="I45" s="27">
        <v>2021</v>
      </c>
      <c r="J45" s="58">
        <v>2022</v>
      </c>
    </row>
    <row r="46" spans="1:10" x14ac:dyDescent="0.3">
      <c r="A46" s="11" t="s">
        <v>49</v>
      </c>
      <c r="B46" s="14">
        <v>210.2</v>
      </c>
      <c r="C46" s="14">
        <v>153</v>
      </c>
      <c r="D46" s="14">
        <f>250/25.5</f>
        <v>9.8039215686274517</v>
      </c>
      <c r="E46" s="14">
        <v>61.9</v>
      </c>
      <c r="F46" s="14">
        <v>0</v>
      </c>
      <c r="G46" s="14">
        <f>68.5</f>
        <v>68.5</v>
      </c>
      <c r="H46" s="14">
        <v>56</v>
      </c>
      <c r="I46" s="17">
        <v>136</v>
      </c>
      <c r="J46" s="54">
        <v>136</v>
      </c>
    </row>
    <row r="47" spans="1:10" x14ac:dyDescent="0.3">
      <c r="A47" s="11" t="s">
        <v>50</v>
      </c>
      <c r="B47" s="12"/>
      <c r="C47" s="12">
        <v>76.2</v>
      </c>
      <c r="D47" s="12"/>
      <c r="E47" s="12">
        <v>285.60000000000002</v>
      </c>
      <c r="F47" s="12">
        <v>15.6</v>
      </c>
      <c r="G47" s="12">
        <v>22.5</v>
      </c>
      <c r="H47" s="29">
        <f>84.2+67.3*1.09</f>
        <v>157.55700000000002</v>
      </c>
      <c r="I47" s="17">
        <v>0</v>
      </c>
      <c r="J47" s="54">
        <v>0</v>
      </c>
    </row>
    <row r="48" spans="1:10" x14ac:dyDescent="0.3">
      <c r="A48" s="11" t="s">
        <v>51</v>
      </c>
      <c r="B48" s="12">
        <v>45.6</v>
      </c>
      <c r="C48" s="12">
        <v>80.8</v>
      </c>
      <c r="D48" s="12">
        <v>0</v>
      </c>
      <c r="E48" s="12"/>
      <c r="F48" s="12">
        <v>134.19999999999999</v>
      </c>
      <c r="G48" s="29">
        <f>85.7*1.1</f>
        <v>94.27000000000001</v>
      </c>
      <c r="H48" s="29">
        <f>5.2*1.18</f>
        <v>6.1360000000000001</v>
      </c>
      <c r="I48" s="12">
        <v>62</v>
      </c>
      <c r="J48" s="52">
        <v>62</v>
      </c>
    </row>
    <row r="49" spans="1:10" ht="23.25" customHeight="1" x14ac:dyDescent="0.3">
      <c r="A49" s="11" t="s">
        <v>54</v>
      </c>
      <c r="B49" s="14">
        <f>2082.6/12</f>
        <v>173.54999999999998</v>
      </c>
      <c r="C49" s="14">
        <f>880/21.7</f>
        <v>40.552995391705068</v>
      </c>
      <c r="D49" s="14">
        <v>99.5</v>
      </c>
      <c r="E49" s="14">
        <v>69.400000000000006</v>
      </c>
      <c r="F49" s="14">
        <v>42.1</v>
      </c>
      <c r="G49" s="14">
        <f>80.9+28.1</f>
        <v>109</v>
      </c>
      <c r="H49" s="14">
        <v>92</v>
      </c>
      <c r="I49" s="17">
        <v>197.4</v>
      </c>
      <c r="J49" s="69">
        <v>126</v>
      </c>
    </row>
    <row r="50" spans="1:10" x14ac:dyDescent="0.3">
      <c r="A50" s="30"/>
      <c r="B50" s="32"/>
      <c r="C50" s="32"/>
      <c r="D50" s="32"/>
      <c r="E50" s="32"/>
      <c r="F50" s="32"/>
      <c r="G50" s="119"/>
      <c r="H50" s="119"/>
      <c r="I50" s="32"/>
      <c r="J50" s="56"/>
    </row>
    <row r="51" spans="1:10" s="30" customFormat="1" x14ac:dyDescent="0.3">
      <c r="B51" s="31"/>
      <c r="C51" s="31"/>
      <c r="D51" s="31"/>
      <c r="E51" s="31"/>
      <c r="F51" s="31"/>
      <c r="G51" s="31"/>
      <c r="I51" s="32"/>
      <c r="J51" s="56"/>
    </row>
    <row r="52" spans="1:10" s="30" customFormat="1" x14ac:dyDescent="0.3">
      <c r="A52" s="25"/>
      <c r="B52" s="26">
        <v>2014</v>
      </c>
      <c r="C52" s="26">
        <f>B52+1</f>
        <v>2015</v>
      </c>
      <c r="D52" s="26">
        <f>C52+1</f>
        <v>2016</v>
      </c>
      <c r="E52" s="26">
        <v>2017</v>
      </c>
      <c r="F52" s="26">
        <v>2018</v>
      </c>
      <c r="G52" s="26">
        <v>2019</v>
      </c>
      <c r="H52" s="26">
        <v>2020</v>
      </c>
      <c r="I52" s="27">
        <v>2021</v>
      </c>
      <c r="J52" s="58">
        <v>2022</v>
      </c>
    </row>
    <row r="53" spans="1:10" ht="30.75" customHeight="1" x14ac:dyDescent="0.3">
      <c r="A53" s="13" t="s">
        <v>288</v>
      </c>
      <c r="B53" s="33">
        <f>139.9*1.32</f>
        <v>184.66800000000001</v>
      </c>
      <c r="C53" s="33">
        <v>40.5</v>
      </c>
      <c r="D53" s="33">
        <v>64</v>
      </c>
      <c r="E53" s="33"/>
      <c r="F53" s="33">
        <v>281.5</v>
      </c>
      <c r="G53" s="33">
        <v>131.4</v>
      </c>
      <c r="H53" s="33">
        <f>246*1.14</f>
        <v>280.44</v>
      </c>
      <c r="I53" s="15">
        <v>466</v>
      </c>
      <c r="J53" s="59">
        <v>796</v>
      </c>
    </row>
    <row r="54" spans="1:10" s="34" customFormat="1" ht="23.25" customHeight="1" x14ac:dyDescent="0.3">
      <c r="A54" s="11" t="s">
        <v>287</v>
      </c>
      <c r="B54" s="33">
        <v>463</v>
      </c>
      <c r="C54" s="33">
        <v>81</v>
      </c>
      <c r="D54" s="33">
        <v>138</v>
      </c>
      <c r="E54" s="33">
        <v>125</v>
      </c>
      <c r="F54" s="33">
        <v>630.4</v>
      </c>
      <c r="G54" s="33">
        <v>919</v>
      </c>
      <c r="H54" s="33">
        <v>247</v>
      </c>
      <c r="I54" s="15">
        <v>391</v>
      </c>
      <c r="J54" s="59">
        <f>J8</f>
        <v>909</v>
      </c>
    </row>
    <row r="55" spans="1:10" ht="23.25" customHeight="1" x14ac:dyDescent="0.3">
      <c r="A55" s="11" t="s">
        <v>286</v>
      </c>
      <c r="B55" s="33">
        <v>0</v>
      </c>
      <c r="C55" s="33">
        <v>0</v>
      </c>
      <c r="D55" s="33">
        <v>0</v>
      </c>
      <c r="E55" s="33">
        <v>0</v>
      </c>
      <c r="F55" s="33">
        <v>0</v>
      </c>
      <c r="G55" s="33">
        <v>0</v>
      </c>
      <c r="H55" s="33">
        <v>366</v>
      </c>
      <c r="I55" s="15">
        <v>329</v>
      </c>
      <c r="J55" s="59">
        <v>107</v>
      </c>
    </row>
    <row r="56" spans="1:10" ht="23.25" customHeight="1" x14ac:dyDescent="0.3">
      <c r="A56" s="13" t="s">
        <v>28</v>
      </c>
      <c r="B56" s="35">
        <f>4304.8/12</f>
        <v>358.73333333333335</v>
      </c>
      <c r="C56" s="35">
        <f>8106.7/21.7</f>
        <v>373.58064516129031</v>
      </c>
      <c r="D56" s="35">
        <v>394.6</v>
      </c>
      <c r="E56" s="35">
        <f>359.8*1.13</f>
        <v>406.57399999999996</v>
      </c>
      <c r="F56" s="35">
        <v>402.1</v>
      </c>
      <c r="G56" s="33">
        <v>552.79999999999995</v>
      </c>
      <c r="H56" s="33">
        <v>286.7</v>
      </c>
      <c r="I56" s="15">
        <v>305.8</v>
      </c>
      <c r="J56" s="59">
        <f>J6</f>
        <v>701</v>
      </c>
    </row>
    <row r="57" spans="1:10" ht="23.25" customHeight="1" x14ac:dyDescent="0.3">
      <c r="A57" s="13" t="s">
        <v>52</v>
      </c>
      <c r="B57" s="36">
        <v>0</v>
      </c>
      <c r="C57" s="38">
        <f>4.156*1.12+14.9*1.1+12.1*1.08+22.8*1.05</f>
        <v>58.052720000000008</v>
      </c>
      <c r="D57" s="38">
        <v>166.2</v>
      </c>
      <c r="E57" s="38">
        <f>167*1.13</f>
        <v>188.70999999999998</v>
      </c>
      <c r="F57" s="38">
        <v>216.7</v>
      </c>
      <c r="G57" s="38">
        <f>109.4*1.12</f>
        <v>122.52800000000002</v>
      </c>
      <c r="H57" s="38">
        <v>120.5</v>
      </c>
      <c r="I57" s="12">
        <v>268</v>
      </c>
      <c r="J57" s="58">
        <v>78</v>
      </c>
    </row>
    <row r="58" spans="1:10" ht="23.25" customHeight="1" x14ac:dyDescent="0.3">
      <c r="A58" s="11" t="s">
        <v>53</v>
      </c>
      <c r="B58" s="35">
        <v>94.2</v>
      </c>
      <c r="C58" s="35">
        <v>60</v>
      </c>
      <c r="D58" s="35">
        <v>69.2</v>
      </c>
      <c r="E58" s="35">
        <v>0</v>
      </c>
      <c r="F58" s="35">
        <v>0</v>
      </c>
      <c r="G58" s="35">
        <v>81</v>
      </c>
      <c r="H58" s="35">
        <f>83.2+183.6*1.15</f>
        <v>294.33999999999997</v>
      </c>
      <c r="I58" s="15">
        <v>236</v>
      </c>
      <c r="J58" s="59">
        <v>116</v>
      </c>
    </row>
    <row r="59" spans="1:10" ht="23.25" customHeight="1" x14ac:dyDescent="0.3">
      <c r="A59" s="11" t="s">
        <v>284</v>
      </c>
      <c r="B59" s="35">
        <v>0</v>
      </c>
      <c r="C59" s="35">
        <v>0</v>
      </c>
      <c r="D59" s="35">
        <v>0</v>
      </c>
      <c r="E59" s="35">
        <v>0</v>
      </c>
      <c r="F59" s="35">
        <v>74</v>
      </c>
      <c r="G59" s="35">
        <v>291</v>
      </c>
      <c r="H59" s="35">
        <v>122</v>
      </c>
      <c r="I59" s="15">
        <v>126</v>
      </c>
      <c r="J59" s="59">
        <v>306</v>
      </c>
    </row>
    <row r="60" spans="1:10" ht="23.25" customHeight="1" x14ac:dyDescent="0.3">
      <c r="A60" s="11" t="s">
        <v>285</v>
      </c>
      <c r="B60" s="14">
        <f>2082.6/12</f>
        <v>173.54999999999998</v>
      </c>
      <c r="C60" s="14">
        <f>880/21.7</f>
        <v>40.552995391705068</v>
      </c>
      <c r="D60" s="14">
        <v>99.5</v>
      </c>
      <c r="E60" s="14">
        <v>69.400000000000006</v>
      </c>
      <c r="F60" s="14">
        <v>42.1</v>
      </c>
      <c r="G60" s="14">
        <f>80.9+28.1</f>
        <v>109</v>
      </c>
      <c r="H60" s="14">
        <v>92</v>
      </c>
      <c r="I60" s="17">
        <v>197.4</v>
      </c>
      <c r="J60" s="69">
        <v>126</v>
      </c>
    </row>
    <row r="61" spans="1:10" x14ac:dyDescent="0.3">
      <c r="A61" s="39"/>
      <c r="B61" s="40"/>
      <c r="C61" s="40"/>
      <c r="D61" s="40"/>
      <c r="E61" s="40"/>
      <c r="F61" s="40"/>
      <c r="G61" s="41"/>
      <c r="H61" s="41"/>
      <c r="I61" s="37"/>
      <c r="J61" s="57"/>
    </row>
    <row r="62" spans="1:10" x14ac:dyDescent="0.3">
      <c r="A62" s="42"/>
      <c r="B62" s="42" t="e">
        <f>#REF!+1</f>
        <v>#REF!</v>
      </c>
      <c r="C62" s="42" t="e">
        <f t="shared" ref="C62:G62" si="0">B62+1</f>
        <v>#REF!</v>
      </c>
      <c r="D62" s="42" t="e">
        <f t="shared" si="0"/>
        <v>#REF!</v>
      </c>
      <c r="E62" s="42" t="e">
        <f t="shared" si="0"/>
        <v>#REF!</v>
      </c>
      <c r="F62" s="42" t="e">
        <f t="shared" si="0"/>
        <v>#REF!</v>
      </c>
      <c r="G62" s="42" t="e">
        <f t="shared" si="0"/>
        <v>#REF!</v>
      </c>
      <c r="H62" s="23"/>
      <c r="I62" s="24"/>
      <c r="J62" s="55"/>
    </row>
    <row r="63" spans="1:10" x14ac:dyDescent="0.3">
      <c r="A63" s="43" t="s">
        <v>55</v>
      </c>
      <c r="B63" s="44">
        <v>161.4</v>
      </c>
      <c r="C63" s="44"/>
      <c r="D63" s="44"/>
      <c r="E63" s="44"/>
      <c r="F63" s="44"/>
      <c r="G63" s="44"/>
      <c r="H63" s="3"/>
      <c r="I63" s="17"/>
      <c r="J63" s="54"/>
    </row>
    <row r="64" spans="1:10" x14ac:dyDescent="0.3">
      <c r="A64" s="43" t="s">
        <v>56</v>
      </c>
      <c r="B64" s="44"/>
      <c r="C64" s="44"/>
      <c r="D64" s="44"/>
      <c r="E64" s="44"/>
      <c r="F64" s="44"/>
      <c r="G64" s="44"/>
      <c r="H64" s="3"/>
      <c r="I64" s="17"/>
      <c r="J64" s="54"/>
    </row>
    <row r="65" spans="1:10" x14ac:dyDescent="0.3">
      <c r="A65" s="3" t="s">
        <v>57</v>
      </c>
      <c r="B65" s="44"/>
      <c r="C65" s="44"/>
      <c r="D65" s="44"/>
      <c r="E65" s="44"/>
      <c r="F65" s="44"/>
      <c r="G65" s="44"/>
      <c r="H65" s="3"/>
      <c r="I65" s="17"/>
      <c r="J65" s="54"/>
    </row>
    <row r="66" spans="1:10" x14ac:dyDescent="0.3">
      <c r="A66" s="43" t="s">
        <v>58</v>
      </c>
      <c r="B66" s="44"/>
      <c r="C66" s="44"/>
      <c r="D66" s="44"/>
      <c r="E66" s="44"/>
      <c r="F66" s="44"/>
      <c r="G66" s="44"/>
      <c r="H66" s="3"/>
      <c r="I66" s="17"/>
      <c r="J66" s="54"/>
    </row>
    <row r="67" spans="1:10" x14ac:dyDescent="0.3">
      <c r="A67" s="43" t="s">
        <v>59</v>
      </c>
      <c r="B67" s="44"/>
      <c r="C67" s="44"/>
      <c r="D67" s="44"/>
      <c r="E67" s="44"/>
      <c r="F67" s="44"/>
      <c r="G67" s="44"/>
      <c r="H67" s="3"/>
      <c r="I67" s="17"/>
      <c r="J67" s="54"/>
    </row>
    <row r="68" spans="1:10" x14ac:dyDescent="0.3">
      <c r="A68" s="3" t="s">
        <v>60</v>
      </c>
      <c r="B68" s="17"/>
      <c r="C68" s="17">
        <v>76.2</v>
      </c>
      <c r="D68" s="17"/>
      <c r="E68" s="17"/>
      <c r="F68" s="17"/>
      <c r="G68" s="17"/>
      <c r="H68" s="3"/>
      <c r="I68" s="17"/>
      <c r="J68" s="54"/>
    </row>
    <row r="69" spans="1:10" x14ac:dyDescent="0.3">
      <c r="A69" s="3" t="s">
        <v>61</v>
      </c>
      <c r="B69" s="17"/>
      <c r="C69" s="17"/>
      <c r="D69" s="17"/>
      <c r="E69" s="17"/>
      <c r="F69" s="17"/>
      <c r="G69" s="17"/>
      <c r="H69" s="3"/>
      <c r="I69" s="17"/>
      <c r="J69" s="54"/>
    </row>
    <row r="70" spans="1:10" x14ac:dyDescent="0.3">
      <c r="A70" s="43" t="s">
        <v>62</v>
      </c>
      <c r="B70" s="44"/>
      <c r="C70" s="44"/>
      <c r="D70" s="44"/>
      <c r="E70" s="44"/>
      <c r="F70" s="44"/>
      <c r="G70" s="44"/>
      <c r="H70" s="3"/>
      <c r="I70" s="17"/>
      <c r="J70" s="54"/>
    </row>
    <row r="71" spans="1:10" x14ac:dyDescent="0.3">
      <c r="A71" s="2" t="s">
        <v>63</v>
      </c>
      <c r="B71" s="17"/>
      <c r="C71" s="17"/>
      <c r="D71" s="17"/>
      <c r="E71" s="17"/>
      <c r="F71" s="17"/>
      <c r="G71" s="17"/>
      <c r="H71" s="3"/>
      <c r="I71" s="17"/>
      <c r="J71" s="54"/>
    </row>
    <row r="72" spans="1:10" x14ac:dyDescent="0.3">
      <c r="A72" s="17" t="s">
        <v>64</v>
      </c>
      <c r="B72" s="17"/>
      <c r="C72" s="17"/>
      <c r="D72" s="17"/>
      <c r="E72" s="17"/>
      <c r="F72" s="17"/>
      <c r="G72" s="17"/>
      <c r="H72" s="3"/>
      <c r="I72" s="17"/>
      <c r="J72" s="54"/>
    </row>
    <row r="73" spans="1:10" x14ac:dyDescent="0.3">
      <c r="A73" s="6"/>
      <c r="B73" s="6" t="e">
        <f>#REF!+1</f>
        <v>#REF!</v>
      </c>
      <c r="C73" s="6" t="e">
        <f t="shared" ref="C73:G73" si="1">B73+1</f>
        <v>#REF!</v>
      </c>
      <c r="D73" s="6" t="e">
        <f t="shared" si="1"/>
        <v>#REF!</v>
      </c>
      <c r="E73" s="6" t="e">
        <f t="shared" si="1"/>
        <v>#REF!</v>
      </c>
      <c r="F73" s="6" t="e">
        <f t="shared" si="1"/>
        <v>#REF!</v>
      </c>
      <c r="G73" s="6" t="e">
        <f t="shared" si="1"/>
        <v>#REF!</v>
      </c>
      <c r="H73" s="3"/>
      <c r="I73" s="17"/>
      <c r="J73" s="54"/>
    </row>
    <row r="74" spans="1:10" x14ac:dyDescent="0.3">
      <c r="A74" s="43" t="s">
        <v>65</v>
      </c>
      <c r="B74" s="44"/>
      <c r="C74" s="44">
        <v>139</v>
      </c>
      <c r="D74" s="44">
        <v>11.8</v>
      </c>
      <c r="E74" s="44"/>
      <c r="F74" s="44"/>
      <c r="G74" s="44"/>
      <c r="H74" s="3"/>
      <c r="I74" s="17"/>
      <c r="J74" s="54"/>
    </row>
    <row r="76" spans="1:10" x14ac:dyDescent="0.3">
      <c r="A76" s="6"/>
      <c r="B76" s="45">
        <v>2014</v>
      </c>
      <c r="C76" s="45">
        <v>2015</v>
      </c>
      <c r="D76" s="45">
        <v>2016</v>
      </c>
      <c r="E76" s="45">
        <v>2017</v>
      </c>
      <c r="F76" s="45">
        <v>2018</v>
      </c>
      <c r="G76" s="45">
        <v>2019</v>
      </c>
      <c r="H76" s="45">
        <v>2020</v>
      </c>
      <c r="I76" s="45">
        <v>2021</v>
      </c>
      <c r="J76" s="45">
        <v>2022</v>
      </c>
    </row>
    <row r="77" spans="1:10" x14ac:dyDescent="0.3">
      <c r="A77" s="6"/>
      <c r="B77" s="45"/>
      <c r="C77" s="45"/>
      <c r="D77" s="45"/>
      <c r="E77" s="45"/>
      <c r="F77" s="45"/>
      <c r="G77" s="45"/>
      <c r="H77" s="45"/>
      <c r="I77" s="45"/>
      <c r="J77" s="45"/>
    </row>
    <row r="78" spans="1:10" x14ac:dyDescent="0.3">
      <c r="A78" s="3" t="s">
        <v>66</v>
      </c>
      <c r="B78" s="17">
        <v>370</v>
      </c>
      <c r="C78" s="17">
        <v>339</v>
      </c>
      <c r="D78" s="17">
        <v>110</v>
      </c>
      <c r="E78" s="46">
        <v>305.7</v>
      </c>
      <c r="F78" s="46">
        <v>217</v>
      </c>
      <c r="G78" s="46">
        <v>169</v>
      </c>
      <c r="H78" s="46">
        <v>99</v>
      </c>
      <c r="I78" s="46"/>
      <c r="J78" s="46"/>
    </row>
    <row r="79" spans="1:10" x14ac:dyDescent="0.3">
      <c r="A79" s="3" t="s">
        <v>67</v>
      </c>
      <c r="B79" s="17">
        <v>12</v>
      </c>
      <c r="C79" s="17">
        <v>54</v>
      </c>
      <c r="D79" s="17">
        <v>156</v>
      </c>
      <c r="E79" s="46">
        <v>73.400000000000006</v>
      </c>
      <c r="F79" s="46">
        <v>27</v>
      </c>
      <c r="G79" s="46">
        <v>0</v>
      </c>
      <c r="H79" s="46">
        <v>0</v>
      </c>
      <c r="I79" s="46"/>
      <c r="J79" s="46"/>
    </row>
    <row r="80" spans="1:10" x14ac:dyDescent="0.3">
      <c r="A80" s="3" t="s">
        <v>68</v>
      </c>
      <c r="B80" s="17">
        <v>0</v>
      </c>
      <c r="C80" s="17">
        <v>0</v>
      </c>
      <c r="D80" s="17">
        <v>215</v>
      </c>
      <c r="E80" s="46">
        <v>124.6</v>
      </c>
      <c r="F80" s="46">
        <v>129</v>
      </c>
      <c r="G80" s="46">
        <v>129</v>
      </c>
      <c r="H80" s="46">
        <v>81</v>
      </c>
      <c r="I80" s="46"/>
      <c r="J80" s="46"/>
    </row>
    <row r="81" spans="1:10" x14ac:dyDescent="0.3">
      <c r="A81" s="3" t="s">
        <v>69</v>
      </c>
      <c r="B81" s="17">
        <v>44</v>
      </c>
      <c r="C81" s="17">
        <v>71</v>
      </c>
      <c r="D81" s="17">
        <v>245</v>
      </c>
      <c r="E81" s="46">
        <v>136.19999999999999</v>
      </c>
      <c r="F81" s="46">
        <v>113</v>
      </c>
      <c r="G81" s="46">
        <v>131</v>
      </c>
      <c r="H81" s="46">
        <v>177</v>
      </c>
      <c r="I81" s="46"/>
      <c r="J81" s="46"/>
    </row>
    <row r="84" spans="1:10" x14ac:dyDescent="0.3">
      <c r="A84" s="11"/>
      <c r="B84" s="12">
        <v>2014</v>
      </c>
      <c r="C84" s="12">
        <v>2015</v>
      </c>
      <c r="D84" s="12">
        <v>2016</v>
      </c>
      <c r="E84" s="12">
        <v>2017</v>
      </c>
      <c r="F84" s="12">
        <v>2018</v>
      </c>
      <c r="G84" s="12">
        <v>2019</v>
      </c>
      <c r="H84" s="12">
        <v>2020</v>
      </c>
      <c r="I84" s="12">
        <v>2021</v>
      </c>
      <c r="J84" s="58">
        <v>2022</v>
      </c>
    </row>
    <row r="85" spans="1:10" x14ac:dyDescent="0.3">
      <c r="A85" s="11" t="s">
        <v>70</v>
      </c>
      <c r="B85" s="12">
        <v>439</v>
      </c>
      <c r="C85" s="12">
        <v>888</v>
      </c>
      <c r="D85" s="12">
        <v>1466</v>
      </c>
      <c r="E85" s="15">
        <v>1703.4</v>
      </c>
      <c r="F85" s="12">
        <v>458</v>
      </c>
      <c r="G85" s="12">
        <v>650.29999999999995</v>
      </c>
      <c r="H85" s="12">
        <v>854.5</v>
      </c>
      <c r="I85" s="12">
        <v>633</v>
      </c>
      <c r="J85" s="58">
        <v>477</v>
      </c>
    </row>
    <row r="86" spans="1:10" x14ac:dyDescent="0.3">
      <c r="A86" s="11" t="s">
        <v>71</v>
      </c>
      <c r="B86" s="12">
        <v>219</v>
      </c>
      <c r="C86" s="12">
        <v>0</v>
      </c>
      <c r="D86" s="12">
        <v>23</v>
      </c>
      <c r="E86" s="15">
        <v>58</v>
      </c>
      <c r="F86" s="12">
        <v>55</v>
      </c>
      <c r="G86" s="12">
        <v>196</v>
      </c>
      <c r="H86" s="12">
        <v>316</v>
      </c>
      <c r="I86" s="12">
        <v>279</v>
      </c>
      <c r="J86" s="58">
        <v>208</v>
      </c>
    </row>
    <row r="87" spans="1:10" x14ac:dyDescent="0.3">
      <c r="A87" s="3" t="s">
        <v>76</v>
      </c>
      <c r="B87" s="17">
        <v>24</v>
      </c>
      <c r="C87" s="17">
        <v>64</v>
      </c>
      <c r="D87" s="17">
        <v>37</v>
      </c>
      <c r="E87" s="46">
        <v>23.5</v>
      </c>
      <c r="F87" s="46">
        <v>53</v>
      </c>
      <c r="G87" s="46">
        <v>99</v>
      </c>
      <c r="H87" s="46">
        <v>126</v>
      </c>
      <c r="I87" s="17">
        <v>116</v>
      </c>
      <c r="J87" s="58">
        <v>134</v>
      </c>
    </row>
    <row r="88" spans="1:10" x14ac:dyDescent="0.3">
      <c r="A88" s="3" t="s">
        <v>69</v>
      </c>
      <c r="B88" s="17">
        <v>44</v>
      </c>
      <c r="C88" s="17">
        <v>71</v>
      </c>
      <c r="D88" s="17">
        <v>245</v>
      </c>
      <c r="E88" s="46">
        <v>136.19999999999999</v>
      </c>
      <c r="F88" s="46">
        <v>113</v>
      </c>
      <c r="G88" s="46">
        <v>131.4</v>
      </c>
      <c r="H88" s="46">
        <v>177</v>
      </c>
      <c r="I88" s="12">
        <v>50</v>
      </c>
      <c r="J88" s="58">
        <v>109</v>
      </c>
    </row>
    <row r="89" spans="1:10" x14ac:dyDescent="0.3">
      <c r="A89" s="3" t="s">
        <v>116</v>
      </c>
      <c r="B89" s="12">
        <v>42</v>
      </c>
      <c r="C89" s="12">
        <v>44</v>
      </c>
      <c r="D89" s="12">
        <v>75</v>
      </c>
      <c r="E89" s="15">
        <v>72</v>
      </c>
      <c r="F89" s="15">
        <v>69</v>
      </c>
      <c r="G89" s="15">
        <v>101</v>
      </c>
      <c r="H89" s="15">
        <v>132</v>
      </c>
      <c r="I89" s="12">
        <v>189</v>
      </c>
      <c r="J89" s="58">
        <v>110</v>
      </c>
    </row>
    <row r="90" spans="1:10" x14ac:dyDescent="0.3">
      <c r="A90" s="11"/>
      <c r="B90" s="12"/>
      <c r="C90" s="12"/>
      <c r="D90" s="12"/>
      <c r="E90" s="15"/>
      <c r="F90" s="12"/>
      <c r="G90" s="12"/>
      <c r="H90" s="12"/>
      <c r="I90" s="12"/>
      <c r="J90" s="58"/>
    </row>
    <row r="91" spans="1:10" x14ac:dyDescent="0.3">
      <c r="A91" s="11"/>
      <c r="B91" s="12">
        <v>2014</v>
      </c>
      <c r="C91" s="12">
        <v>2015</v>
      </c>
      <c r="D91" s="12">
        <v>2016</v>
      </c>
      <c r="E91" s="12">
        <v>2017</v>
      </c>
      <c r="F91" s="12">
        <v>2018</v>
      </c>
      <c r="G91" s="12">
        <v>2019</v>
      </c>
      <c r="H91" s="12">
        <v>2020</v>
      </c>
      <c r="I91" s="12">
        <v>2021</v>
      </c>
      <c r="J91" s="58">
        <v>2022</v>
      </c>
    </row>
    <row r="92" spans="1:10" x14ac:dyDescent="0.3">
      <c r="A92" s="3" t="s">
        <v>66</v>
      </c>
      <c r="B92" s="17">
        <v>370</v>
      </c>
      <c r="C92" s="17">
        <v>339</v>
      </c>
      <c r="D92" s="17">
        <v>110</v>
      </c>
      <c r="E92" s="46">
        <v>305.7</v>
      </c>
      <c r="F92" s="46">
        <v>217</v>
      </c>
      <c r="G92" s="46">
        <v>169</v>
      </c>
      <c r="H92" s="46">
        <v>99</v>
      </c>
      <c r="I92" s="15">
        <v>131</v>
      </c>
      <c r="J92" s="59">
        <v>0</v>
      </c>
    </row>
    <row r="93" spans="1:10" x14ac:dyDescent="0.3">
      <c r="A93" s="3" t="s">
        <v>72</v>
      </c>
      <c r="B93" s="17">
        <v>7</v>
      </c>
      <c r="C93" s="17">
        <v>70</v>
      </c>
      <c r="D93" s="17">
        <v>93</v>
      </c>
      <c r="E93" s="46">
        <v>114.3</v>
      </c>
      <c r="F93" s="46">
        <v>55</v>
      </c>
      <c r="G93" s="46">
        <v>28</v>
      </c>
      <c r="H93" s="46">
        <v>16</v>
      </c>
      <c r="I93" s="17">
        <v>63</v>
      </c>
      <c r="J93" s="69">
        <v>34</v>
      </c>
    </row>
    <row r="94" spans="1:10" x14ac:dyDescent="0.3">
      <c r="A94" s="3" t="s">
        <v>73</v>
      </c>
      <c r="B94" s="17">
        <v>149</v>
      </c>
      <c r="C94" s="17">
        <v>65</v>
      </c>
      <c r="D94" s="17">
        <v>57</v>
      </c>
      <c r="E94" s="46">
        <v>82.6</v>
      </c>
      <c r="F94" s="46">
        <v>86</v>
      </c>
      <c r="G94" s="46">
        <v>157</v>
      </c>
      <c r="H94" s="46">
        <v>126</v>
      </c>
      <c r="I94" s="17">
        <v>61</v>
      </c>
      <c r="J94" s="69">
        <v>17</v>
      </c>
    </row>
    <row r="95" spans="1:10" x14ac:dyDescent="0.3">
      <c r="A95" s="3" t="s">
        <v>74</v>
      </c>
      <c r="B95" s="46">
        <f>1845.2/11.9</f>
        <v>155.05882352941177</v>
      </c>
      <c r="C95" s="46">
        <f>863.3/21.5</f>
        <v>40.153488372093022</v>
      </c>
      <c r="D95" s="46">
        <f>110.7</f>
        <v>110.7</v>
      </c>
      <c r="E95" s="46">
        <f>143.2</f>
        <v>143.19999999999999</v>
      </c>
      <c r="F95" s="46">
        <v>119</v>
      </c>
      <c r="G95" s="46">
        <v>40</v>
      </c>
      <c r="H95" s="46">
        <v>85</v>
      </c>
      <c r="I95" s="17">
        <v>76</v>
      </c>
      <c r="J95" s="69">
        <v>60</v>
      </c>
    </row>
    <row r="96" spans="1:10" ht="15" customHeight="1" x14ac:dyDescent="0.3">
      <c r="A96" s="3" t="s">
        <v>75</v>
      </c>
      <c r="B96" s="46">
        <f>435/111.9</f>
        <v>3.8873994638069704</v>
      </c>
      <c r="C96" s="46">
        <f>(32.8+34.5)/21.7</f>
        <v>3.1013824884792625</v>
      </c>
      <c r="D96" s="46">
        <f>(489.1+101.4)/25.5</f>
        <v>23.156862745098039</v>
      </c>
      <c r="E96" s="46">
        <f>(3175.2+457.4)/26.6</f>
        <v>136.56390977443607</v>
      </c>
      <c r="F96" s="46">
        <v>87</v>
      </c>
      <c r="G96" s="46">
        <v>3.5</v>
      </c>
      <c r="H96" s="46">
        <v>99</v>
      </c>
      <c r="I96" s="17">
        <v>91</v>
      </c>
      <c r="J96" s="58">
        <v>0</v>
      </c>
    </row>
    <row r="100" spans="1:10" x14ac:dyDescent="0.3">
      <c r="A100" s="3"/>
      <c r="B100" s="12"/>
      <c r="C100" s="12"/>
      <c r="D100" s="12"/>
      <c r="E100" s="15"/>
      <c r="F100" s="15"/>
      <c r="G100" s="15"/>
      <c r="H100" s="15"/>
      <c r="I100" s="12"/>
      <c r="J100" s="58"/>
    </row>
    <row r="101" spans="1:10" x14ac:dyDescent="0.3">
      <c r="A101" s="3"/>
      <c r="B101" s="12"/>
      <c r="C101" s="12"/>
      <c r="D101" s="12"/>
      <c r="E101" s="15"/>
      <c r="F101" s="15"/>
      <c r="G101" s="15"/>
      <c r="H101" s="15"/>
      <c r="I101" s="12"/>
      <c r="J101" s="58"/>
    </row>
    <row r="102" spans="1:10" x14ac:dyDescent="0.3">
      <c r="A102" s="3"/>
      <c r="B102" s="12"/>
      <c r="C102" s="12"/>
      <c r="D102" s="12"/>
      <c r="E102" s="15"/>
      <c r="F102" s="15"/>
      <c r="G102" s="15"/>
      <c r="H102" s="15"/>
      <c r="I102" s="12"/>
      <c r="J102" s="58"/>
    </row>
    <row r="103" spans="1:10" x14ac:dyDescent="0.3">
      <c r="A103" s="3"/>
      <c r="B103" s="12"/>
      <c r="C103" s="12"/>
      <c r="D103" s="12"/>
      <c r="E103" s="15"/>
      <c r="F103" s="15"/>
      <c r="G103" s="15"/>
      <c r="H103" s="15"/>
      <c r="I103" s="12"/>
      <c r="J103" s="58"/>
    </row>
    <row r="104" spans="1:10" x14ac:dyDescent="0.3">
      <c r="A104" s="3"/>
      <c r="B104" s="12"/>
      <c r="C104" s="12"/>
      <c r="D104" s="12"/>
      <c r="E104" s="15"/>
      <c r="F104" s="15"/>
      <c r="G104" s="15"/>
      <c r="H104" s="15"/>
      <c r="I104" s="12"/>
      <c r="J104" s="58"/>
    </row>
    <row r="105" spans="1:10" x14ac:dyDescent="0.3">
      <c r="A105" s="3"/>
      <c r="B105" s="12"/>
      <c r="C105" s="12"/>
      <c r="D105" s="12"/>
      <c r="E105" s="15"/>
      <c r="F105" s="15"/>
      <c r="G105" s="15"/>
      <c r="H105" s="15"/>
      <c r="I105" s="12"/>
      <c r="J105" s="58"/>
    </row>
    <row r="106" spans="1:10" x14ac:dyDescent="0.3">
      <c r="A106" s="3"/>
      <c r="B106" s="46"/>
      <c r="C106" s="46"/>
      <c r="D106" s="46"/>
      <c r="E106" s="46"/>
      <c r="F106" s="46"/>
      <c r="G106" s="46"/>
      <c r="H106" s="46"/>
      <c r="I106" s="17"/>
      <c r="J106" s="54"/>
    </row>
    <row r="107" spans="1:10" x14ac:dyDescent="0.3">
      <c r="A107" s="3" t="s">
        <v>77</v>
      </c>
      <c r="B107" s="17">
        <v>3</v>
      </c>
      <c r="C107" s="17">
        <v>56</v>
      </c>
      <c r="D107" s="17">
        <v>8</v>
      </c>
      <c r="E107" s="46">
        <v>1.7</v>
      </c>
      <c r="F107" s="46">
        <v>1</v>
      </c>
      <c r="G107" s="46">
        <v>2.5</v>
      </c>
      <c r="H107" s="46">
        <v>1</v>
      </c>
      <c r="I107" s="17"/>
      <c r="J107" s="54"/>
    </row>
    <row r="108" spans="1:10" x14ac:dyDescent="0.3">
      <c r="A108" s="3" t="s">
        <v>76</v>
      </c>
      <c r="B108" s="17">
        <v>24</v>
      </c>
      <c r="C108" s="17">
        <v>64</v>
      </c>
      <c r="D108" s="17">
        <v>37</v>
      </c>
      <c r="E108" s="46">
        <v>23.5</v>
      </c>
      <c r="F108" s="46">
        <v>53</v>
      </c>
      <c r="G108" s="46">
        <v>99</v>
      </c>
      <c r="H108" s="46">
        <v>126</v>
      </c>
      <c r="I108" s="17"/>
      <c r="J108" s="54"/>
    </row>
    <row r="109" spans="1:10" x14ac:dyDescent="0.3">
      <c r="A109" s="3" t="s">
        <v>78</v>
      </c>
      <c r="B109" s="17">
        <v>81</v>
      </c>
      <c r="C109" s="17">
        <v>25</v>
      </c>
      <c r="D109" s="17">
        <v>93</v>
      </c>
      <c r="E109" s="46">
        <v>61.3</v>
      </c>
      <c r="F109" s="46">
        <v>58</v>
      </c>
      <c r="G109" s="46">
        <v>32</v>
      </c>
      <c r="H109" s="46">
        <v>37</v>
      </c>
      <c r="I109" s="17"/>
      <c r="J109" s="54"/>
    </row>
    <row r="110" spans="1:10" x14ac:dyDescent="0.3">
      <c r="A110" s="3"/>
      <c r="B110" s="3"/>
      <c r="C110" s="3"/>
      <c r="D110" s="3"/>
      <c r="E110" s="3"/>
      <c r="F110" s="3"/>
      <c r="G110" s="3"/>
      <c r="H110" s="3"/>
      <c r="I110" s="17"/>
      <c r="J110" s="54"/>
    </row>
    <row r="111" spans="1:10" x14ac:dyDescent="0.3">
      <c r="A111" s="3"/>
      <c r="B111" s="3"/>
      <c r="C111" s="3"/>
      <c r="D111" s="3"/>
      <c r="E111" s="3"/>
      <c r="F111" s="3"/>
      <c r="G111" s="3"/>
      <c r="H111" s="3"/>
      <c r="I111" s="17"/>
      <c r="J111" s="54"/>
    </row>
    <row r="113" spans="1:9" x14ac:dyDescent="0.3">
      <c r="A113" s="3"/>
      <c r="B113" s="3">
        <v>2015</v>
      </c>
      <c r="C113" s="3">
        <v>2016</v>
      </c>
      <c r="D113" s="3">
        <v>2017</v>
      </c>
      <c r="E113" s="3">
        <v>2018</v>
      </c>
      <c r="F113" s="3">
        <v>2019</v>
      </c>
      <c r="G113" s="3">
        <v>2020</v>
      </c>
      <c r="H113" s="3">
        <v>2021</v>
      </c>
      <c r="I113" s="3">
        <v>2022</v>
      </c>
    </row>
    <row r="114" spans="1:9" x14ac:dyDescent="0.3">
      <c r="A114" s="3" t="s">
        <v>79</v>
      </c>
      <c r="B114" s="3">
        <v>10</v>
      </c>
      <c r="C114" s="3">
        <v>79</v>
      </c>
      <c r="D114" s="4">
        <v>118.2</v>
      </c>
      <c r="E114" s="4">
        <v>136</v>
      </c>
      <c r="F114" s="4">
        <v>294</v>
      </c>
      <c r="G114" s="4">
        <v>250</v>
      </c>
      <c r="H114" s="4">
        <v>351</v>
      </c>
      <c r="I114" s="81">
        <v>362</v>
      </c>
    </row>
    <row r="115" spans="1:9" x14ac:dyDescent="0.3">
      <c r="A115" s="3" t="s">
        <v>80</v>
      </c>
      <c r="B115" s="3">
        <v>51</v>
      </c>
      <c r="C115" s="3">
        <v>76</v>
      </c>
      <c r="D115" s="4">
        <v>36.6</v>
      </c>
      <c r="E115" s="4">
        <v>36</v>
      </c>
      <c r="F115" s="4">
        <v>36</v>
      </c>
      <c r="G115" s="4">
        <v>69</v>
      </c>
      <c r="H115" s="4">
        <v>110</v>
      </c>
      <c r="I115" s="81">
        <v>180</v>
      </c>
    </row>
    <row r="116" spans="1:9" x14ac:dyDescent="0.3">
      <c r="A116" s="3" t="s">
        <v>81</v>
      </c>
      <c r="B116" s="3">
        <v>9</v>
      </c>
      <c r="C116" s="3">
        <v>45</v>
      </c>
      <c r="D116" s="4">
        <v>48</v>
      </c>
      <c r="E116" s="4">
        <v>24</v>
      </c>
      <c r="F116" s="4">
        <v>83</v>
      </c>
      <c r="G116" s="4">
        <v>94</v>
      </c>
      <c r="H116" s="4">
        <v>55</v>
      </c>
      <c r="I116" s="81">
        <v>48</v>
      </c>
    </row>
    <row r="117" spans="1:9" x14ac:dyDescent="0.3">
      <c r="A117" s="3" t="s">
        <v>82</v>
      </c>
      <c r="B117" s="3">
        <v>263</v>
      </c>
      <c r="C117" s="3">
        <v>178</v>
      </c>
      <c r="D117" s="4">
        <v>130</v>
      </c>
      <c r="E117" s="4">
        <v>149</v>
      </c>
      <c r="F117" s="4">
        <v>128</v>
      </c>
      <c r="G117" s="4">
        <v>150</v>
      </c>
      <c r="H117" s="4">
        <v>140</v>
      </c>
      <c r="I117" s="81">
        <v>350</v>
      </c>
    </row>
    <row r="118" spans="1:9" x14ac:dyDescent="0.3">
      <c r="A118" s="3" t="s">
        <v>83</v>
      </c>
      <c r="B118" s="3"/>
      <c r="C118" s="3"/>
      <c r="D118" s="4"/>
      <c r="E118" s="4">
        <v>1</v>
      </c>
      <c r="F118" s="4">
        <v>23</v>
      </c>
      <c r="G118" s="4">
        <v>48</v>
      </c>
      <c r="H118" s="4">
        <v>105</v>
      </c>
      <c r="I118" s="81">
        <v>41</v>
      </c>
    </row>
    <row r="119" spans="1:9" x14ac:dyDescent="0.3">
      <c r="A119" s="23"/>
      <c r="B119" s="23"/>
      <c r="C119" s="23"/>
      <c r="D119" s="23"/>
    </row>
    <row r="120" spans="1:9" x14ac:dyDescent="0.3">
      <c r="A120" s="47" t="s">
        <v>84</v>
      </c>
      <c r="B120" s="47"/>
      <c r="C120" s="47"/>
      <c r="D120" s="47"/>
      <c r="E120" s="47"/>
      <c r="F120" s="47">
        <v>76</v>
      </c>
    </row>
    <row r="121" spans="1:9" x14ac:dyDescent="0.3">
      <c r="A121" s="48" t="s">
        <v>85</v>
      </c>
      <c r="B121" s="49">
        <v>239</v>
      </c>
      <c r="C121" s="49">
        <v>141</v>
      </c>
      <c r="D121" s="49">
        <v>84</v>
      </c>
      <c r="E121" s="49">
        <v>1</v>
      </c>
      <c r="F121" s="49">
        <v>0</v>
      </c>
    </row>
    <row r="122" spans="1:9" x14ac:dyDescent="0.3">
      <c r="A122" s="48" t="s">
        <v>86</v>
      </c>
      <c r="B122" s="49">
        <v>467</v>
      </c>
      <c r="C122" s="49">
        <v>144</v>
      </c>
      <c r="D122" s="49">
        <v>54</v>
      </c>
      <c r="E122" s="49">
        <v>0</v>
      </c>
      <c r="F122" s="49">
        <v>0</v>
      </c>
    </row>
    <row r="123" spans="1:9" x14ac:dyDescent="0.3">
      <c r="B123">
        <v>2013</v>
      </c>
      <c r="C123">
        <v>2014</v>
      </c>
      <c r="D123">
        <v>2015</v>
      </c>
      <c r="E123">
        <v>2016</v>
      </c>
    </row>
    <row r="124" spans="1:9" x14ac:dyDescent="0.3">
      <c r="A124" t="s">
        <v>55</v>
      </c>
      <c r="B124">
        <v>41.4</v>
      </c>
      <c r="C124">
        <v>161.4</v>
      </c>
    </row>
    <row r="125" spans="1:9" x14ac:dyDescent="0.3">
      <c r="A125" t="s">
        <v>56</v>
      </c>
      <c r="B125">
        <v>503.3</v>
      </c>
    </row>
    <row r="126" spans="1:9" x14ac:dyDescent="0.3">
      <c r="A126" t="s">
        <v>57</v>
      </c>
      <c r="B126">
        <v>210</v>
      </c>
    </row>
    <row r="127" spans="1:9" x14ac:dyDescent="0.3">
      <c r="A127" t="s">
        <v>58</v>
      </c>
      <c r="B127">
        <v>161.5</v>
      </c>
    </row>
    <row r="128" spans="1:9" x14ac:dyDescent="0.3">
      <c r="A128" t="s">
        <v>59</v>
      </c>
    </row>
    <row r="129" spans="1:6" x14ac:dyDescent="0.3">
      <c r="A129" t="s">
        <v>60</v>
      </c>
      <c r="D129">
        <v>76.2</v>
      </c>
    </row>
    <row r="130" spans="1:6" x14ac:dyDescent="0.3">
      <c r="A130" t="s">
        <v>61</v>
      </c>
    </row>
    <row r="131" spans="1:6" x14ac:dyDescent="0.3">
      <c r="A131" t="s">
        <v>62</v>
      </c>
    </row>
    <row r="132" spans="1:6" x14ac:dyDescent="0.3">
      <c r="A132" t="s">
        <v>63</v>
      </c>
    </row>
    <row r="133" spans="1:6" x14ac:dyDescent="0.3">
      <c r="A133" t="s">
        <v>64</v>
      </c>
    </row>
    <row r="136" spans="1:6" x14ac:dyDescent="0.3">
      <c r="A136">
        <v>2011</v>
      </c>
    </row>
    <row r="137" spans="1:6" x14ac:dyDescent="0.3">
      <c r="A137">
        <v>2012</v>
      </c>
    </row>
    <row r="138" spans="1:6" x14ac:dyDescent="0.3">
      <c r="A138">
        <v>2013</v>
      </c>
    </row>
    <row r="139" spans="1:6" x14ac:dyDescent="0.3">
      <c r="A139">
        <v>2014</v>
      </c>
    </row>
    <row r="140" spans="1:6" x14ac:dyDescent="0.3">
      <c r="A140">
        <v>2015</v>
      </c>
    </row>
    <row r="141" spans="1:6" x14ac:dyDescent="0.3">
      <c r="A141">
        <v>2016</v>
      </c>
    </row>
    <row r="142" spans="1:6" x14ac:dyDescent="0.3">
      <c r="A142">
        <v>2017</v>
      </c>
    </row>
    <row r="143" spans="1:6" x14ac:dyDescent="0.3">
      <c r="B143" t="e">
        <f>#REF!+1</f>
        <v>#REF!</v>
      </c>
      <c r="C143" t="e">
        <f t="shared" ref="C143:F143" si="2">B143+1</f>
        <v>#REF!</v>
      </c>
      <c r="D143" t="e">
        <f t="shared" si="2"/>
        <v>#REF!</v>
      </c>
      <c r="E143" t="e">
        <f t="shared" si="2"/>
        <v>#REF!</v>
      </c>
      <c r="F143" t="e">
        <f t="shared" si="2"/>
        <v>#REF!</v>
      </c>
    </row>
    <row r="144" spans="1:6" x14ac:dyDescent="0.3">
      <c r="A144" t="s">
        <v>87</v>
      </c>
      <c r="D144" s="50">
        <f>9.1*1.08</f>
        <v>9.8279999999999994</v>
      </c>
      <c r="E144" s="50">
        <f>20.8*1.12+49.1*1.1</f>
        <v>77.306000000000012</v>
      </c>
      <c r="F144" s="50">
        <f>18*1.06</f>
        <v>19.080000000000002</v>
      </c>
    </row>
    <row r="145" spans="1:6" x14ac:dyDescent="0.3">
      <c r="A145" t="s">
        <v>88</v>
      </c>
      <c r="B145" s="51">
        <v>0</v>
      </c>
      <c r="C145" s="51">
        <f>42+32.4*1.34</f>
        <v>85.415999999999997</v>
      </c>
      <c r="D145" s="51">
        <v>59.8</v>
      </c>
      <c r="E145" s="51">
        <v>69.2</v>
      </c>
      <c r="F145" s="51">
        <f>50+19.2*1.08</f>
        <v>70.736000000000004</v>
      </c>
    </row>
    <row r="146" spans="1:6" x14ac:dyDescent="0.3">
      <c r="A146" t="s">
        <v>89</v>
      </c>
      <c r="B146" s="51">
        <f>101.4*1.36</f>
        <v>137.90400000000002</v>
      </c>
      <c r="C146" s="51">
        <f>167.6*1.37</f>
        <v>229.61200000000002</v>
      </c>
      <c r="D146" s="51">
        <f>133.8*1.13</f>
        <v>151.19399999999999</v>
      </c>
      <c r="E146" s="51">
        <f>32.1*1.07</f>
        <v>34.347000000000001</v>
      </c>
      <c r="F146" s="51">
        <f>27.7*1.11</f>
        <v>30.747000000000003</v>
      </c>
    </row>
    <row r="147" spans="1:6" x14ac:dyDescent="0.3">
      <c r="A147" t="s">
        <v>90</v>
      </c>
      <c r="B147" s="51"/>
      <c r="C147" s="51"/>
      <c r="D147" s="51">
        <f>123.4*1.08</f>
        <v>133.27200000000002</v>
      </c>
      <c r="E147" s="51"/>
      <c r="F147" s="51"/>
    </row>
    <row r="148" spans="1:6" x14ac:dyDescent="0.3">
      <c r="A148" t="s">
        <v>91</v>
      </c>
      <c r="B148" s="51">
        <f>48*1.33</f>
        <v>63.84</v>
      </c>
      <c r="C148" s="51">
        <v>45.6</v>
      </c>
      <c r="D148" s="51">
        <f>73.8*1.1</f>
        <v>81.180000000000007</v>
      </c>
      <c r="E148" s="51">
        <v>0</v>
      </c>
      <c r="F148" s="51">
        <f>14*1.12</f>
        <v>15.680000000000001</v>
      </c>
    </row>
    <row r="154" spans="1:6" x14ac:dyDescent="0.3">
      <c r="B154" s="16" t="s">
        <v>92</v>
      </c>
      <c r="C154" s="16" t="s">
        <v>93</v>
      </c>
      <c r="D154" s="16" t="s">
        <v>94</v>
      </c>
      <c r="E154" s="16" t="s">
        <v>95</v>
      </c>
      <c r="F154" s="16">
        <v>2018</v>
      </c>
    </row>
    <row r="155" spans="1:6" x14ac:dyDescent="0.3">
      <c r="A155" t="s">
        <v>96</v>
      </c>
      <c r="B155">
        <v>3533.8</v>
      </c>
      <c r="C155">
        <v>3244.5</v>
      </c>
      <c r="D155">
        <v>2852.5</v>
      </c>
      <c r="E155">
        <v>3213.8</v>
      </c>
      <c r="F155">
        <v>2749.4</v>
      </c>
    </row>
    <row r="156" spans="1:6" x14ac:dyDescent="0.3">
      <c r="A156" t="s">
        <v>97</v>
      </c>
      <c r="B156">
        <v>3715</v>
      </c>
      <c r="C156">
        <v>3249</v>
      </c>
      <c r="D156">
        <v>2799.2</v>
      </c>
      <c r="E156">
        <v>2900.9</v>
      </c>
      <c r="F156">
        <v>2972.9</v>
      </c>
    </row>
    <row r="157" spans="1:6" x14ac:dyDescent="0.3">
      <c r="A157" t="s">
        <v>98</v>
      </c>
      <c r="B157">
        <v>3192.6</v>
      </c>
      <c r="C157">
        <v>3162.3</v>
      </c>
      <c r="D157">
        <v>3122.2</v>
      </c>
      <c r="E157">
        <v>2907.5</v>
      </c>
      <c r="F157">
        <v>3154.3</v>
      </c>
    </row>
    <row r="161" spans="1:8" x14ac:dyDescent="0.3">
      <c r="B161" t="s">
        <v>92</v>
      </c>
      <c r="C161" t="s">
        <v>93</v>
      </c>
      <c r="D161" t="s">
        <v>94</v>
      </c>
      <c r="E161" t="s">
        <v>95</v>
      </c>
      <c r="F161">
        <v>2018</v>
      </c>
      <c r="G161">
        <v>2019</v>
      </c>
      <c r="H161">
        <v>2020</v>
      </c>
    </row>
    <row r="162" spans="1:8" x14ac:dyDescent="0.3">
      <c r="A162" t="s">
        <v>0</v>
      </c>
      <c r="B162">
        <v>1943.5</v>
      </c>
      <c r="C162">
        <v>1734.7</v>
      </c>
      <c r="D162">
        <v>1203.3</v>
      </c>
      <c r="E162">
        <v>1499</v>
      </c>
      <c r="F162">
        <v>1750</v>
      </c>
      <c r="G162">
        <v>1701</v>
      </c>
      <c r="H162">
        <v>1971</v>
      </c>
    </row>
    <row r="163" spans="1:8" x14ac:dyDescent="0.3">
      <c r="A163" t="s">
        <v>99</v>
      </c>
      <c r="B163">
        <v>1581.6</v>
      </c>
      <c r="C163">
        <v>1344.2</v>
      </c>
      <c r="D163">
        <v>1402.9</v>
      </c>
      <c r="E163">
        <v>1120.9000000000001</v>
      </c>
      <c r="F163">
        <v>1086</v>
      </c>
      <c r="G163">
        <v>1530</v>
      </c>
      <c r="H163">
        <v>2583</v>
      </c>
    </row>
    <row r="164" spans="1:8" x14ac:dyDescent="0.3">
      <c r="A164" t="s">
        <v>2</v>
      </c>
      <c r="B164">
        <v>189.9</v>
      </c>
      <c r="C164">
        <v>170.1</v>
      </c>
      <c r="D164">
        <v>193</v>
      </c>
      <c r="E164">
        <v>281</v>
      </c>
      <c r="F164">
        <v>138</v>
      </c>
      <c r="G164">
        <v>233</v>
      </c>
      <c r="H164">
        <v>476</v>
      </c>
    </row>
    <row r="167" spans="1:8" x14ac:dyDescent="0.3">
      <c r="B167" t="s">
        <v>92</v>
      </c>
      <c r="C167" t="s">
        <v>93</v>
      </c>
      <c r="D167" t="s">
        <v>94</v>
      </c>
      <c r="E167" t="s">
        <v>95</v>
      </c>
      <c r="F167">
        <v>2018</v>
      </c>
      <c r="G167">
        <v>2019</v>
      </c>
      <c r="H167">
        <v>2020</v>
      </c>
    </row>
    <row r="168" spans="1:8" x14ac:dyDescent="0.3">
      <c r="A168" t="s">
        <v>100</v>
      </c>
      <c r="B168">
        <v>42</v>
      </c>
      <c r="C168">
        <v>74</v>
      </c>
      <c r="D168">
        <v>84</v>
      </c>
      <c r="E168">
        <v>85</v>
      </c>
      <c r="F168">
        <v>91</v>
      </c>
      <c r="G168">
        <v>80</v>
      </c>
      <c r="H168">
        <v>82</v>
      </c>
    </row>
    <row r="169" spans="1:8" x14ac:dyDescent="0.3">
      <c r="A169" t="s">
        <v>101</v>
      </c>
      <c r="B169">
        <v>23</v>
      </c>
      <c r="C169">
        <v>41</v>
      </c>
      <c r="D169">
        <v>53</v>
      </c>
      <c r="E169">
        <v>52</v>
      </c>
      <c r="F169">
        <v>48</v>
      </c>
      <c r="G169">
        <v>51</v>
      </c>
      <c r="H169">
        <v>51</v>
      </c>
    </row>
    <row r="171" spans="1:8" x14ac:dyDescent="0.3">
      <c r="B171" t="s">
        <v>92</v>
      </c>
      <c r="C171" t="s">
        <v>93</v>
      </c>
      <c r="D171" t="s">
        <v>94</v>
      </c>
      <c r="E171" t="s">
        <v>95</v>
      </c>
      <c r="F171" t="s">
        <v>102</v>
      </c>
      <c r="G171">
        <v>2019</v>
      </c>
      <c r="H171">
        <v>2020</v>
      </c>
    </row>
    <row r="172" spans="1:8" x14ac:dyDescent="0.3">
      <c r="A172" t="s">
        <v>103</v>
      </c>
      <c r="B172">
        <v>15</v>
      </c>
      <c r="C172">
        <v>27</v>
      </c>
      <c r="D172">
        <v>30</v>
      </c>
      <c r="E172">
        <v>36</v>
      </c>
      <c r="F172">
        <v>40</v>
      </c>
      <c r="G172">
        <v>42</v>
      </c>
      <c r="H172">
        <v>44</v>
      </c>
    </row>
    <row r="173" spans="1:8" x14ac:dyDescent="0.3">
      <c r="A173" t="s">
        <v>104</v>
      </c>
      <c r="B173">
        <v>31</v>
      </c>
      <c r="C173">
        <v>58</v>
      </c>
      <c r="D173">
        <v>73</v>
      </c>
      <c r="E173">
        <v>74</v>
      </c>
      <c r="F173">
        <v>61</v>
      </c>
      <c r="G173">
        <v>63</v>
      </c>
      <c r="H173">
        <v>60</v>
      </c>
    </row>
    <row r="175" spans="1:8" x14ac:dyDescent="0.3">
      <c r="B175" t="s">
        <v>92</v>
      </c>
      <c r="C175" t="s">
        <v>93</v>
      </c>
      <c r="D175" t="s">
        <v>94</v>
      </c>
      <c r="E175" t="s">
        <v>95</v>
      </c>
    </row>
    <row r="176" spans="1:8" x14ac:dyDescent="0.3">
      <c r="A176" t="s">
        <v>105</v>
      </c>
      <c r="B176">
        <v>190</v>
      </c>
      <c r="C176">
        <v>170</v>
      </c>
      <c r="D176">
        <v>193</v>
      </c>
      <c r="E176">
        <v>281</v>
      </c>
    </row>
    <row r="177" spans="1:5" x14ac:dyDescent="0.3">
      <c r="A177" t="s">
        <v>106</v>
      </c>
      <c r="B177">
        <v>940</v>
      </c>
      <c r="C177">
        <v>996</v>
      </c>
      <c r="D177">
        <v>859</v>
      </c>
      <c r="E177">
        <v>842</v>
      </c>
    </row>
    <row r="178" spans="1:5" x14ac:dyDescent="0.3">
      <c r="A178" t="s">
        <v>107</v>
      </c>
      <c r="B178">
        <v>524</v>
      </c>
      <c r="C178">
        <v>292</v>
      </c>
      <c r="D178">
        <v>314</v>
      </c>
      <c r="E178">
        <v>258</v>
      </c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9"/>
  <sheetViews>
    <sheetView topLeftCell="A109" workbookViewId="0">
      <selection activeCell="E126" sqref="E126"/>
    </sheetView>
  </sheetViews>
  <sheetFormatPr defaultRowHeight="18.75" x14ac:dyDescent="0.3"/>
  <cols>
    <col min="1" max="1" width="23.21875" style="84" customWidth="1"/>
    <col min="2" max="2" width="8.88671875" style="90" customWidth="1"/>
    <col min="3" max="6" width="8.88671875" style="84"/>
    <col min="7" max="8" width="8.88671875" style="107"/>
    <col min="9" max="9" width="8.88671875" style="84"/>
  </cols>
  <sheetData>
    <row r="1" spans="1:8" x14ac:dyDescent="0.3">
      <c r="A1" s="84" t="s">
        <v>118</v>
      </c>
    </row>
    <row r="2" spans="1:8" x14ac:dyDescent="0.3">
      <c r="A2" s="80"/>
      <c r="B2" s="91" t="s">
        <v>133</v>
      </c>
      <c r="C2" s="110">
        <v>2022</v>
      </c>
      <c r="D2" s="110">
        <f>C2-1</f>
        <v>2021</v>
      </c>
      <c r="E2" s="110">
        <f t="shared" ref="E2:H2" si="0">D2-1</f>
        <v>2020</v>
      </c>
      <c r="F2" s="110">
        <f t="shared" si="0"/>
        <v>2019</v>
      </c>
      <c r="G2" s="111">
        <f t="shared" si="0"/>
        <v>2018</v>
      </c>
      <c r="H2" s="111">
        <f t="shared" si="0"/>
        <v>2017</v>
      </c>
    </row>
    <row r="3" spans="1:8" x14ac:dyDescent="0.3">
      <c r="A3" s="80" t="s">
        <v>36</v>
      </c>
      <c r="B3" s="91">
        <f t="shared" ref="B3:B31" si="1">SUM(C3:H3)</f>
        <v>60.599999999999994</v>
      </c>
      <c r="C3" s="80">
        <v>15.4</v>
      </c>
      <c r="D3" s="80">
        <v>23.6</v>
      </c>
      <c r="E3" s="80">
        <v>12.9</v>
      </c>
      <c r="F3" s="80">
        <v>3.5</v>
      </c>
      <c r="G3" s="69">
        <v>3.3</v>
      </c>
      <c r="H3" s="69">
        <v>1.9</v>
      </c>
    </row>
    <row r="4" spans="1:8" x14ac:dyDescent="0.3">
      <c r="A4" s="80" t="s">
        <v>134</v>
      </c>
      <c r="B4" s="91">
        <f t="shared" si="1"/>
        <v>53.100000000000009</v>
      </c>
      <c r="C4" s="80">
        <v>13.8</v>
      </c>
      <c r="D4" s="80">
        <v>20.3</v>
      </c>
      <c r="E4" s="80">
        <v>10.8</v>
      </c>
      <c r="F4" s="80">
        <v>4.5</v>
      </c>
      <c r="G4" s="69">
        <v>1.5</v>
      </c>
      <c r="H4" s="69">
        <v>2.2000000000000002</v>
      </c>
    </row>
    <row r="5" spans="1:8" x14ac:dyDescent="0.3">
      <c r="A5" s="80" t="s">
        <v>119</v>
      </c>
      <c r="B5" s="91">
        <f t="shared" si="1"/>
        <v>52.300000000000011</v>
      </c>
      <c r="C5" s="80">
        <v>8.8000000000000007</v>
      </c>
      <c r="D5" s="80">
        <v>10</v>
      </c>
      <c r="E5" s="80">
        <v>8.9</v>
      </c>
      <c r="F5" s="80">
        <v>7.7</v>
      </c>
      <c r="G5" s="69">
        <v>9.1999999999999993</v>
      </c>
      <c r="H5" s="69">
        <v>7.7</v>
      </c>
    </row>
    <row r="6" spans="1:8" x14ac:dyDescent="0.3">
      <c r="A6" s="80" t="s">
        <v>34</v>
      </c>
      <c r="B6" s="91">
        <f t="shared" si="1"/>
        <v>49.7</v>
      </c>
      <c r="C6" s="80">
        <v>9.8000000000000007</v>
      </c>
      <c r="D6" s="80">
        <v>11.2</v>
      </c>
      <c r="E6" s="80">
        <v>7.9</v>
      </c>
      <c r="F6" s="80">
        <v>7.9</v>
      </c>
      <c r="G6" s="69">
        <v>8.1999999999999993</v>
      </c>
      <c r="H6" s="69">
        <v>4.7</v>
      </c>
    </row>
    <row r="7" spans="1:8" x14ac:dyDescent="0.3">
      <c r="A7" s="80" t="s">
        <v>37</v>
      </c>
      <c r="B7" s="91">
        <f t="shared" si="1"/>
        <v>39.6</v>
      </c>
      <c r="C7" s="80">
        <v>6</v>
      </c>
      <c r="D7" s="80">
        <v>7</v>
      </c>
      <c r="E7" s="80">
        <v>5.8</v>
      </c>
      <c r="F7" s="80">
        <v>4.8</v>
      </c>
      <c r="G7" s="69">
        <v>6.4</v>
      </c>
      <c r="H7" s="69">
        <v>9.6</v>
      </c>
    </row>
    <row r="8" spans="1:8" x14ac:dyDescent="0.3">
      <c r="A8" s="80" t="s">
        <v>32</v>
      </c>
      <c r="B8" s="91">
        <f t="shared" si="1"/>
        <v>34.1</v>
      </c>
      <c r="C8" s="80">
        <v>3.1</v>
      </c>
      <c r="D8" s="80">
        <v>2.6</v>
      </c>
      <c r="E8" s="80">
        <v>7</v>
      </c>
      <c r="F8" s="80">
        <v>9.8000000000000007</v>
      </c>
      <c r="G8" s="69">
        <v>5.3</v>
      </c>
      <c r="H8" s="69">
        <v>6.3</v>
      </c>
    </row>
    <row r="9" spans="1:8" x14ac:dyDescent="0.3">
      <c r="A9" s="80" t="s">
        <v>35</v>
      </c>
      <c r="B9" s="91">
        <f t="shared" si="1"/>
        <v>25.299999999999997</v>
      </c>
      <c r="C9" s="80">
        <v>4.0999999999999996</v>
      </c>
      <c r="D9" s="80">
        <v>4.4000000000000004</v>
      </c>
      <c r="E9" s="80">
        <v>3.5</v>
      </c>
      <c r="F9" s="80">
        <v>4.4000000000000004</v>
      </c>
      <c r="G9" s="69">
        <v>5.5</v>
      </c>
      <c r="H9" s="69">
        <v>3.4</v>
      </c>
    </row>
    <row r="10" spans="1:8" x14ac:dyDescent="0.3">
      <c r="A10" s="80" t="s">
        <v>120</v>
      </c>
      <c r="B10" s="91">
        <f t="shared" si="1"/>
        <v>15.2</v>
      </c>
      <c r="C10" s="80">
        <v>3.3</v>
      </c>
      <c r="D10" s="82">
        <v>0</v>
      </c>
      <c r="E10" s="80">
        <v>1.3</v>
      </c>
      <c r="F10" s="80">
        <v>4.3</v>
      </c>
      <c r="G10" s="69">
        <v>4.3</v>
      </c>
      <c r="H10" s="69">
        <v>2</v>
      </c>
    </row>
    <row r="11" spans="1:8" x14ac:dyDescent="0.3">
      <c r="A11" s="80" t="s">
        <v>44</v>
      </c>
      <c r="B11" s="91">
        <f t="shared" si="1"/>
        <v>11.399999999999999</v>
      </c>
      <c r="C11" s="80">
        <v>3.8</v>
      </c>
      <c r="D11" s="80">
        <v>4.2</v>
      </c>
      <c r="E11" s="80">
        <v>3.2</v>
      </c>
      <c r="F11" s="82">
        <v>0.2</v>
      </c>
      <c r="G11" s="108">
        <v>0</v>
      </c>
      <c r="H11" s="108"/>
    </row>
    <row r="12" spans="1:8" x14ac:dyDescent="0.3">
      <c r="A12" s="116" t="s">
        <v>39</v>
      </c>
      <c r="B12" s="91">
        <f t="shared" si="1"/>
        <v>11.100000000000001</v>
      </c>
      <c r="C12" s="86">
        <v>0</v>
      </c>
      <c r="D12" s="82">
        <v>0.9</v>
      </c>
      <c r="E12" s="80">
        <v>3.7</v>
      </c>
      <c r="F12" s="80">
        <v>1.6</v>
      </c>
      <c r="G12" s="69">
        <v>3.5</v>
      </c>
      <c r="H12" s="69">
        <v>1.4</v>
      </c>
    </row>
    <row r="13" spans="1:8" x14ac:dyDescent="0.3">
      <c r="A13" s="115" t="s">
        <v>45</v>
      </c>
      <c r="B13" s="91">
        <f t="shared" si="1"/>
        <v>8.7000000000000011</v>
      </c>
      <c r="C13" s="80">
        <v>2.8</v>
      </c>
      <c r="D13" s="80">
        <v>2.2000000000000002</v>
      </c>
      <c r="E13" s="80">
        <v>2.2000000000000002</v>
      </c>
      <c r="F13" s="82">
        <v>0.9</v>
      </c>
      <c r="G13" s="109">
        <v>0.3</v>
      </c>
      <c r="H13" s="109">
        <v>0.3</v>
      </c>
    </row>
    <row r="14" spans="1:8" x14ac:dyDescent="0.3">
      <c r="A14" s="116" t="s">
        <v>126</v>
      </c>
      <c r="B14" s="91">
        <f t="shared" si="1"/>
        <v>8.4</v>
      </c>
      <c r="C14" s="82">
        <v>0.4</v>
      </c>
      <c r="D14" s="80">
        <v>1.3</v>
      </c>
      <c r="E14" s="80">
        <v>3.6</v>
      </c>
      <c r="F14" s="82">
        <v>0.7</v>
      </c>
      <c r="G14" s="109">
        <v>0.5</v>
      </c>
      <c r="H14" s="58">
        <v>1.9</v>
      </c>
    </row>
    <row r="15" spans="1:8" x14ac:dyDescent="0.3">
      <c r="A15" s="116" t="s">
        <v>129</v>
      </c>
      <c r="B15" s="91">
        <f t="shared" si="1"/>
        <v>7.1999999999999993</v>
      </c>
      <c r="C15" s="82">
        <v>0.6</v>
      </c>
      <c r="D15" s="82">
        <v>0.5</v>
      </c>
      <c r="E15" s="82">
        <v>0.9</v>
      </c>
      <c r="F15" s="80">
        <v>2</v>
      </c>
      <c r="G15" s="69">
        <v>1.8</v>
      </c>
      <c r="H15" s="69">
        <v>1.4</v>
      </c>
    </row>
    <row r="16" spans="1:8" x14ac:dyDescent="0.3">
      <c r="A16" s="80" t="s">
        <v>46</v>
      </c>
      <c r="B16" s="91">
        <f t="shared" si="1"/>
        <v>7.1</v>
      </c>
      <c r="C16" s="82">
        <v>0.5</v>
      </c>
      <c r="D16" s="80">
        <v>2</v>
      </c>
      <c r="E16" s="80">
        <v>1.6</v>
      </c>
      <c r="F16" s="80">
        <v>1.6</v>
      </c>
      <c r="G16" s="109">
        <v>0.7</v>
      </c>
      <c r="H16" s="109">
        <v>0.7</v>
      </c>
    </row>
    <row r="17" spans="1:8" x14ac:dyDescent="0.3">
      <c r="A17" s="116" t="s">
        <v>132</v>
      </c>
      <c r="B17" s="91">
        <f t="shared" si="1"/>
        <v>6.8500000000000005</v>
      </c>
      <c r="C17" s="82">
        <v>0.15</v>
      </c>
      <c r="D17" s="82">
        <v>0.5</v>
      </c>
      <c r="E17" s="82">
        <v>0.2</v>
      </c>
      <c r="F17" s="80">
        <v>1.4</v>
      </c>
      <c r="G17" s="69">
        <v>1.9</v>
      </c>
      <c r="H17" s="69">
        <v>2.7</v>
      </c>
    </row>
    <row r="18" spans="1:8" x14ac:dyDescent="0.3">
      <c r="A18" s="80" t="s">
        <v>41</v>
      </c>
      <c r="B18" s="91">
        <f t="shared" si="1"/>
        <v>6.8000000000000007</v>
      </c>
      <c r="C18" s="82">
        <v>0.7</v>
      </c>
      <c r="D18" s="80">
        <v>1</v>
      </c>
      <c r="E18" s="80">
        <v>1.3</v>
      </c>
      <c r="F18" s="80">
        <v>1</v>
      </c>
      <c r="G18" s="69">
        <v>1.4</v>
      </c>
      <c r="H18" s="69">
        <v>1.4</v>
      </c>
    </row>
    <row r="19" spans="1:8" x14ac:dyDescent="0.3">
      <c r="A19" s="117" t="s">
        <v>121</v>
      </c>
      <c r="B19" s="91">
        <f t="shared" si="1"/>
        <v>5.9</v>
      </c>
      <c r="C19" s="80">
        <v>2.5</v>
      </c>
      <c r="D19" s="82">
        <v>0.9</v>
      </c>
      <c r="E19" s="80">
        <v>1</v>
      </c>
      <c r="F19" s="83">
        <v>1</v>
      </c>
      <c r="G19" s="109">
        <v>0.5</v>
      </c>
      <c r="H19" s="108"/>
    </row>
    <row r="20" spans="1:8" x14ac:dyDescent="0.3">
      <c r="A20" s="117" t="s">
        <v>125</v>
      </c>
      <c r="B20" s="91">
        <f t="shared" si="1"/>
        <v>5.0000000000000009</v>
      </c>
      <c r="C20" s="80">
        <v>1.1000000000000001</v>
      </c>
      <c r="D20" s="80">
        <v>1.3</v>
      </c>
      <c r="E20" s="82">
        <v>0.7</v>
      </c>
      <c r="F20" s="83">
        <v>1</v>
      </c>
      <c r="G20" s="109">
        <v>0.5</v>
      </c>
      <c r="H20" s="109">
        <v>0.4</v>
      </c>
    </row>
    <row r="21" spans="1:8" x14ac:dyDescent="0.3">
      <c r="A21" s="80" t="s">
        <v>127</v>
      </c>
      <c r="B21" s="91">
        <f t="shared" si="1"/>
        <v>4.4000000000000004</v>
      </c>
      <c r="C21" s="82">
        <v>0.4</v>
      </c>
      <c r="D21" s="82">
        <v>0.7</v>
      </c>
      <c r="E21" s="80">
        <v>2</v>
      </c>
      <c r="F21" s="82">
        <v>0.6</v>
      </c>
      <c r="G21" s="109">
        <v>0.5</v>
      </c>
      <c r="H21" s="109">
        <v>0.2</v>
      </c>
    </row>
    <row r="22" spans="1:8" x14ac:dyDescent="0.3">
      <c r="A22" s="117" t="s">
        <v>122</v>
      </c>
      <c r="B22" s="91">
        <f t="shared" si="1"/>
        <v>4.3599999999999994</v>
      </c>
      <c r="C22" s="80">
        <v>1.7</v>
      </c>
      <c r="D22" s="80">
        <v>1.6</v>
      </c>
      <c r="E22" s="82">
        <v>0.3</v>
      </c>
      <c r="F22" s="82">
        <v>0.5</v>
      </c>
      <c r="G22" s="109">
        <v>0.2</v>
      </c>
      <c r="H22" s="109">
        <v>0.06</v>
      </c>
    </row>
    <row r="23" spans="1:8" x14ac:dyDescent="0.3">
      <c r="A23" s="80" t="s">
        <v>128</v>
      </c>
      <c r="B23" s="91">
        <f t="shared" si="1"/>
        <v>4.3000000000000007</v>
      </c>
      <c r="C23" s="82">
        <v>0.3</v>
      </c>
      <c r="D23" s="82">
        <v>0.8</v>
      </c>
      <c r="E23" s="80">
        <v>1.1000000000000001</v>
      </c>
      <c r="F23" s="86"/>
      <c r="G23" s="109">
        <v>0.7</v>
      </c>
      <c r="H23" s="69">
        <v>1.4</v>
      </c>
    </row>
    <row r="24" spans="1:8" x14ac:dyDescent="0.3">
      <c r="A24" s="80" t="s">
        <v>131</v>
      </c>
      <c r="B24" s="91">
        <f t="shared" si="1"/>
        <v>4.3</v>
      </c>
      <c r="C24" s="82">
        <v>0.7</v>
      </c>
      <c r="D24" s="82">
        <v>0.6</v>
      </c>
      <c r="E24" s="82">
        <v>0.8</v>
      </c>
      <c r="F24" s="82">
        <v>0.6</v>
      </c>
      <c r="G24" s="109">
        <v>0.6</v>
      </c>
      <c r="H24" s="69">
        <v>1</v>
      </c>
    </row>
    <row r="25" spans="1:8" x14ac:dyDescent="0.3">
      <c r="A25" s="117" t="s">
        <v>48</v>
      </c>
      <c r="B25" s="91">
        <f t="shared" si="1"/>
        <v>3.93</v>
      </c>
      <c r="C25" s="80">
        <v>2.2000000000000002</v>
      </c>
      <c r="D25" s="80">
        <v>1.3</v>
      </c>
      <c r="E25" s="82">
        <v>0.2</v>
      </c>
      <c r="F25" s="82">
        <v>0.1</v>
      </c>
      <c r="G25" s="109">
        <v>0.06</v>
      </c>
      <c r="H25" s="109">
        <v>7.0000000000000007E-2</v>
      </c>
    </row>
    <row r="26" spans="1:8" x14ac:dyDescent="0.3">
      <c r="A26" s="116" t="s">
        <v>43</v>
      </c>
      <c r="B26" s="91">
        <f t="shared" si="1"/>
        <v>3.3000000000000003</v>
      </c>
      <c r="C26" s="86">
        <v>0</v>
      </c>
      <c r="D26" s="80">
        <v>1</v>
      </c>
      <c r="E26" s="80">
        <v>1</v>
      </c>
      <c r="F26" s="82">
        <v>0.2</v>
      </c>
      <c r="G26" s="69">
        <v>1</v>
      </c>
      <c r="H26" s="109">
        <v>0.1</v>
      </c>
    </row>
    <row r="27" spans="1:8" x14ac:dyDescent="0.3">
      <c r="A27" s="86" t="s">
        <v>42</v>
      </c>
      <c r="B27" s="91">
        <f t="shared" si="1"/>
        <v>2.9</v>
      </c>
      <c r="C27" s="86">
        <v>0</v>
      </c>
      <c r="D27" s="86">
        <v>0</v>
      </c>
      <c r="E27" s="86">
        <v>0</v>
      </c>
      <c r="F27" s="82">
        <v>0.7</v>
      </c>
      <c r="G27" s="69">
        <v>1.6</v>
      </c>
      <c r="H27" s="109">
        <v>0.6</v>
      </c>
    </row>
    <row r="28" spans="1:8" x14ac:dyDescent="0.3">
      <c r="A28" s="86" t="s">
        <v>130</v>
      </c>
      <c r="B28" s="91">
        <f t="shared" si="1"/>
        <v>1.79</v>
      </c>
      <c r="C28" s="86">
        <v>0</v>
      </c>
      <c r="D28" s="82">
        <v>0.02</v>
      </c>
      <c r="E28" s="86">
        <v>0</v>
      </c>
      <c r="F28" s="80">
        <v>1.7</v>
      </c>
      <c r="G28" s="109">
        <v>0.05</v>
      </c>
      <c r="H28" s="108">
        <v>0.02</v>
      </c>
    </row>
    <row r="29" spans="1:8" x14ac:dyDescent="0.3">
      <c r="A29" s="118" t="s">
        <v>123</v>
      </c>
      <c r="B29" s="91">
        <f t="shared" si="1"/>
        <v>1.5</v>
      </c>
      <c r="C29" s="80">
        <v>1.4</v>
      </c>
      <c r="D29" s="82">
        <v>0</v>
      </c>
      <c r="E29" s="82">
        <v>0.1</v>
      </c>
      <c r="F29" s="86"/>
      <c r="G29" s="108"/>
      <c r="H29" s="108"/>
    </row>
    <row r="30" spans="1:8" x14ac:dyDescent="0.3">
      <c r="A30" s="80" t="s">
        <v>40</v>
      </c>
      <c r="B30" s="91">
        <f t="shared" si="1"/>
        <v>1.5</v>
      </c>
      <c r="C30" s="82">
        <v>0.4</v>
      </c>
      <c r="D30" s="82">
        <v>0.2</v>
      </c>
      <c r="E30" s="86">
        <v>0</v>
      </c>
      <c r="F30" s="82">
        <v>0.1</v>
      </c>
      <c r="G30" s="109">
        <v>0.3</v>
      </c>
      <c r="H30" s="109">
        <v>0.5</v>
      </c>
    </row>
    <row r="31" spans="1:8" x14ac:dyDescent="0.3">
      <c r="A31" s="115" t="s">
        <v>124</v>
      </c>
      <c r="B31" s="91">
        <f t="shared" si="1"/>
        <v>1.4</v>
      </c>
      <c r="C31" s="80">
        <v>1.2</v>
      </c>
      <c r="D31" s="82">
        <v>0</v>
      </c>
      <c r="E31" s="82">
        <v>0.2</v>
      </c>
      <c r="F31" s="86"/>
      <c r="G31" s="108"/>
      <c r="H31" s="108"/>
    </row>
    <row r="32" spans="1:8" x14ac:dyDescent="0.3">
      <c r="A32" s="87" t="s">
        <v>1</v>
      </c>
    </row>
    <row r="33" spans="1:9" x14ac:dyDescent="0.3">
      <c r="A33" s="80"/>
      <c r="B33" s="92"/>
      <c r="C33" s="85" t="s">
        <v>133</v>
      </c>
      <c r="D33" s="110">
        <v>2022</v>
      </c>
      <c r="E33" s="110">
        <f>D33-1</f>
        <v>2021</v>
      </c>
      <c r="F33" s="110">
        <f>E33-1</f>
        <v>2020</v>
      </c>
      <c r="G33" s="111">
        <f>F33-1</f>
        <v>2019</v>
      </c>
      <c r="H33" s="111">
        <f>G33-1</f>
        <v>2018</v>
      </c>
      <c r="I33" s="110">
        <f>H33-1</f>
        <v>2017</v>
      </c>
    </row>
    <row r="34" spans="1:9" x14ac:dyDescent="0.3">
      <c r="A34" s="88" t="s">
        <v>135</v>
      </c>
      <c r="B34" s="93" t="s">
        <v>136</v>
      </c>
      <c r="C34" s="82">
        <f t="shared" ref="C34" si="2">SUM(D34:I34)</f>
        <v>90.1</v>
      </c>
      <c r="D34" s="83">
        <v>28.4</v>
      </c>
      <c r="E34" s="83">
        <v>10.7</v>
      </c>
      <c r="F34" s="83">
        <v>6.7</v>
      </c>
      <c r="G34" s="58">
        <v>23.7</v>
      </c>
      <c r="H34" s="58">
        <v>17.3</v>
      </c>
      <c r="I34" s="80">
        <v>3.3</v>
      </c>
    </row>
    <row r="35" spans="1:9" x14ac:dyDescent="0.3">
      <c r="A35" s="95" t="s">
        <v>138</v>
      </c>
      <c r="B35" s="93" t="s">
        <v>139</v>
      </c>
      <c r="C35" s="82">
        <f t="shared" ref="C35:C48" si="3">SUM(D35:I35)</f>
        <v>75.300000000000011</v>
      </c>
      <c r="D35" s="83">
        <v>23.2</v>
      </c>
      <c r="E35" s="83">
        <v>8.3000000000000007</v>
      </c>
      <c r="F35" s="83">
        <v>7.7</v>
      </c>
      <c r="G35" s="58">
        <v>14.1</v>
      </c>
      <c r="H35" s="58">
        <v>11</v>
      </c>
      <c r="I35" s="80">
        <v>11</v>
      </c>
    </row>
    <row r="36" spans="1:9" x14ac:dyDescent="0.3">
      <c r="A36" s="95" t="s">
        <v>135</v>
      </c>
      <c r="B36" s="93" t="s">
        <v>137</v>
      </c>
      <c r="C36" s="82">
        <f t="shared" si="3"/>
        <v>60.300000000000011</v>
      </c>
      <c r="D36" s="83">
        <v>26.2</v>
      </c>
      <c r="E36" s="83">
        <v>12.4</v>
      </c>
      <c r="F36" s="83">
        <v>8.1</v>
      </c>
      <c r="G36" s="58">
        <v>3.2</v>
      </c>
      <c r="H36" s="58">
        <v>7.7</v>
      </c>
      <c r="I36" s="80">
        <v>2.7</v>
      </c>
    </row>
    <row r="37" spans="1:9" x14ac:dyDescent="0.3">
      <c r="A37" s="88" t="s">
        <v>161</v>
      </c>
      <c r="B37" s="93" t="s">
        <v>162</v>
      </c>
      <c r="C37" s="82">
        <f t="shared" si="3"/>
        <v>31.4</v>
      </c>
      <c r="D37" s="83">
        <v>2.7</v>
      </c>
      <c r="E37" s="83">
        <v>7.3</v>
      </c>
      <c r="F37" s="83">
        <v>7.3</v>
      </c>
      <c r="G37" s="58">
        <v>3.2</v>
      </c>
      <c r="H37" s="58">
        <v>5.9</v>
      </c>
      <c r="I37" s="80">
        <v>5</v>
      </c>
    </row>
    <row r="38" spans="1:9" x14ac:dyDescent="0.3">
      <c r="A38" s="95" t="s">
        <v>152</v>
      </c>
      <c r="B38" s="93" t="s">
        <v>153</v>
      </c>
      <c r="C38" s="82">
        <f t="shared" si="3"/>
        <v>28.200000000000003</v>
      </c>
      <c r="D38" s="83">
        <v>3.9</v>
      </c>
      <c r="E38" s="83">
        <v>6.4</v>
      </c>
      <c r="F38" s="83">
        <v>7.9</v>
      </c>
      <c r="G38" s="58">
        <v>2.2999999999999998</v>
      </c>
      <c r="H38" s="108"/>
      <c r="I38" s="80">
        <v>7.7</v>
      </c>
    </row>
    <row r="39" spans="1:9" x14ac:dyDescent="0.3">
      <c r="A39" s="88" t="s">
        <v>142</v>
      </c>
      <c r="B39" s="93" t="s">
        <v>143</v>
      </c>
      <c r="C39" s="82">
        <f t="shared" si="3"/>
        <v>27.500000000000004</v>
      </c>
      <c r="D39" s="83">
        <v>10.8</v>
      </c>
      <c r="E39" s="83">
        <v>3.5</v>
      </c>
      <c r="F39" s="83">
        <v>3.1</v>
      </c>
      <c r="G39" s="58">
        <v>8</v>
      </c>
      <c r="H39" s="58">
        <v>2.1</v>
      </c>
      <c r="I39" s="86"/>
    </row>
    <row r="40" spans="1:9" x14ac:dyDescent="0.3">
      <c r="A40" s="88" t="s">
        <v>159</v>
      </c>
      <c r="B40" s="93" t="s">
        <v>160</v>
      </c>
      <c r="C40" s="82">
        <f t="shared" si="3"/>
        <v>22.200000000000003</v>
      </c>
      <c r="D40" s="83">
        <v>3</v>
      </c>
      <c r="E40" s="83">
        <v>8.9</v>
      </c>
      <c r="F40" s="83">
        <v>10.3</v>
      </c>
      <c r="G40" s="108"/>
      <c r="H40" s="108"/>
      <c r="I40" s="86"/>
    </row>
    <row r="41" spans="1:9" ht="31.5" x14ac:dyDescent="0.3">
      <c r="A41" s="88" t="s">
        <v>154</v>
      </c>
      <c r="B41" s="93" t="s">
        <v>155</v>
      </c>
      <c r="C41" s="82">
        <f t="shared" si="3"/>
        <v>18.7</v>
      </c>
      <c r="D41" s="83">
        <v>3.6</v>
      </c>
      <c r="E41" s="83">
        <v>5.3</v>
      </c>
      <c r="F41" s="83">
        <v>3.6</v>
      </c>
      <c r="G41" s="58">
        <v>2.9</v>
      </c>
      <c r="H41" s="108"/>
      <c r="I41" s="80">
        <v>3.3</v>
      </c>
    </row>
    <row r="42" spans="1:9" x14ac:dyDescent="0.3">
      <c r="A42" s="88" t="s">
        <v>145</v>
      </c>
      <c r="B42" s="93" t="s">
        <v>146</v>
      </c>
      <c r="C42" s="82">
        <f t="shared" si="3"/>
        <v>17.8</v>
      </c>
      <c r="D42" s="83">
        <v>8.6</v>
      </c>
      <c r="E42" s="83">
        <v>2.7</v>
      </c>
      <c r="F42" s="86"/>
      <c r="G42" s="58">
        <v>3.6</v>
      </c>
      <c r="H42" s="58">
        <v>2.9</v>
      </c>
      <c r="I42" s="86"/>
    </row>
    <row r="43" spans="1:9" x14ac:dyDescent="0.3">
      <c r="A43" s="88" t="s">
        <v>171</v>
      </c>
      <c r="B43" s="93" t="s">
        <v>137</v>
      </c>
      <c r="C43" s="82">
        <f t="shared" si="3"/>
        <v>15.1</v>
      </c>
      <c r="D43" s="83">
        <v>1.8</v>
      </c>
      <c r="E43" s="83">
        <v>5.5</v>
      </c>
      <c r="F43" s="83">
        <v>6.2</v>
      </c>
      <c r="G43" s="58">
        <v>1.6</v>
      </c>
      <c r="H43" s="108"/>
      <c r="I43" s="86"/>
    </row>
    <row r="44" spans="1:9" ht="21.75" customHeight="1" x14ac:dyDescent="0.3">
      <c r="A44" s="88" t="s">
        <v>144</v>
      </c>
      <c r="B44" s="93" t="s">
        <v>139</v>
      </c>
      <c r="C44" s="82">
        <f t="shared" si="3"/>
        <v>14.4</v>
      </c>
      <c r="D44" s="83">
        <v>10.6</v>
      </c>
      <c r="E44" s="83">
        <v>1.4</v>
      </c>
      <c r="F44" s="86"/>
      <c r="G44" s="108"/>
      <c r="H44" s="58">
        <v>2.4</v>
      </c>
      <c r="I44" s="86"/>
    </row>
    <row r="45" spans="1:9" x14ac:dyDescent="0.3">
      <c r="A45" s="88" t="s">
        <v>148</v>
      </c>
      <c r="B45" s="93" t="s">
        <v>149</v>
      </c>
      <c r="C45" s="82">
        <f t="shared" si="3"/>
        <v>13.9</v>
      </c>
      <c r="D45" s="83">
        <v>4.4000000000000004</v>
      </c>
      <c r="E45" s="83">
        <v>5</v>
      </c>
      <c r="F45" s="82">
        <v>0.6</v>
      </c>
      <c r="G45" s="108"/>
      <c r="H45" s="58">
        <v>1</v>
      </c>
      <c r="I45" s="80">
        <v>2.9</v>
      </c>
    </row>
    <row r="46" spans="1:9" x14ac:dyDescent="0.3">
      <c r="A46" s="88" t="s">
        <v>175</v>
      </c>
      <c r="B46" s="93" t="s">
        <v>151</v>
      </c>
      <c r="C46" s="82">
        <f t="shared" si="3"/>
        <v>13.7</v>
      </c>
      <c r="D46" s="83">
        <v>1.2</v>
      </c>
      <c r="E46" s="83">
        <v>3.6</v>
      </c>
      <c r="F46" s="83">
        <v>5.7</v>
      </c>
      <c r="G46" s="58">
        <v>3.2</v>
      </c>
      <c r="H46" s="108"/>
      <c r="I46" s="86"/>
    </row>
    <row r="47" spans="1:9" x14ac:dyDescent="0.3">
      <c r="A47" s="88" t="s">
        <v>168</v>
      </c>
      <c r="B47" s="93" t="s">
        <v>169</v>
      </c>
      <c r="C47" s="82">
        <f t="shared" si="3"/>
        <v>13.6</v>
      </c>
      <c r="D47" s="83">
        <v>2</v>
      </c>
      <c r="E47" s="83">
        <v>1.7</v>
      </c>
      <c r="F47" s="83">
        <v>0.2</v>
      </c>
      <c r="G47" s="58">
        <v>2.2999999999999998</v>
      </c>
      <c r="H47" s="58">
        <v>3.8</v>
      </c>
      <c r="I47" s="80">
        <v>3.6</v>
      </c>
    </row>
    <row r="48" spans="1:9" x14ac:dyDescent="0.3">
      <c r="A48" s="88" t="s">
        <v>140</v>
      </c>
      <c r="B48" s="93" t="s">
        <v>141</v>
      </c>
      <c r="C48" s="82">
        <f t="shared" si="3"/>
        <v>13.1</v>
      </c>
      <c r="D48" s="83">
        <v>13.1</v>
      </c>
      <c r="E48" s="86">
        <v>0</v>
      </c>
      <c r="F48" s="86"/>
      <c r="G48" s="108"/>
      <c r="H48" s="108"/>
      <c r="I48" s="86"/>
    </row>
    <row r="49" spans="1:9" x14ac:dyDescent="0.3">
      <c r="A49" s="96" t="s">
        <v>192</v>
      </c>
      <c r="B49" s="92" t="s">
        <v>153</v>
      </c>
      <c r="C49" s="82">
        <f>SUBTOTAL(9,D49:I49)</f>
        <v>13</v>
      </c>
      <c r="D49" s="86"/>
      <c r="E49" s="86"/>
      <c r="F49" s="80">
        <v>4.3</v>
      </c>
      <c r="G49" s="109">
        <v>0.6</v>
      </c>
      <c r="H49" s="109">
        <v>0.4</v>
      </c>
      <c r="I49" s="80">
        <v>7.7</v>
      </c>
    </row>
    <row r="50" spans="1:9" ht="31.5" x14ac:dyDescent="0.3">
      <c r="A50" s="88" t="s">
        <v>182</v>
      </c>
      <c r="B50" s="93" t="s">
        <v>153</v>
      </c>
      <c r="C50" s="82">
        <f>SUBTOTAL(9,D50:I50)</f>
        <v>10.4</v>
      </c>
      <c r="D50" s="82">
        <f>SUM(E50:J50)</f>
        <v>5.2</v>
      </c>
      <c r="E50" s="80">
        <v>2.1</v>
      </c>
      <c r="F50" s="80">
        <v>3.1</v>
      </c>
      <c r="G50" s="108"/>
      <c r="H50" s="108"/>
      <c r="I50" s="86"/>
    </row>
    <row r="51" spans="1:9" ht="31.5" x14ac:dyDescent="0.3">
      <c r="A51" s="88" t="s">
        <v>182</v>
      </c>
      <c r="B51" s="92" t="s">
        <v>153</v>
      </c>
      <c r="C51" s="82">
        <f>SUBTOTAL(9,D51:I51)</f>
        <v>10.4</v>
      </c>
      <c r="D51" s="83">
        <f>SUM(E51:J51)</f>
        <v>5.2</v>
      </c>
      <c r="E51" s="83">
        <v>2.1</v>
      </c>
      <c r="F51" s="80">
        <v>3.1</v>
      </c>
      <c r="G51" s="108"/>
      <c r="H51" s="108"/>
      <c r="I51" s="86"/>
    </row>
    <row r="52" spans="1:9" ht="24.75" customHeight="1" x14ac:dyDescent="0.3">
      <c r="A52" s="88" t="s">
        <v>183</v>
      </c>
      <c r="B52" s="93" t="s">
        <v>143</v>
      </c>
      <c r="C52" s="82">
        <f>SUBTOTAL(9,D52:I52)</f>
        <v>9.4</v>
      </c>
      <c r="D52" s="82">
        <f>SUM(E52:J52)</f>
        <v>4.7</v>
      </c>
      <c r="E52" s="80">
        <v>1.9</v>
      </c>
      <c r="F52" s="80">
        <v>1.5</v>
      </c>
      <c r="G52" s="108"/>
      <c r="H52" s="109">
        <v>0.9</v>
      </c>
      <c r="I52" s="82">
        <v>0.4</v>
      </c>
    </row>
    <row r="53" spans="1:9" x14ac:dyDescent="0.3">
      <c r="A53" s="88" t="s">
        <v>135</v>
      </c>
      <c r="B53" s="93" t="s">
        <v>139</v>
      </c>
      <c r="C53" s="82">
        <f>SUM(D53:I53)</f>
        <v>8.4</v>
      </c>
      <c r="D53" s="80">
        <v>0.8</v>
      </c>
      <c r="E53" s="80">
        <v>7.6</v>
      </c>
      <c r="F53" s="86"/>
      <c r="G53" s="108"/>
      <c r="H53" s="108"/>
      <c r="I53" s="86"/>
    </row>
    <row r="54" spans="1:9" x14ac:dyDescent="0.3">
      <c r="A54" s="88" t="s">
        <v>147</v>
      </c>
      <c r="B54" s="93" t="s">
        <v>141</v>
      </c>
      <c r="C54" s="82">
        <f>SUM(D54:I54)</f>
        <v>7.6000000000000005</v>
      </c>
      <c r="D54" s="83">
        <v>6.5</v>
      </c>
      <c r="E54" s="82">
        <v>0.1</v>
      </c>
      <c r="F54" s="82">
        <v>0.4</v>
      </c>
      <c r="G54" s="109">
        <v>0.2</v>
      </c>
      <c r="H54" s="108"/>
      <c r="I54" s="82">
        <v>0.4</v>
      </c>
    </row>
    <row r="55" spans="1:9" x14ac:dyDescent="0.3">
      <c r="A55" s="88" t="s">
        <v>167</v>
      </c>
      <c r="B55" s="93" t="s">
        <v>146</v>
      </c>
      <c r="C55" s="82">
        <f>SUM(D55:I55)</f>
        <v>6.2</v>
      </c>
      <c r="D55" s="83">
        <v>2.2000000000000002</v>
      </c>
      <c r="E55" s="83">
        <v>2.7</v>
      </c>
      <c r="F55" s="83">
        <v>1.3</v>
      </c>
      <c r="G55" s="108"/>
      <c r="H55" s="108"/>
      <c r="I55" s="86"/>
    </row>
    <row r="56" spans="1:9" x14ac:dyDescent="0.3">
      <c r="A56" s="88" t="s">
        <v>165</v>
      </c>
      <c r="B56" s="93" t="s">
        <v>166</v>
      </c>
      <c r="C56" s="82">
        <f>SUM(D56:I56)</f>
        <v>5.7999999999999989</v>
      </c>
      <c r="D56" s="83">
        <v>2.2000000000000002</v>
      </c>
      <c r="E56" s="86"/>
      <c r="F56" s="83">
        <v>1.9</v>
      </c>
      <c r="G56" s="109">
        <v>0.6</v>
      </c>
      <c r="H56" s="108"/>
      <c r="I56" s="80">
        <v>1.1000000000000001</v>
      </c>
    </row>
    <row r="57" spans="1:9" ht="20.25" customHeight="1" x14ac:dyDescent="0.3">
      <c r="A57" s="95" t="s">
        <v>193</v>
      </c>
      <c r="B57" s="92" t="s">
        <v>153</v>
      </c>
      <c r="C57" s="82">
        <f>SUBTOTAL(9,D57:I57)</f>
        <v>5.6000000000000005</v>
      </c>
      <c r="D57" s="82">
        <f>SUM(E57:J57)</f>
        <v>2.8</v>
      </c>
      <c r="E57" s="86"/>
      <c r="F57" s="80">
        <v>2.1</v>
      </c>
      <c r="G57" s="109">
        <v>0.7</v>
      </c>
      <c r="H57" s="108"/>
      <c r="I57" s="86"/>
    </row>
    <row r="58" spans="1:9" x14ac:dyDescent="0.3">
      <c r="A58" s="95" t="s">
        <v>180</v>
      </c>
      <c r="B58" s="93" t="s">
        <v>181</v>
      </c>
      <c r="C58" s="82">
        <f>SUBTOTAL(9,D58:I58)</f>
        <v>5.4</v>
      </c>
      <c r="D58" s="82">
        <f>SUM(E58:J58)</f>
        <v>2.6999999999999997</v>
      </c>
      <c r="E58" s="80">
        <v>2.2999999999999998</v>
      </c>
      <c r="F58" s="82">
        <v>0.4</v>
      </c>
      <c r="G58" s="108"/>
      <c r="H58" s="108"/>
      <c r="I58" s="86"/>
    </row>
    <row r="59" spans="1:9" x14ac:dyDescent="0.3">
      <c r="A59" s="88" t="s">
        <v>205</v>
      </c>
      <c r="B59" s="93" t="s">
        <v>204</v>
      </c>
      <c r="C59" s="82">
        <f>SUBTOTAL(9,D59:I59)</f>
        <v>5.4</v>
      </c>
      <c r="D59" s="86"/>
      <c r="E59" s="86"/>
      <c r="F59" s="86"/>
      <c r="G59" s="69">
        <v>2.9</v>
      </c>
      <c r="H59" s="69">
        <v>2.5</v>
      </c>
      <c r="I59" s="86"/>
    </row>
    <row r="60" spans="1:9" x14ac:dyDescent="0.3">
      <c r="A60" s="88" t="s">
        <v>158</v>
      </c>
      <c r="B60" s="93" t="s">
        <v>139</v>
      </c>
      <c r="C60" s="82">
        <f>SUM(D60:I60)</f>
        <v>5.3000000000000007</v>
      </c>
      <c r="D60" s="83">
        <v>3.3</v>
      </c>
      <c r="E60" s="83">
        <v>1.1000000000000001</v>
      </c>
      <c r="F60" s="82">
        <v>0.4</v>
      </c>
      <c r="G60" s="109">
        <v>0.2</v>
      </c>
      <c r="H60" s="108"/>
      <c r="I60" s="82">
        <v>0.3</v>
      </c>
    </row>
    <row r="61" spans="1:9" x14ac:dyDescent="0.3">
      <c r="A61" s="88" t="s">
        <v>170</v>
      </c>
      <c r="B61" s="93" t="s">
        <v>139</v>
      </c>
      <c r="C61" s="82">
        <f>SUM(D61:I61)</f>
        <v>5.0999999999999996</v>
      </c>
      <c r="D61" s="83">
        <v>1.8</v>
      </c>
      <c r="E61" s="86"/>
      <c r="F61" s="86"/>
      <c r="G61" s="109">
        <v>0.3</v>
      </c>
      <c r="H61" s="109">
        <v>0.4</v>
      </c>
      <c r="I61" s="80">
        <v>2.6</v>
      </c>
    </row>
    <row r="62" spans="1:9" ht="31.5" x14ac:dyDescent="0.3">
      <c r="A62" s="88" t="s">
        <v>196</v>
      </c>
      <c r="B62" s="93" t="s">
        <v>155</v>
      </c>
      <c r="C62" s="82">
        <f>SUBTOTAL(9,D62:I62)</f>
        <v>5.0999999999999996</v>
      </c>
      <c r="D62" s="86"/>
      <c r="E62" s="82">
        <v>0.2</v>
      </c>
      <c r="F62" s="83">
        <v>1.5</v>
      </c>
      <c r="G62" s="58">
        <v>1.7</v>
      </c>
      <c r="H62" s="108"/>
      <c r="I62" s="80">
        <v>1.7</v>
      </c>
    </row>
    <row r="63" spans="1:9" x14ac:dyDescent="0.3">
      <c r="A63" s="88" t="s">
        <v>176</v>
      </c>
      <c r="B63" s="93" t="s">
        <v>146</v>
      </c>
      <c r="C63" s="82">
        <f>SUM(D63:I63)</f>
        <v>4.8</v>
      </c>
      <c r="D63" s="83">
        <v>1.1000000000000001</v>
      </c>
      <c r="E63" s="82">
        <v>0.6</v>
      </c>
      <c r="F63" s="83">
        <v>1.3</v>
      </c>
      <c r="G63" s="108"/>
      <c r="H63" s="109">
        <v>0.9</v>
      </c>
      <c r="I63" s="82">
        <v>0.9</v>
      </c>
    </row>
    <row r="64" spans="1:9" x14ac:dyDescent="0.3">
      <c r="A64" s="88" t="s">
        <v>189</v>
      </c>
      <c r="B64" s="93" t="s">
        <v>190</v>
      </c>
      <c r="C64" s="82">
        <f>SUM(D64:I64)</f>
        <v>4.6000000000000005</v>
      </c>
      <c r="D64" s="80">
        <v>0.2</v>
      </c>
      <c r="E64" s="80">
        <v>1.6</v>
      </c>
      <c r="F64" s="80">
        <v>1.1000000000000001</v>
      </c>
      <c r="G64" s="109">
        <v>0.5</v>
      </c>
      <c r="H64" s="109">
        <v>0.2</v>
      </c>
      <c r="I64" s="80">
        <v>1</v>
      </c>
    </row>
    <row r="65" spans="1:9" x14ac:dyDescent="0.3">
      <c r="A65" s="88" t="s">
        <v>179</v>
      </c>
      <c r="B65" s="93" t="s">
        <v>139</v>
      </c>
      <c r="C65" s="82">
        <f>SUBTOTAL(9,D65:I65)</f>
        <v>4.4000000000000004</v>
      </c>
      <c r="D65" s="86"/>
      <c r="E65" s="80">
        <v>4</v>
      </c>
      <c r="F65" s="82">
        <v>0.4</v>
      </c>
      <c r="G65" s="108"/>
      <c r="H65" s="108"/>
      <c r="I65" s="86"/>
    </row>
    <row r="66" spans="1:9" ht="31.5" x14ac:dyDescent="0.3">
      <c r="A66" s="94" t="s">
        <v>197</v>
      </c>
      <c r="B66" s="93" t="s">
        <v>188</v>
      </c>
      <c r="C66" s="82">
        <f>SUBTOTAL(9,D66:I66)</f>
        <v>4.4000000000000004</v>
      </c>
      <c r="D66" s="82">
        <v>0.5</v>
      </c>
      <c r="E66" s="82">
        <v>0.9</v>
      </c>
      <c r="F66" s="80">
        <v>1.4</v>
      </c>
      <c r="G66" s="109">
        <v>0.7</v>
      </c>
      <c r="H66" s="109">
        <v>0.2</v>
      </c>
      <c r="I66" s="82">
        <v>0.7</v>
      </c>
    </row>
    <row r="67" spans="1:9" x14ac:dyDescent="0.3">
      <c r="A67" s="88" t="s">
        <v>150</v>
      </c>
      <c r="B67" s="93" t="s">
        <v>151</v>
      </c>
      <c r="C67" s="82">
        <f>SUM(D67:I67)</f>
        <v>4.4000000000000004</v>
      </c>
      <c r="D67" s="83">
        <v>4.4000000000000004</v>
      </c>
      <c r="E67" s="86"/>
      <c r="F67" s="86"/>
      <c r="G67" s="108"/>
      <c r="H67" s="108"/>
      <c r="I67" s="86"/>
    </row>
    <row r="68" spans="1:9" x14ac:dyDescent="0.3">
      <c r="A68" s="94" t="s">
        <v>203</v>
      </c>
      <c r="B68" s="93" t="s">
        <v>202</v>
      </c>
      <c r="C68" s="82">
        <f>SUBTOTAL(9,D68:I68)</f>
        <v>3.8200000000000003</v>
      </c>
      <c r="D68" s="82">
        <v>0.4</v>
      </c>
      <c r="E68" s="82">
        <v>0.9</v>
      </c>
      <c r="F68" s="80">
        <v>1.1000000000000001</v>
      </c>
      <c r="G68" s="109">
        <v>0.5</v>
      </c>
      <c r="H68" s="109">
        <v>0.9</v>
      </c>
      <c r="I68" s="82">
        <v>0.02</v>
      </c>
    </row>
    <row r="69" spans="1:9" x14ac:dyDescent="0.3">
      <c r="A69" s="88" t="s">
        <v>156</v>
      </c>
      <c r="B69" s="93" t="s">
        <v>157</v>
      </c>
      <c r="C69" s="82">
        <f>SUM(D69:I69)</f>
        <v>3.6</v>
      </c>
      <c r="D69" s="83">
        <v>3.4</v>
      </c>
      <c r="E69" s="82">
        <v>0.2</v>
      </c>
      <c r="F69" s="86"/>
      <c r="G69" s="108"/>
      <c r="H69" s="108"/>
      <c r="I69" s="86"/>
    </row>
    <row r="70" spans="1:9" x14ac:dyDescent="0.3">
      <c r="A70" s="94" t="s">
        <v>198</v>
      </c>
      <c r="B70" s="93" t="s">
        <v>190</v>
      </c>
      <c r="C70" s="82">
        <f>SUBTOTAL(9,D70:I70)</f>
        <v>3.6</v>
      </c>
      <c r="D70" s="82">
        <v>0.3</v>
      </c>
      <c r="E70" s="86"/>
      <c r="F70" s="80">
        <v>1.3</v>
      </c>
      <c r="G70" s="108"/>
      <c r="H70" s="69">
        <v>2</v>
      </c>
      <c r="I70" s="86"/>
    </row>
    <row r="71" spans="1:9" ht="19.5" thickBot="1" x14ac:dyDescent="0.35">
      <c r="A71" s="95" t="s">
        <v>195</v>
      </c>
      <c r="B71" s="93" t="s">
        <v>181</v>
      </c>
      <c r="C71" s="82">
        <f>SUBTOTAL(9,D71:I71)</f>
        <v>3.5</v>
      </c>
      <c r="D71" s="86"/>
      <c r="E71" s="82">
        <v>0.4</v>
      </c>
      <c r="F71" s="80">
        <v>1.8</v>
      </c>
      <c r="G71" s="69">
        <v>1.3</v>
      </c>
      <c r="H71" s="108"/>
      <c r="I71" s="86"/>
    </row>
    <row r="72" spans="1:9" ht="32.25" thickBot="1" x14ac:dyDescent="0.35">
      <c r="A72" s="89" t="s">
        <v>187</v>
      </c>
      <c r="B72" s="93" t="s">
        <v>188</v>
      </c>
      <c r="C72" s="82">
        <f>SUM(D72:I72)</f>
        <v>3.4</v>
      </c>
      <c r="D72" s="82">
        <v>0.5</v>
      </c>
      <c r="E72" s="80">
        <v>1.7</v>
      </c>
      <c r="F72" s="82">
        <v>0.3</v>
      </c>
      <c r="G72" s="108"/>
      <c r="H72" s="108"/>
      <c r="I72" s="82">
        <v>0.9</v>
      </c>
    </row>
    <row r="73" spans="1:9" ht="19.5" thickBot="1" x14ac:dyDescent="0.35">
      <c r="A73" s="89" t="s">
        <v>164</v>
      </c>
      <c r="B73" s="93" t="s">
        <v>143</v>
      </c>
      <c r="C73" s="82">
        <f>SUM(D73:I73)</f>
        <v>3.3</v>
      </c>
      <c r="D73" s="83">
        <v>2.4</v>
      </c>
      <c r="E73" s="86"/>
      <c r="F73" s="86"/>
      <c r="G73" s="108"/>
      <c r="H73" s="109">
        <v>0.9</v>
      </c>
      <c r="I73" s="86"/>
    </row>
    <row r="74" spans="1:9" x14ac:dyDescent="0.3">
      <c r="A74" s="88" t="s">
        <v>177</v>
      </c>
      <c r="B74" s="93" t="s">
        <v>139</v>
      </c>
      <c r="C74" s="82">
        <f>SUM(D74:I74)</f>
        <v>3.1</v>
      </c>
      <c r="D74" s="83">
        <v>1.1000000000000001</v>
      </c>
      <c r="E74" s="86">
        <v>0</v>
      </c>
      <c r="F74" s="83">
        <v>1.5</v>
      </c>
      <c r="G74" s="108"/>
      <c r="H74" s="108"/>
      <c r="I74" s="82">
        <v>0.5</v>
      </c>
    </row>
    <row r="75" spans="1:9" x14ac:dyDescent="0.3">
      <c r="A75" s="88" t="s">
        <v>173</v>
      </c>
      <c r="B75" s="93" t="s">
        <v>162</v>
      </c>
      <c r="C75" s="82">
        <f>SUM(D75:I75)</f>
        <v>3</v>
      </c>
      <c r="D75" s="83">
        <v>1.4</v>
      </c>
      <c r="E75" s="86"/>
      <c r="F75" s="82">
        <v>0.3</v>
      </c>
      <c r="G75" s="58">
        <v>1</v>
      </c>
      <c r="H75" s="109">
        <v>0.3</v>
      </c>
      <c r="I75" s="86"/>
    </row>
    <row r="76" spans="1:9" x14ac:dyDescent="0.3">
      <c r="A76" s="94" t="s">
        <v>201</v>
      </c>
      <c r="B76" s="93" t="s">
        <v>199</v>
      </c>
      <c r="C76" s="82">
        <f>SUBTOTAL(9,D76:I76)</f>
        <v>2.8</v>
      </c>
      <c r="D76" s="86"/>
      <c r="E76" s="86"/>
      <c r="F76" s="80">
        <v>1.2</v>
      </c>
      <c r="G76" s="109">
        <v>0.3</v>
      </c>
      <c r="H76" s="108"/>
      <c r="I76" s="80">
        <v>1.3</v>
      </c>
    </row>
    <row r="77" spans="1:9" x14ac:dyDescent="0.3">
      <c r="A77" s="88" t="s">
        <v>206</v>
      </c>
      <c r="B77" s="93" t="s">
        <v>136</v>
      </c>
      <c r="C77" s="82">
        <f>SUBTOTAL(9,D77:I77)</f>
        <v>2.8</v>
      </c>
      <c r="D77" s="86"/>
      <c r="E77" s="86"/>
      <c r="F77" s="86"/>
      <c r="G77" s="69">
        <v>2.8</v>
      </c>
      <c r="H77" s="108"/>
      <c r="I77" s="86"/>
    </row>
    <row r="78" spans="1:9" x14ac:dyDescent="0.3">
      <c r="A78" s="88" t="s">
        <v>135</v>
      </c>
      <c r="B78" s="93" t="s">
        <v>194</v>
      </c>
      <c r="C78" s="82">
        <f>SUBTOTAL(9,D78:I78)</f>
        <v>2.7</v>
      </c>
      <c r="D78" s="86"/>
      <c r="E78" s="82">
        <v>0.8</v>
      </c>
      <c r="F78" s="80">
        <v>1.9</v>
      </c>
      <c r="G78" s="108"/>
      <c r="H78" s="108"/>
      <c r="I78" s="86"/>
    </row>
    <row r="79" spans="1:9" x14ac:dyDescent="0.3">
      <c r="A79" s="88" t="s">
        <v>207</v>
      </c>
      <c r="B79" s="93" t="s">
        <v>139</v>
      </c>
      <c r="C79" s="82">
        <f>SUBTOTAL(9,D79:I79)</f>
        <v>2.6</v>
      </c>
      <c r="D79" s="86"/>
      <c r="E79" s="86"/>
      <c r="F79" s="86"/>
      <c r="G79" s="108"/>
      <c r="H79" s="58">
        <v>1.7</v>
      </c>
      <c r="I79" s="82">
        <v>0.9</v>
      </c>
    </row>
    <row r="80" spans="1:9" x14ac:dyDescent="0.3">
      <c r="A80" s="88" t="s">
        <v>163</v>
      </c>
      <c r="B80" s="93" t="s">
        <v>139</v>
      </c>
      <c r="C80" s="82">
        <f>SUM(D80:I80)</f>
        <v>2.6</v>
      </c>
      <c r="D80" s="83">
        <v>2.6</v>
      </c>
      <c r="E80" s="86"/>
      <c r="F80" s="86"/>
      <c r="G80" s="108"/>
      <c r="H80" s="108"/>
      <c r="I80" s="86"/>
    </row>
    <row r="81" spans="1:9" x14ac:dyDescent="0.3">
      <c r="A81" s="94" t="s">
        <v>200</v>
      </c>
      <c r="B81" s="93" t="s">
        <v>199</v>
      </c>
      <c r="C81" s="82">
        <f>SUBTOTAL(9,D81:I81)</f>
        <v>2.5</v>
      </c>
      <c r="D81" s="86"/>
      <c r="E81" s="86"/>
      <c r="F81" s="80">
        <v>1.3</v>
      </c>
      <c r="G81" s="108"/>
      <c r="H81" s="69">
        <v>1.2</v>
      </c>
      <c r="I81" s="86"/>
    </row>
    <row r="82" spans="1:9" x14ac:dyDescent="0.3">
      <c r="A82" s="88" t="s">
        <v>184</v>
      </c>
      <c r="B82" s="93" t="s">
        <v>136</v>
      </c>
      <c r="C82" s="82">
        <f>SUM(D82:I82)</f>
        <v>2.5</v>
      </c>
      <c r="D82" s="82">
        <v>0.7</v>
      </c>
      <c r="E82" s="80">
        <v>1.8</v>
      </c>
      <c r="F82" s="86"/>
      <c r="G82" s="108"/>
      <c r="H82" s="108"/>
      <c r="I82" s="86"/>
    </row>
    <row r="83" spans="1:9" x14ac:dyDescent="0.3">
      <c r="A83" s="88" t="s">
        <v>172</v>
      </c>
      <c r="B83" s="93" t="s">
        <v>136</v>
      </c>
      <c r="C83" s="82">
        <f>SUM(D83:I83)</f>
        <v>2.4000000000000004</v>
      </c>
      <c r="D83" s="83">
        <v>1.6</v>
      </c>
      <c r="E83" s="82">
        <v>0.3</v>
      </c>
      <c r="F83" s="86"/>
      <c r="G83" s="109">
        <v>0.5</v>
      </c>
      <c r="H83" s="108"/>
      <c r="I83" s="86"/>
    </row>
    <row r="84" spans="1:9" x14ac:dyDescent="0.3">
      <c r="A84" s="88" t="s">
        <v>208</v>
      </c>
      <c r="B84" s="93" t="s">
        <v>139</v>
      </c>
      <c r="C84" s="82">
        <f>SUBTOTAL(9,D84:I84)</f>
        <v>2.31</v>
      </c>
      <c r="D84" s="86"/>
      <c r="E84" s="86"/>
      <c r="F84" s="82">
        <v>0.01</v>
      </c>
      <c r="G84" s="109">
        <v>0.2</v>
      </c>
      <c r="H84" s="109">
        <v>0.2</v>
      </c>
      <c r="I84" s="80">
        <v>1.9</v>
      </c>
    </row>
    <row r="85" spans="1:9" x14ac:dyDescent="0.3">
      <c r="A85" s="88" t="s">
        <v>185</v>
      </c>
      <c r="B85" s="93" t="s">
        <v>186</v>
      </c>
      <c r="C85" s="82">
        <f>SUBTOTAL(9,D85:I85)</f>
        <v>2.2000000000000002</v>
      </c>
      <c r="D85" s="86"/>
      <c r="E85" s="80">
        <v>1.8</v>
      </c>
      <c r="F85" s="82">
        <v>0.3</v>
      </c>
      <c r="G85" s="108"/>
      <c r="H85" s="109">
        <v>0.1</v>
      </c>
      <c r="I85" s="86"/>
    </row>
    <row r="86" spans="1:9" x14ac:dyDescent="0.3">
      <c r="A86" s="88" t="s">
        <v>191</v>
      </c>
      <c r="B86" s="93" t="s">
        <v>137</v>
      </c>
      <c r="C86" s="82">
        <f>SUM(D86:I86)</f>
        <v>2.2000000000000002</v>
      </c>
      <c r="D86" s="80">
        <v>0.8</v>
      </c>
      <c r="E86" s="80">
        <v>1.4</v>
      </c>
      <c r="F86" s="86"/>
      <c r="G86" s="108"/>
      <c r="H86" s="108"/>
      <c r="I86" s="86"/>
    </row>
    <row r="87" spans="1:9" x14ac:dyDescent="0.3">
      <c r="A87" s="88" t="s">
        <v>209</v>
      </c>
      <c r="B87" s="93" t="s">
        <v>137</v>
      </c>
      <c r="C87" s="82">
        <f>SUBTOTAL(9,D87:I87)</f>
        <v>1.8</v>
      </c>
      <c r="D87" s="86"/>
      <c r="E87" s="86"/>
      <c r="F87" s="86"/>
      <c r="G87" s="108"/>
      <c r="H87" s="108"/>
      <c r="I87" s="80">
        <v>1.8</v>
      </c>
    </row>
    <row r="88" spans="1:9" x14ac:dyDescent="0.3">
      <c r="A88" s="88" t="s">
        <v>174</v>
      </c>
      <c r="B88" s="93" t="s">
        <v>136</v>
      </c>
      <c r="C88" s="82">
        <f>SUM(D88:I88)</f>
        <v>1.7</v>
      </c>
      <c r="D88" s="83">
        <v>1.4</v>
      </c>
      <c r="E88" s="82">
        <v>0.3</v>
      </c>
      <c r="F88" s="86"/>
      <c r="G88" s="108"/>
      <c r="H88" s="108"/>
      <c r="I88" s="86"/>
    </row>
    <row r="89" spans="1:9" x14ac:dyDescent="0.3">
      <c r="A89" s="88" t="s">
        <v>210</v>
      </c>
      <c r="B89" s="93" t="s">
        <v>136</v>
      </c>
      <c r="C89" s="82">
        <f>SUBTOTAL(9,D89:I89)</f>
        <v>1.5</v>
      </c>
      <c r="D89" s="86"/>
      <c r="E89" s="86"/>
      <c r="F89" s="86"/>
      <c r="G89" s="108"/>
      <c r="H89" s="108"/>
      <c r="I89" s="80">
        <v>1.5</v>
      </c>
    </row>
    <row r="90" spans="1:9" x14ac:dyDescent="0.3">
      <c r="A90" s="88" t="s">
        <v>178</v>
      </c>
      <c r="B90" s="93" t="s">
        <v>141</v>
      </c>
      <c r="C90" s="82">
        <f>SUM(D90:I90)</f>
        <v>1.05</v>
      </c>
      <c r="D90" s="80">
        <v>1</v>
      </c>
      <c r="E90" s="82">
        <v>0.05</v>
      </c>
      <c r="F90" s="86"/>
      <c r="G90" s="108"/>
      <c r="H90" s="108"/>
      <c r="I90" s="86"/>
    </row>
    <row r="93" spans="1:9" x14ac:dyDescent="0.3">
      <c r="A93" s="100"/>
      <c r="B93" s="100"/>
      <c r="C93" s="112"/>
      <c r="D93" s="105">
        <v>2022</v>
      </c>
      <c r="E93" s="106">
        <v>2021</v>
      </c>
      <c r="F93" s="83">
        <v>2020</v>
      </c>
      <c r="G93" s="58">
        <v>2019</v>
      </c>
      <c r="H93" s="58">
        <v>2018</v>
      </c>
      <c r="I93" s="80">
        <v>2019</v>
      </c>
    </row>
    <row r="94" spans="1:9" x14ac:dyDescent="0.3">
      <c r="A94" s="101" t="s">
        <v>231</v>
      </c>
      <c r="B94" s="102"/>
      <c r="C94" s="113">
        <f>SUM(D94:I94)</f>
        <v>10.099999999999998</v>
      </c>
      <c r="D94" s="99">
        <v>2.6</v>
      </c>
      <c r="E94" s="99">
        <v>2.5</v>
      </c>
      <c r="F94" s="99">
        <v>1</v>
      </c>
      <c r="G94" s="97">
        <v>0.8</v>
      </c>
      <c r="H94" s="83">
        <v>1.5</v>
      </c>
      <c r="I94" s="83">
        <v>1.7</v>
      </c>
    </row>
    <row r="95" spans="1:9" x14ac:dyDescent="0.3">
      <c r="A95" s="101" t="s">
        <v>253</v>
      </c>
      <c r="B95" s="102" t="s">
        <v>213</v>
      </c>
      <c r="C95" s="113">
        <f t="shared" ref="C95:C158" si="4">SUM(D95:I95)</f>
        <v>2.12</v>
      </c>
      <c r="D95" s="99">
        <v>1.1000000000000001</v>
      </c>
      <c r="E95" s="99">
        <v>1.02</v>
      </c>
      <c r="F95" s="98"/>
      <c r="G95" s="98"/>
      <c r="H95" s="98"/>
      <c r="I95" s="98"/>
    </row>
    <row r="96" spans="1:9" x14ac:dyDescent="0.3">
      <c r="A96" s="101" t="s">
        <v>251</v>
      </c>
      <c r="B96" s="102"/>
      <c r="C96" s="113">
        <f t="shared" si="4"/>
        <v>4.4300000000000006</v>
      </c>
      <c r="D96" s="99">
        <v>1.1000000000000001</v>
      </c>
      <c r="E96" s="99">
        <v>0.9</v>
      </c>
      <c r="F96" s="99">
        <v>1.6</v>
      </c>
      <c r="G96" s="97">
        <v>0.6</v>
      </c>
      <c r="H96" s="109">
        <v>0.03</v>
      </c>
      <c r="I96" s="109">
        <v>0.2</v>
      </c>
    </row>
    <row r="97" spans="1:9" x14ac:dyDescent="0.3">
      <c r="A97" s="101" t="s">
        <v>267</v>
      </c>
      <c r="B97" s="102" t="s">
        <v>213</v>
      </c>
      <c r="C97" s="113">
        <f t="shared" si="4"/>
        <v>2.4399999999999995</v>
      </c>
      <c r="D97" s="98"/>
      <c r="E97" s="99">
        <v>1.3</v>
      </c>
      <c r="F97" s="97">
        <v>0.5</v>
      </c>
      <c r="G97" s="97">
        <v>0.5</v>
      </c>
      <c r="H97" s="109">
        <v>7.0000000000000007E-2</v>
      </c>
      <c r="I97" s="109">
        <v>7.0000000000000007E-2</v>
      </c>
    </row>
    <row r="98" spans="1:9" x14ac:dyDescent="0.3">
      <c r="A98" s="101" t="s">
        <v>224</v>
      </c>
      <c r="B98" s="102" t="s">
        <v>213</v>
      </c>
      <c r="C98" s="113">
        <f t="shared" si="4"/>
        <v>5.9300000000000006</v>
      </c>
      <c r="D98" s="99">
        <v>3.9</v>
      </c>
      <c r="E98" s="97">
        <v>0.4</v>
      </c>
      <c r="F98" s="97">
        <v>0.03</v>
      </c>
      <c r="G98" s="97">
        <v>0.4</v>
      </c>
      <c r="H98" s="109">
        <v>0.9</v>
      </c>
      <c r="I98" s="109">
        <v>0.3</v>
      </c>
    </row>
    <row r="99" spans="1:9" x14ac:dyDescent="0.3">
      <c r="A99" s="101" t="s">
        <v>244</v>
      </c>
      <c r="B99" s="102"/>
      <c r="C99" s="113">
        <f t="shared" si="4"/>
        <v>4.5999999999999996</v>
      </c>
      <c r="D99" s="99">
        <v>1.3</v>
      </c>
      <c r="E99" s="97">
        <v>0.5</v>
      </c>
      <c r="F99" s="97">
        <v>0.4</v>
      </c>
      <c r="G99" s="97">
        <v>0.6</v>
      </c>
      <c r="H99" s="109">
        <v>0.4</v>
      </c>
      <c r="I99" s="58">
        <v>1.4</v>
      </c>
    </row>
    <row r="100" spans="1:9" x14ac:dyDescent="0.3">
      <c r="A100" s="103" t="s">
        <v>263</v>
      </c>
      <c r="B100" s="104"/>
      <c r="C100" s="113">
        <f t="shared" si="4"/>
        <v>7.1</v>
      </c>
      <c r="D100" s="98"/>
      <c r="E100" s="99">
        <v>1.3</v>
      </c>
      <c r="F100" s="99">
        <v>2.2999999999999998</v>
      </c>
      <c r="G100" s="83">
        <v>1.8</v>
      </c>
      <c r="H100" s="109">
        <v>0.6</v>
      </c>
      <c r="I100" s="83">
        <v>1.1000000000000001</v>
      </c>
    </row>
    <row r="101" spans="1:9" x14ac:dyDescent="0.3">
      <c r="A101" s="103" t="s">
        <v>274</v>
      </c>
      <c r="B101" s="104"/>
      <c r="C101" s="113">
        <f t="shared" si="4"/>
        <v>3.4699999999999998</v>
      </c>
      <c r="D101" s="98"/>
      <c r="E101" s="98"/>
      <c r="F101" s="97">
        <v>7.0000000000000007E-2</v>
      </c>
      <c r="G101" s="83">
        <v>2</v>
      </c>
      <c r="H101" s="58">
        <v>1</v>
      </c>
      <c r="I101" s="109">
        <v>0.4</v>
      </c>
    </row>
    <row r="102" spans="1:9" x14ac:dyDescent="0.3">
      <c r="A102" s="103" t="s">
        <v>276</v>
      </c>
      <c r="B102" s="104"/>
      <c r="C102" s="113">
        <f t="shared" si="4"/>
        <v>4.5999999999999996</v>
      </c>
      <c r="D102" s="98"/>
      <c r="E102" s="98"/>
      <c r="F102" s="98"/>
      <c r="G102" s="98"/>
      <c r="H102" s="83">
        <v>2.4</v>
      </c>
      <c r="I102" s="83">
        <v>2.2000000000000002</v>
      </c>
    </row>
    <row r="103" spans="1:9" x14ac:dyDescent="0.3">
      <c r="A103" s="103" t="s">
        <v>264</v>
      </c>
      <c r="B103" s="104"/>
      <c r="C103" s="113">
        <f t="shared" si="4"/>
        <v>4.2</v>
      </c>
      <c r="D103" s="98"/>
      <c r="E103" s="99">
        <v>1.1000000000000001</v>
      </c>
      <c r="F103" s="99">
        <v>2.4</v>
      </c>
      <c r="G103" s="97">
        <v>0.4</v>
      </c>
      <c r="H103" s="97">
        <v>0.3</v>
      </c>
      <c r="I103" s="86"/>
    </row>
    <row r="104" spans="1:9" x14ac:dyDescent="0.3">
      <c r="A104" s="103" t="s">
        <v>268</v>
      </c>
      <c r="B104" s="104"/>
      <c r="C104" s="113">
        <f t="shared" si="4"/>
        <v>3.2</v>
      </c>
      <c r="D104" s="97">
        <v>0.9</v>
      </c>
      <c r="E104" s="99">
        <v>1.1000000000000001</v>
      </c>
      <c r="F104" s="97">
        <v>0.6</v>
      </c>
      <c r="G104" s="97">
        <v>0.6</v>
      </c>
      <c r="H104" s="108"/>
      <c r="I104" s="86"/>
    </row>
    <row r="105" spans="1:9" x14ac:dyDescent="0.3">
      <c r="A105" s="101" t="s">
        <v>254</v>
      </c>
      <c r="B105" s="102"/>
      <c r="C105" s="113">
        <f t="shared" si="4"/>
        <v>4.62</v>
      </c>
      <c r="D105" s="99">
        <v>1.1000000000000001</v>
      </c>
      <c r="E105" s="97">
        <v>0.6</v>
      </c>
      <c r="F105" s="97">
        <v>0.5</v>
      </c>
      <c r="G105" s="97">
        <v>0.6</v>
      </c>
      <c r="H105" s="83">
        <v>1.8</v>
      </c>
      <c r="I105" s="82">
        <v>0.02</v>
      </c>
    </row>
    <row r="106" spans="1:9" x14ac:dyDescent="0.3">
      <c r="A106" s="101" t="s">
        <v>226</v>
      </c>
      <c r="B106" s="102"/>
      <c r="C106" s="113">
        <f t="shared" si="4"/>
        <v>4.0999999999999996</v>
      </c>
      <c r="D106" s="99">
        <v>3.4</v>
      </c>
      <c r="E106" s="97">
        <v>0.5</v>
      </c>
      <c r="F106" s="98"/>
      <c r="G106" s="98"/>
      <c r="H106" s="109">
        <v>0.2</v>
      </c>
      <c r="I106" s="86"/>
    </row>
    <row r="107" spans="1:9" x14ac:dyDescent="0.3">
      <c r="A107" s="101" t="s">
        <v>248</v>
      </c>
      <c r="B107" s="102"/>
      <c r="C107" s="113">
        <f t="shared" si="4"/>
        <v>1.3</v>
      </c>
      <c r="D107" s="99">
        <v>1.2</v>
      </c>
      <c r="E107" s="97">
        <v>0.04</v>
      </c>
      <c r="F107" s="98"/>
      <c r="G107" s="98"/>
      <c r="H107" s="109">
        <v>0.02</v>
      </c>
      <c r="I107" s="82">
        <v>0.04</v>
      </c>
    </row>
    <row r="108" spans="1:9" x14ac:dyDescent="0.3">
      <c r="A108" s="101" t="s">
        <v>235</v>
      </c>
      <c r="B108" s="102"/>
      <c r="C108" s="113">
        <f t="shared" si="4"/>
        <v>11.100000000000001</v>
      </c>
      <c r="D108" s="99">
        <v>1.8</v>
      </c>
      <c r="E108" s="99">
        <v>4.7</v>
      </c>
      <c r="F108" s="99">
        <v>1.2</v>
      </c>
      <c r="G108" s="83">
        <v>1.1000000000000001</v>
      </c>
      <c r="H108" s="83">
        <v>1.4</v>
      </c>
      <c r="I108" s="83">
        <v>0.9</v>
      </c>
    </row>
    <row r="109" spans="1:9" x14ac:dyDescent="0.3">
      <c r="A109" s="101" t="s">
        <v>241</v>
      </c>
      <c r="B109" s="102"/>
      <c r="C109" s="113">
        <f t="shared" si="4"/>
        <v>7.15</v>
      </c>
      <c r="D109" s="99">
        <v>1.4</v>
      </c>
      <c r="E109" s="99">
        <v>2.2999999999999998</v>
      </c>
      <c r="F109" s="99">
        <v>1.1000000000000001</v>
      </c>
      <c r="G109" s="97">
        <v>0.45</v>
      </c>
      <c r="H109" s="109">
        <v>0.4</v>
      </c>
      <c r="I109" s="83">
        <v>1.5</v>
      </c>
    </row>
    <row r="110" spans="1:9" x14ac:dyDescent="0.3">
      <c r="A110" s="101" t="s">
        <v>211</v>
      </c>
      <c r="B110" s="102"/>
      <c r="C110" s="113">
        <f t="shared" si="4"/>
        <v>128.80000000000001</v>
      </c>
      <c r="D110" s="99">
        <v>14.8</v>
      </c>
      <c r="E110" s="99">
        <v>17.3</v>
      </c>
      <c r="F110" s="99">
        <v>22.6</v>
      </c>
      <c r="G110" s="83">
        <v>16.8</v>
      </c>
      <c r="H110" s="83">
        <v>12.2</v>
      </c>
      <c r="I110" s="83">
        <v>45.1</v>
      </c>
    </row>
    <row r="111" spans="1:9" ht="31.5" x14ac:dyDescent="0.3">
      <c r="A111" s="101" t="s">
        <v>281</v>
      </c>
      <c r="B111" s="102"/>
      <c r="C111" s="113">
        <f t="shared" si="4"/>
        <v>2.3600000000000003</v>
      </c>
      <c r="D111" s="97">
        <v>0.6</v>
      </c>
      <c r="E111" s="99">
        <v>1.06</v>
      </c>
      <c r="F111" s="97">
        <v>0.7</v>
      </c>
      <c r="G111" s="108"/>
      <c r="H111" s="108"/>
      <c r="I111" s="108"/>
    </row>
    <row r="112" spans="1:9" x14ac:dyDescent="0.3">
      <c r="A112" s="101" t="s">
        <v>68</v>
      </c>
      <c r="B112" s="102"/>
      <c r="C112" s="113">
        <f t="shared" si="4"/>
        <v>12.5</v>
      </c>
      <c r="D112" s="98"/>
      <c r="E112" s="98"/>
      <c r="F112" s="99">
        <v>2.2999999999999998</v>
      </c>
      <c r="G112" s="83">
        <v>3.3</v>
      </c>
      <c r="H112" s="83">
        <v>3.6</v>
      </c>
      <c r="I112" s="83">
        <v>3.3</v>
      </c>
    </row>
    <row r="113" spans="1:9" x14ac:dyDescent="0.3">
      <c r="A113" s="101" t="s">
        <v>228</v>
      </c>
      <c r="B113" s="102" t="s">
        <v>213</v>
      </c>
      <c r="C113" s="113">
        <f t="shared" si="4"/>
        <v>6.6</v>
      </c>
      <c r="D113" s="99">
        <v>3</v>
      </c>
      <c r="E113" s="99">
        <v>1</v>
      </c>
      <c r="F113" s="99">
        <v>1.1000000000000001</v>
      </c>
      <c r="G113" s="97">
        <v>0.6</v>
      </c>
      <c r="H113" s="97">
        <v>0.7</v>
      </c>
      <c r="I113" s="97">
        <v>0.2</v>
      </c>
    </row>
    <row r="114" spans="1:9" x14ac:dyDescent="0.3">
      <c r="A114" s="101" t="s">
        <v>71</v>
      </c>
      <c r="B114" s="101"/>
      <c r="C114" s="113">
        <f t="shared" si="4"/>
        <v>30.6</v>
      </c>
      <c r="D114" s="99">
        <v>6.5</v>
      </c>
      <c r="E114" s="99">
        <v>7.7</v>
      </c>
      <c r="F114" s="99">
        <v>8.3000000000000007</v>
      </c>
      <c r="G114" s="83">
        <v>5</v>
      </c>
      <c r="H114" s="83">
        <v>1.5</v>
      </c>
      <c r="I114" s="83">
        <v>1.6</v>
      </c>
    </row>
    <row r="115" spans="1:9" x14ac:dyDescent="0.3">
      <c r="A115" s="101" t="s">
        <v>256</v>
      </c>
      <c r="B115" s="102"/>
      <c r="C115" s="113">
        <f t="shared" si="4"/>
        <v>1.6</v>
      </c>
      <c r="D115" s="99">
        <v>1</v>
      </c>
      <c r="E115" s="97">
        <v>0.6</v>
      </c>
      <c r="F115" s="98"/>
      <c r="G115" s="98"/>
      <c r="H115" s="98"/>
      <c r="I115" s="98"/>
    </row>
    <row r="116" spans="1:9" x14ac:dyDescent="0.3">
      <c r="A116" s="101" t="s">
        <v>265</v>
      </c>
      <c r="B116" s="102" t="s">
        <v>213</v>
      </c>
      <c r="C116" s="113">
        <f t="shared" si="4"/>
        <v>52.3</v>
      </c>
      <c r="D116" s="99">
        <v>2.4</v>
      </c>
      <c r="E116" s="99">
        <v>1.8</v>
      </c>
      <c r="F116" s="99">
        <v>10.3</v>
      </c>
      <c r="G116" s="83">
        <v>7.1</v>
      </c>
      <c r="H116" s="83">
        <v>11</v>
      </c>
      <c r="I116" s="83">
        <v>19.7</v>
      </c>
    </row>
    <row r="117" spans="1:9" x14ac:dyDescent="0.3">
      <c r="A117" s="101" t="s">
        <v>232</v>
      </c>
      <c r="B117" s="102"/>
      <c r="C117" s="113">
        <f t="shared" si="4"/>
        <v>10.050000000000001</v>
      </c>
      <c r="D117" s="99">
        <v>2.2000000000000002</v>
      </c>
      <c r="E117" s="99">
        <v>1.25</v>
      </c>
      <c r="F117" s="99">
        <v>1.9</v>
      </c>
      <c r="G117" s="83">
        <v>1.4</v>
      </c>
      <c r="H117" s="109">
        <v>0.9</v>
      </c>
      <c r="I117" s="83">
        <v>2.4</v>
      </c>
    </row>
    <row r="118" spans="1:9" ht="31.5" x14ac:dyDescent="0.3">
      <c r="A118" s="103" t="s">
        <v>269</v>
      </c>
      <c r="B118" s="104"/>
      <c r="C118" s="113">
        <f t="shared" si="4"/>
        <v>24.8</v>
      </c>
      <c r="D118" s="98"/>
      <c r="E118" s="99">
        <v>3.6</v>
      </c>
      <c r="F118" s="99">
        <v>2.6</v>
      </c>
      <c r="G118" s="83">
        <v>4.5</v>
      </c>
      <c r="H118" s="83">
        <v>5.9</v>
      </c>
      <c r="I118" s="83">
        <v>8.1999999999999993</v>
      </c>
    </row>
    <row r="119" spans="1:9" x14ac:dyDescent="0.3">
      <c r="A119" s="103" t="s">
        <v>266</v>
      </c>
      <c r="B119" s="104"/>
      <c r="C119" s="113">
        <f t="shared" si="4"/>
        <v>3.7</v>
      </c>
      <c r="D119" s="98"/>
      <c r="E119" s="99">
        <v>2.2000000000000002</v>
      </c>
      <c r="F119" s="97">
        <v>0.5</v>
      </c>
      <c r="G119" s="97">
        <v>0.3</v>
      </c>
      <c r="H119" s="109">
        <v>0.6</v>
      </c>
      <c r="I119" s="82">
        <v>0.1</v>
      </c>
    </row>
    <row r="120" spans="1:9" x14ac:dyDescent="0.3">
      <c r="A120" s="101" t="s">
        <v>212</v>
      </c>
      <c r="B120" s="102" t="s">
        <v>213</v>
      </c>
      <c r="C120" s="113">
        <f t="shared" si="4"/>
        <v>29.400000000000002</v>
      </c>
      <c r="D120" s="99" t="s">
        <v>214</v>
      </c>
      <c r="E120" s="99">
        <v>8.8000000000000007</v>
      </c>
      <c r="F120" s="99">
        <v>6.9</v>
      </c>
      <c r="G120" s="83">
        <v>6.9</v>
      </c>
      <c r="H120" s="83">
        <v>3.7</v>
      </c>
      <c r="I120" s="83">
        <v>3.1</v>
      </c>
    </row>
    <row r="121" spans="1:9" x14ac:dyDescent="0.3">
      <c r="A121" s="101" t="s">
        <v>257</v>
      </c>
      <c r="B121" s="102" t="s">
        <v>213</v>
      </c>
      <c r="C121" s="113">
        <f t="shared" si="4"/>
        <v>3.55</v>
      </c>
      <c r="D121" s="99">
        <v>1</v>
      </c>
      <c r="E121" s="97">
        <v>0.6</v>
      </c>
      <c r="F121" s="97">
        <v>0.5</v>
      </c>
      <c r="G121" s="97">
        <v>0.6</v>
      </c>
      <c r="H121" s="97">
        <v>0.8</v>
      </c>
      <c r="I121" s="82">
        <v>0.05</v>
      </c>
    </row>
    <row r="122" spans="1:9" x14ac:dyDescent="0.3">
      <c r="A122" s="101" t="s">
        <v>246</v>
      </c>
      <c r="B122" s="102" t="s">
        <v>213</v>
      </c>
      <c r="C122" s="113">
        <f t="shared" si="4"/>
        <v>2.4799999999999995</v>
      </c>
      <c r="D122" s="99">
        <v>1.2</v>
      </c>
      <c r="E122" s="97">
        <v>0.7</v>
      </c>
      <c r="F122" s="97">
        <v>0.06</v>
      </c>
      <c r="G122" s="97">
        <v>7.0000000000000007E-2</v>
      </c>
      <c r="H122" s="97">
        <v>0.05</v>
      </c>
      <c r="I122" s="97">
        <v>0.4</v>
      </c>
    </row>
    <row r="123" spans="1:9" x14ac:dyDescent="0.3">
      <c r="A123" s="101" t="s">
        <v>223</v>
      </c>
      <c r="B123" s="102"/>
      <c r="C123" s="113">
        <f t="shared" si="4"/>
        <v>16.099999999999998</v>
      </c>
      <c r="D123" s="99">
        <v>4</v>
      </c>
      <c r="E123" s="99">
        <v>3.2</v>
      </c>
      <c r="F123" s="99">
        <v>3.5</v>
      </c>
      <c r="G123" s="83">
        <v>2.5</v>
      </c>
      <c r="H123" s="83">
        <v>1.5</v>
      </c>
      <c r="I123" s="83">
        <v>1.4</v>
      </c>
    </row>
    <row r="124" spans="1:9" x14ac:dyDescent="0.3">
      <c r="A124" s="101" t="s">
        <v>216</v>
      </c>
      <c r="B124" s="102" t="s">
        <v>213</v>
      </c>
      <c r="C124" s="113">
        <f t="shared" si="4"/>
        <v>15</v>
      </c>
      <c r="D124" s="99">
        <v>9.6</v>
      </c>
      <c r="E124" s="99">
        <v>1.5</v>
      </c>
      <c r="F124" s="99">
        <v>3.9</v>
      </c>
      <c r="G124" s="108"/>
      <c r="H124" s="108"/>
      <c r="I124" s="108"/>
    </row>
    <row r="125" spans="1:9" x14ac:dyDescent="0.3">
      <c r="A125" s="101" t="s">
        <v>219</v>
      </c>
      <c r="B125" s="102" t="s">
        <v>213</v>
      </c>
      <c r="C125" s="113">
        <f t="shared" si="4"/>
        <v>12.899999999999999</v>
      </c>
      <c r="D125" s="99">
        <v>5.9</v>
      </c>
      <c r="E125" s="99">
        <v>2.8</v>
      </c>
      <c r="F125" s="99">
        <v>1.6</v>
      </c>
      <c r="G125" s="97">
        <v>0.6</v>
      </c>
      <c r="H125" s="58">
        <v>1</v>
      </c>
      <c r="I125" s="58">
        <v>1</v>
      </c>
    </row>
    <row r="126" spans="1:9" x14ac:dyDescent="0.3">
      <c r="A126" s="101" t="s">
        <v>77</v>
      </c>
      <c r="B126" s="102"/>
      <c r="C126" s="113">
        <f t="shared" si="4"/>
        <v>2.21</v>
      </c>
      <c r="D126" s="99">
        <v>1.4</v>
      </c>
      <c r="E126" s="97">
        <v>0.6</v>
      </c>
      <c r="F126" s="97">
        <v>0.02</v>
      </c>
      <c r="G126" s="97">
        <v>0.06</v>
      </c>
      <c r="H126" s="97">
        <v>0.03</v>
      </c>
      <c r="I126" s="58">
        <v>0.1</v>
      </c>
    </row>
    <row r="127" spans="1:9" x14ac:dyDescent="0.3">
      <c r="A127" s="101" t="s">
        <v>279</v>
      </c>
      <c r="B127" s="102"/>
      <c r="C127" s="113">
        <f t="shared" si="4"/>
        <v>4</v>
      </c>
      <c r="D127" s="98"/>
      <c r="E127" s="98"/>
      <c r="F127" s="98"/>
      <c r="G127" s="98"/>
      <c r="H127" s="97">
        <v>0.7</v>
      </c>
      <c r="I127" s="83">
        <v>3.3</v>
      </c>
    </row>
    <row r="128" spans="1:9" x14ac:dyDescent="0.3">
      <c r="A128" s="101" t="s">
        <v>249</v>
      </c>
      <c r="B128" s="102" t="s">
        <v>213</v>
      </c>
      <c r="C128" s="113">
        <f t="shared" si="4"/>
        <v>4.1000000000000005</v>
      </c>
      <c r="D128" s="99">
        <v>1.2</v>
      </c>
      <c r="E128" s="99">
        <v>2.7</v>
      </c>
      <c r="F128" s="97">
        <v>0.2</v>
      </c>
      <c r="G128" s="108"/>
      <c r="H128" s="108"/>
      <c r="I128" s="83"/>
    </row>
    <row r="129" spans="1:9" x14ac:dyDescent="0.3">
      <c r="A129" s="101" t="s">
        <v>116</v>
      </c>
      <c r="B129" s="102"/>
      <c r="C129" s="113">
        <f t="shared" si="4"/>
        <v>18.499999999999996</v>
      </c>
      <c r="D129" s="99">
        <v>3.6</v>
      </c>
      <c r="E129" s="99">
        <v>5.0999999999999996</v>
      </c>
      <c r="F129" s="99">
        <v>3.6</v>
      </c>
      <c r="G129" s="83">
        <v>2.6</v>
      </c>
      <c r="H129" s="83">
        <v>1.7</v>
      </c>
      <c r="I129" s="83">
        <v>1.9</v>
      </c>
    </row>
    <row r="130" spans="1:9" x14ac:dyDescent="0.3">
      <c r="A130" s="101" t="s">
        <v>217</v>
      </c>
      <c r="B130" s="102"/>
      <c r="C130" s="113">
        <f t="shared" si="4"/>
        <v>9.1</v>
      </c>
      <c r="D130" s="99">
        <v>9.1</v>
      </c>
      <c r="E130" s="98"/>
      <c r="F130" s="98"/>
      <c r="G130" s="108"/>
      <c r="H130" s="108"/>
      <c r="I130" s="83"/>
    </row>
    <row r="131" spans="1:9" x14ac:dyDescent="0.3">
      <c r="A131" s="101" t="s">
        <v>229</v>
      </c>
      <c r="B131" s="102" t="s">
        <v>213</v>
      </c>
      <c r="C131" s="113">
        <f t="shared" si="4"/>
        <v>3.0799999999999996</v>
      </c>
      <c r="D131" s="99">
        <v>2.9</v>
      </c>
      <c r="E131" s="98"/>
      <c r="F131" s="97">
        <v>0.15</v>
      </c>
      <c r="G131" s="108"/>
      <c r="H131" s="109">
        <v>0.03</v>
      </c>
      <c r="I131" s="83"/>
    </row>
    <row r="132" spans="1:9" x14ac:dyDescent="0.3">
      <c r="A132" s="101" t="s">
        <v>239</v>
      </c>
      <c r="B132" s="102" t="s">
        <v>213</v>
      </c>
      <c r="C132" s="113">
        <f t="shared" si="4"/>
        <v>9.2000000000000011</v>
      </c>
      <c r="D132" s="99">
        <v>1.5</v>
      </c>
      <c r="E132" s="99">
        <v>1.4</v>
      </c>
      <c r="F132" s="99">
        <v>2.5</v>
      </c>
      <c r="G132" s="83">
        <v>1.8</v>
      </c>
      <c r="H132" s="109">
        <v>0.7</v>
      </c>
      <c r="I132" s="83">
        <v>1.3</v>
      </c>
    </row>
    <row r="133" spans="1:9" x14ac:dyDescent="0.3">
      <c r="A133" s="101" t="s">
        <v>252</v>
      </c>
      <c r="B133" s="102"/>
      <c r="C133" s="113">
        <f t="shared" si="4"/>
        <v>2.23</v>
      </c>
      <c r="D133" s="99">
        <v>1.1000000000000001</v>
      </c>
      <c r="E133" s="97">
        <v>0.7</v>
      </c>
      <c r="F133" s="97">
        <v>0.4</v>
      </c>
      <c r="G133" s="97">
        <v>0.03</v>
      </c>
      <c r="H133" s="108"/>
      <c r="I133" s="83"/>
    </row>
    <row r="134" spans="1:9" x14ac:dyDescent="0.3">
      <c r="A134" s="101" t="s">
        <v>220</v>
      </c>
      <c r="B134" s="102" t="s">
        <v>213</v>
      </c>
      <c r="C134" s="113">
        <f t="shared" si="4"/>
        <v>4.5</v>
      </c>
      <c r="D134" s="99">
        <v>4.5</v>
      </c>
      <c r="E134" s="98"/>
      <c r="F134" s="98"/>
      <c r="G134" s="98"/>
      <c r="H134" s="108"/>
      <c r="I134" s="83"/>
    </row>
    <row r="135" spans="1:9" x14ac:dyDescent="0.3">
      <c r="A135" s="101" t="s">
        <v>275</v>
      </c>
      <c r="B135" s="102"/>
      <c r="C135" s="113">
        <f t="shared" si="4"/>
        <v>1.2500000000000002</v>
      </c>
      <c r="D135" s="98"/>
      <c r="E135" s="98"/>
      <c r="F135" s="97">
        <v>0.05</v>
      </c>
      <c r="G135" s="83">
        <v>1.1000000000000001</v>
      </c>
      <c r="H135" s="109">
        <v>0.1</v>
      </c>
      <c r="I135" s="83"/>
    </row>
    <row r="136" spans="1:9" ht="31.5" x14ac:dyDescent="0.3">
      <c r="A136" s="103" t="s">
        <v>259</v>
      </c>
      <c r="B136" s="104"/>
      <c r="C136" s="113">
        <f t="shared" si="4"/>
        <v>11.09</v>
      </c>
      <c r="D136" s="98"/>
      <c r="E136" s="99">
        <v>2.5</v>
      </c>
      <c r="F136" s="99">
        <v>2.6</v>
      </c>
      <c r="G136" s="109">
        <v>0.09</v>
      </c>
      <c r="H136" s="83">
        <v>2.2999999999999998</v>
      </c>
      <c r="I136" s="83">
        <v>3.6</v>
      </c>
    </row>
    <row r="137" spans="1:9" x14ac:dyDescent="0.3">
      <c r="A137" s="103" t="s">
        <v>273</v>
      </c>
      <c r="B137" s="104"/>
      <c r="C137" s="113">
        <f t="shared" si="4"/>
        <v>1.8</v>
      </c>
      <c r="D137" s="98"/>
      <c r="E137" s="98"/>
      <c r="F137" s="99">
        <v>1.1000000000000001</v>
      </c>
      <c r="G137" s="109">
        <v>0.5</v>
      </c>
      <c r="H137" s="109">
        <v>0.2</v>
      </c>
      <c r="I137" s="83"/>
    </row>
    <row r="138" spans="1:9" x14ac:dyDescent="0.3">
      <c r="A138" s="103" t="s">
        <v>277</v>
      </c>
      <c r="B138" s="102" t="s">
        <v>213</v>
      </c>
      <c r="C138" s="113">
        <f t="shared" si="4"/>
        <v>2.25</v>
      </c>
      <c r="D138" s="98"/>
      <c r="E138" s="97">
        <v>0.2</v>
      </c>
      <c r="F138" s="97">
        <v>0.35</v>
      </c>
      <c r="G138" s="109">
        <v>0.1</v>
      </c>
      <c r="H138" s="83">
        <v>1.6</v>
      </c>
      <c r="I138" s="83"/>
    </row>
    <row r="139" spans="1:9" x14ac:dyDescent="0.3">
      <c r="A139" s="101" t="s">
        <v>247</v>
      </c>
      <c r="B139" s="102" t="s">
        <v>213</v>
      </c>
      <c r="C139" s="113">
        <f t="shared" si="4"/>
        <v>2.9</v>
      </c>
      <c r="D139" s="99">
        <v>1.2</v>
      </c>
      <c r="E139" s="99">
        <v>1.1000000000000001</v>
      </c>
      <c r="F139" s="97">
        <v>0.4</v>
      </c>
      <c r="G139" s="108"/>
      <c r="H139" s="109">
        <v>0.2</v>
      </c>
      <c r="I139" s="83"/>
    </row>
    <row r="140" spans="1:9" x14ac:dyDescent="0.3">
      <c r="A140" s="101" t="s">
        <v>243</v>
      </c>
      <c r="B140" s="102" t="s">
        <v>213</v>
      </c>
      <c r="C140" s="113">
        <f t="shared" si="4"/>
        <v>6.63</v>
      </c>
      <c r="D140" s="99">
        <v>1.4</v>
      </c>
      <c r="E140" s="99">
        <v>2.9</v>
      </c>
      <c r="F140" s="99">
        <v>1.3</v>
      </c>
      <c r="G140" s="83">
        <v>1</v>
      </c>
      <c r="H140" s="109">
        <v>0.03</v>
      </c>
      <c r="I140" s="83"/>
    </row>
    <row r="141" spans="1:9" x14ac:dyDescent="0.3">
      <c r="A141" s="101" t="s">
        <v>84</v>
      </c>
      <c r="B141" s="102"/>
      <c r="C141" s="113">
        <f t="shared" si="4"/>
        <v>2</v>
      </c>
      <c r="D141" s="98"/>
      <c r="E141" s="98"/>
      <c r="F141" s="98"/>
      <c r="G141" s="98"/>
      <c r="H141" s="98"/>
      <c r="I141" s="83">
        <v>2</v>
      </c>
    </row>
    <row r="142" spans="1:9" x14ac:dyDescent="0.3">
      <c r="A142" s="101" t="s">
        <v>233</v>
      </c>
      <c r="B142" s="102"/>
      <c r="C142" s="113">
        <f t="shared" si="4"/>
        <v>4</v>
      </c>
      <c r="D142" s="99">
        <v>2.2000000000000002</v>
      </c>
      <c r="E142" s="98"/>
      <c r="F142" s="99">
        <v>1.2</v>
      </c>
      <c r="G142" s="97">
        <v>0.6</v>
      </c>
      <c r="H142" s="97">
        <v>0</v>
      </c>
      <c r="I142" s="83"/>
    </row>
    <row r="143" spans="1:9" x14ac:dyDescent="0.3">
      <c r="A143" s="101" t="s">
        <v>278</v>
      </c>
      <c r="B143" s="102"/>
      <c r="C143" s="113">
        <f t="shared" si="4"/>
        <v>1.4</v>
      </c>
      <c r="D143" s="98"/>
      <c r="E143" s="98"/>
      <c r="F143" s="98"/>
      <c r="G143" s="97">
        <v>0.2</v>
      </c>
      <c r="H143" s="83">
        <v>1.2</v>
      </c>
      <c r="I143" s="83"/>
    </row>
    <row r="144" spans="1:9" x14ac:dyDescent="0.3">
      <c r="A144" s="101" t="s">
        <v>272</v>
      </c>
      <c r="B144" s="102" t="s">
        <v>213</v>
      </c>
      <c r="C144" s="113">
        <f t="shared" si="4"/>
        <v>1.3</v>
      </c>
      <c r="D144" s="98"/>
      <c r="E144" s="98"/>
      <c r="F144" s="99">
        <v>1.2</v>
      </c>
      <c r="G144" s="97">
        <v>0.1</v>
      </c>
      <c r="H144" s="108"/>
      <c r="I144" s="83"/>
    </row>
    <row r="145" spans="1:9" x14ac:dyDescent="0.3">
      <c r="A145" s="103" t="s">
        <v>261</v>
      </c>
      <c r="B145" s="104" t="s">
        <v>262</v>
      </c>
      <c r="C145" s="113">
        <f t="shared" si="4"/>
        <v>3.16</v>
      </c>
      <c r="D145" s="97">
        <v>0.2</v>
      </c>
      <c r="E145" s="99">
        <v>1.4</v>
      </c>
      <c r="F145" s="97">
        <f>0.8+0.3</f>
        <v>1.1000000000000001</v>
      </c>
      <c r="G145" s="97">
        <v>0.26</v>
      </c>
      <c r="H145" s="97">
        <v>0.2</v>
      </c>
      <c r="I145" s="83"/>
    </row>
    <row r="146" spans="1:9" x14ac:dyDescent="0.3">
      <c r="A146" s="101" t="s">
        <v>240</v>
      </c>
      <c r="B146" s="102"/>
      <c r="C146" s="113">
        <f t="shared" si="4"/>
        <v>3.8699999999999997</v>
      </c>
      <c r="D146" s="99">
        <v>1.5</v>
      </c>
      <c r="E146" s="99">
        <v>1.3</v>
      </c>
      <c r="F146" s="97">
        <v>0.8</v>
      </c>
      <c r="G146" s="97">
        <v>7.0000000000000007E-2</v>
      </c>
      <c r="H146" s="97">
        <v>0.2</v>
      </c>
      <c r="I146" s="83"/>
    </row>
    <row r="147" spans="1:9" x14ac:dyDescent="0.3">
      <c r="A147" s="101" t="s">
        <v>271</v>
      </c>
      <c r="B147" s="102"/>
      <c r="C147" s="113">
        <f t="shared" si="4"/>
        <v>2.5</v>
      </c>
      <c r="D147" s="98"/>
      <c r="E147" s="99">
        <v>0.5</v>
      </c>
      <c r="F147" s="99">
        <v>1.5</v>
      </c>
      <c r="G147" s="97">
        <v>0.5</v>
      </c>
      <c r="H147" s="108"/>
      <c r="I147" s="83"/>
    </row>
    <row r="148" spans="1:9" x14ac:dyDescent="0.3">
      <c r="A148" s="101" t="s">
        <v>227</v>
      </c>
      <c r="B148" s="102" t="s">
        <v>213</v>
      </c>
      <c r="C148" s="113">
        <f t="shared" si="4"/>
        <v>4.6499999999999995</v>
      </c>
      <c r="D148" s="99">
        <v>3</v>
      </c>
      <c r="E148" s="99">
        <v>1.6</v>
      </c>
      <c r="F148" s="97">
        <v>0.05</v>
      </c>
      <c r="G148" s="108"/>
      <c r="H148" s="108"/>
      <c r="I148" s="83"/>
    </row>
    <row r="149" spans="1:9" x14ac:dyDescent="0.3">
      <c r="A149" s="101" t="s">
        <v>230</v>
      </c>
      <c r="B149" s="102" t="s">
        <v>213</v>
      </c>
      <c r="C149" s="113">
        <f t="shared" si="4"/>
        <v>2.8099999999999996</v>
      </c>
      <c r="D149" s="99">
        <v>2.8</v>
      </c>
      <c r="E149" s="97">
        <v>0.01</v>
      </c>
      <c r="F149" s="97">
        <v>0</v>
      </c>
      <c r="G149" s="97">
        <v>0</v>
      </c>
      <c r="H149" s="108"/>
      <c r="I149" s="83"/>
    </row>
    <row r="150" spans="1:9" x14ac:dyDescent="0.3">
      <c r="A150" s="101" t="s">
        <v>237</v>
      </c>
      <c r="B150" s="102" t="s">
        <v>213</v>
      </c>
      <c r="C150" s="113">
        <f t="shared" si="4"/>
        <v>2.3299999999999996</v>
      </c>
      <c r="D150" s="99">
        <v>1.7</v>
      </c>
      <c r="E150" s="97">
        <v>0.6</v>
      </c>
      <c r="F150" s="97">
        <v>0.03</v>
      </c>
      <c r="G150" s="108"/>
      <c r="H150" s="108"/>
      <c r="I150" s="83"/>
    </row>
    <row r="151" spans="1:9" x14ac:dyDescent="0.3">
      <c r="A151" s="101" t="s">
        <v>255</v>
      </c>
      <c r="B151" s="102" t="s">
        <v>213</v>
      </c>
      <c r="C151" s="113">
        <f t="shared" si="4"/>
        <v>1</v>
      </c>
      <c r="D151" s="99">
        <v>1</v>
      </c>
      <c r="E151" s="98"/>
      <c r="F151" s="98"/>
      <c r="G151" s="108"/>
      <c r="H151" s="108"/>
      <c r="I151" s="83"/>
    </row>
    <row r="152" spans="1:9" x14ac:dyDescent="0.3">
      <c r="A152" s="101" t="s">
        <v>225</v>
      </c>
      <c r="B152" s="102"/>
      <c r="C152" s="113">
        <f t="shared" si="4"/>
        <v>20.200000000000003</v>
      </c>
      <c r="D152" s="99">
        <v>3.9</v>
      </c>
      <c r="E152" s="99">
        <v>1.4</v>
      </c>
      <c r="F152" s="99">
        <v>4.7</v>
      </c>
      <c r="G152" s="83">
        <v>3.4</v>
      </c>
      <c r="H152" s="83">
        <v>3.2</v>
      </c>
      <c r="I152" s="83">
        <v>3.6</v>
      </c>
    </row>
    <row r="153" spans="1:9" x14ac:dyDescent="0.3">
      <c r="A153" s="101" t="s">
        <v>242</v>
      </c>
      <c r="B153" s="102"/>
      <c r="C153" s="113">
        <f t="shared" si="4"/>
        <v>2.1399999999999997</v>
      </c>
      <c r="D153" s="99">
        <v>1.4</v>
      </c>
      <c r="E153" s="97">
        <v>0.7</v>
      </c>
      <c r="F153" s="98"/>
      <c r="G153" s="109">
        <v>0.04</v>
      </c>
      <c r="H153" s="108"/>
      <c r="I153" s="83"/>
    </row>
    <row r="154" spans="1:9" ht="31.5" x14ac:dyDescent="0.3">
      <c r="A154" s="101" t="s">
        <v>215</v>
      </c>
      <c r="B154" s="102" t="s">
        <v>213</v>
      </c>
      <c r="C154" s="113">
        <f t="shared" si="4"/>
        <v>30.4</v>
      </c>
      <c r="D154" s="99">
        <v>11.7</v>
      </c>
      <c r="E154" s="99">
        <v>3.8</v>
      </c>
      <c r="F154" s="99">
        <v>4</v>
      </c>
      <c r="G154" s="83">
        <v>3.3</v>
      </c>
      <c r="H154" s="83">
        <v>4.0999999999999996</v>
      </c>
      <c r="I154" s="83">
        <v>3.5</v>
      </c>
    </row>
    <row r="155" spans="1:9" x14ac:dyDescent="0.3">
      <c r="A155" s="103" t="s">
        <v>258</v>
      </c>
      <c r="B155" s="104"/>
      <c r="C155" s="113">
        <f t="shared" si="4"/>
        <v>12.9</v>
      </c>
      <c r="D155" s="99">
        <v>0.7</v>
      </c>
      <c r="E155" s="99">
        <v>5.5</v>
      </c>
      <c r="F155" s="99">
        <v>3.6</v>
      </c>
      <c r="G155" s="83">
        <v>2.1</v>
      </c>
      <c r="H155" s="58">
        <v>1</v>
      </c>
      <c r="I155" s="83"/>
    </row>
    <row r="156" spans="1:9" x14ac:dyDescent="0.3">
      <c r="A156" s="101" t="s">
        <v>245</v>
      </c>
      <c r="B156" s="102"/>
      <c r="C156" s="113">
        <f t="shared" si="4"/>
        <v>4.41</v>
      </c>
      <c r="D156" s="99">
        <v>1.2</v>
      </c>
      <c r="E156" s="99">
        <v>1.06</v>
      </c>
      <c r="F156" s="99">
        <v>1.05</v>
      </c>
      <c r="G156" s="83">
        <v>1.1000000000000001</v>
      </c>
      <c r="H156" s="108"/>
      <c r="I156" s="83"/>
    </row>
    <row r="157" spans="1:9" x14ac:dyDescent="0.3">
      <c r="A157" s="101" t="s">
        <v>218</v>
      </c>
      <c r="B157" s="102"/>
      <c r="C157" s="113">
        <f t="shared" si="4"/>
        <v>9.6</v>
      </c>
      <c r="D157" s="99">
        <v>7.1</v>
      </c>
      <c r="E157" s="99">
        <v>1.6</v>
      </c>
      <c r="F157" s="99">
        <v>0.4</v>
      </c>
      <c r="G157" s="109">
        <v>0.5</v>
      </c>
      <c r="H157" s="108"/>
      <c r="I157" s="83"/>
    </row>
    <row r="158" spans="1:9" x14ac:dyDescent="0.3">
      <c r="A158" s="101" t="s">
        <v>238</v>
      </c>
      <c r="B158" s="102"/>
      <c r="C158" s="113">
        <f t="shared" si="4"/>
        <v>2.9000000000000004</v>
      </c>
      <c r="D158" s="99">
        <v>1.5</v>
      </c>
      <c r="E158" s="97">
        <v>0.6</v>
      </c>
      <c r="F158" s="99">
        <v>0.4</v>
      </c>
      <c r="G158" s="109">
        <v>0.2</v>
      </c>
      <c r="H158" s="109">
        <v>0.2</v>
      </c>
      <c r="I158" s="83"/>
    </row>
    <row r="159" spans="1:9" x14ac:dyDescent="0.3">
      <c r="A159" s="101" t="s">
        <v>236</v>
      </c>
      <c r="B159" s="102" t="s">
        <v>270</v>
      </c>
      <c r="C159" s="113">
        <f t="shared" ref="C159:C167" si="5">SUM(D159:I159)</f>
        <v>14.25</v>
      </c>
      <c r="D159" s="99">
        <v>1.8</v>
      </c>
      <c r="E159" s="99">
        <v>2.1</v>
      </c>
      <c r="F159" s="99">
        <v>2.25</v>
      </c>
      <c r="G159" s="83">
        <v>1</v>
      </c>
      <c r="H159" s="83">
        <v>3.3</v>
      </c>
      <c r="I159" s="83">
        <v>3.8</v>
      </c>
    </row>
    <row r="160" spans="1:9" x14ac:dyDescent="0.3">
      <c r="A160" s="103" t="s">
        <v>73</v>
      </c>
      <c r="B160" s="104"/>
      <c r="C160" s="113">
        <f t="shared" si="5"/>
        <v>14.3</v>
      </c>
      <c r="D160" s="99">
        <v>0.5</v>
      </c>
      <c r="E160" s="99">
        <v>1.6</v>
      </c>
      <c r="F160" s="99">
        <v>3.3</v>
      </c>
      <c r="G160" s="83">
        <v>4.0999999999999996</v>
      </c>
      <c r="H160" s="83">
        <v>2.2999999999999998</v>
      </c>
      <c r="I160" s="83">
        <v>2.5</v>
      </c>
    </row>
    <row r="161" spans="1:9" x14ac:dyDescent="0.3">
      <c r="A161" s="101" t="s">
        <v>234</v>
      </c>
      <c r="B161" s="102" t="s">
        <v>213</v>
      </c>
      <c r="C161" s="113">
        <f t="shared" si="5"/>
        <v>5</v>
      </c>
      <c r="D161" s="99">
        <v>1.9</v>
      </c>
      <c r="E161" s="99">
        <v>1.4</v>
      </c>
      <c r="F161" s="97">
        <v>0.8</v>
      </c>
      <c r="G161" s="109">
        <v>0.7</v>
      </c>
      <c r="H161" s="109">
        <v>0.2</v>
      </c>
      <c r="I161" s="83"/>
    </row>
    <row r="162" spans="1:9" x14ac:dyDescent="0.3">
      <c r="A162" s="101" t="s">
        <v>280</v>
      </c>
      <c r="B162" s="102"/>
      <c r="C162" s="113">
        <f t="shared" si="5"/>
        <v>2.15</v>
      </c>
      <c r="D162" s="98"/>
      <c r="E162" s="97">
        <v>0.05</v>
      </c>
      <c r="F162" s="98"/>
      <c r="G162" s="109">
        <v>0.3</v>
      </c>
      <c r="H162" s="109">
        <v>0.5</v>
      </c>
      <c r="I162" s="83">
        <v>1.3</v>
      </c>
    </row>
    <row r="163" spans="1:9" x14ac:dyDescent="0.3">
      <c r="A163" s="101" t="s">
        <v>72</v>
      </c>
      <c r="B163" s="102"/>
      <c r="C163" s="113">
        <f t="shared" si="5"/>
        <v>8.6</v>
      </c>
      <c r="D163" s="99">
        <v>1.1000000000000001</v>
      </c>
      <c r="E163" s="99">
        <v>1.7</v>
      </c>
      <c r="F163" s="99">
        <v>0.4</v>
      </c>
      <c r="G163" s="109">
        <v>0.7</v>
      </c>
      <c r="H163" s="83">
        <v>1.5</v>
      </c>
      <c r="I163" s="83">
        <v>3.2</v>
      </c>
    </row>
    <row r="164" spans="1:9" x14ac:dyDescent="0.3">
      <c r="A164" s="101" t="s">
        <v>250</v>
      </c>
      <c r="B164" s="102"/>
      <c r="C164" s="113">
        <f t="shared" si="5"/>
        <v>1.9</v>
      </c>
      <c r="D164" s="99">
        <v>1.2</v>
      </c>
      <c r="E164" s="97">
        <v>0.7</v>
      </c>
      <c r="F164" s="98"/>
      <c r="G164" s="108"/>
      <c r="H164" s="108"/>
      <c r="I164" s="83"/>
    </row>
    <row r="165" spans="1:9" x14ac:dyDescent="0.3">
      <c r="A165" s="103" t="s">
        <v>260</v>
      </c>
      <c r="B165" s="104"/>
      <c r="C165" s="113">
        <f t="shared" si="5"/>
        <v>5.0599999999999996</v>
      </c>
      <c r="D165" s="99">
        <v>0.8</v>
      </c>
      <c r="E165" s="99">
        <v>1.6</v>
      </c>
      <c r="F165" s="99">
        <v>1.6</v>
      </c>
      <c r="G165" s="97">
        <v>0.8</v>
      </c>
      <c r="H165" s="109">
        <v>0.26</v>
      </c>
      <c r="I165" s="83"/>
    </row>
    <row r="166" spans="1:9" x14ac:dyDescent="0.3">
      <c r="A166" s="101" t="s">
        <v>222</v>
      </c>
      <c r="B166" s="102"/>
      <c r="C166" s="113">
        <f t="shared" si="5"/>
        <v>10.1</v>
      </c>
      <c r="D166" s="99">
        <v>4.3</v>
      </c>
      <c r="E166" s="99">
        <v>2.6</v>
      </c>
      <c r="F166" s="99">
        <v>1.5</v>
      </c>
      <c r="G166" s="99">
        <v>1</v>
      </c>
      <c r="H166" s="109">
        <v>0.7</v>
      </c>
      <c r="I166" s="83"/>
    </row>
    <row r="167" spans="1:9" x14ac:dyDescent="0.3">
      <c r="A167" s="101" t="s">
        <v>221</v>
      </c>
      <c r="B167" s="102" t="s">
        <v>213</v>
      </c>
      <c r="C167" s="113">
        <f t="shared" si="5"/>
        <v>4.4000000000000004</v>
      </c>
      <c r="D167" s="99">
        <v>4.4000000000000004</v>
      </c>
      <c r="E167" s="98">
        <v>0</v>
      </c>
      <c r="F167" s="98"/>
      <c r="G167" s="98"/>
      <c r="H167" s="98"/>
      <c r="I167" s="83"/>
    </row>
    <row r="169" spans="1:9" x14ac:dyDescent="0.3">
      <c r="A169" s="90"/>
      <c r="B169" s="84"/>
      <c r="I169"/>
    </row>
  </sheetData>
  <autoFilter ref="A33:I90"/>
  <sortState ref="A35:I90">
    <sortCondition descending="1" ref="C35:C90"/>
  </sortState>
  <pageMargins left="0.11811023622047244" right="0.11811023622047244" top="0.3543307086614173" bottom="0.3543307086614173" header="0.31496062992125984" footer="0.31496062992125984"/>
  <pageSetup paperSize="9" orientation="landscape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7"/>
  <sheetViews>
    <sheetView tabSelected="1" workbookViewId="0">
      <selection activeCell="K20" sqref="K20"/>
    </sheetView>
  </sheetViews>
  <sheetFormatPr defaultRowHeight="18.75" x14ac:dyDescent="0.3"/>
  <sheetData>
    <row r="2" spans="1:10" x14ac:dyDescent="0.3">
      <c r="A2" s="3"/>
      <c r="B2" s="3">
        <v>2014</v>
      </c>
      <c r="C2" s="3">
        <f>B2+1</f>
        <v>2015</v>
      </c>
      <c r="D2" s="3">
        <f t="shared" ref="D2" si="0">C2+1</f>
        <v>2016</v>
      </c>
      <c r="E2" s="3">
        <f t="shared" ref="E2" si="1">D2+1</f>
        <v>2017</v>
      </c>
      <c r="F2" s="3">
        <f t="shared" ref="F2" si="2">E2+1</f>
        <v>2018</v>
      </c>
      <c r="G2" s="3">
        <f t="shared" ref="G2" si="3">F2+1</f>
        <v>2019</v>
      </c>
      <c r="H2" s="3">
        <f>G2+1</f>
        <v>2020</v>
      </c>
      <c r="I2" s="3">
        <f t="shared" ref="I2" si="4">H2+1</f>
        <v>2021</v>
      </c>
      <c r="J2" s="3">
        <f t="shared" ref="J2" si="5">I2+1</f>
        <v>2022</v>
      </c>
    </row>
    <row r="3" spans="1:10" x14ac:dyDescent="0.3">
      <c r="A3" s="3" t="s">
        <v>343</v>
      </c>
      <c r="B3" s="3">
        <v>1249035</v>
      </c>
      <c r="C3" s="3">
        <v>1440323</v>
      </c>
      <c r="D3" s="3">
        <v>2028210</v>
      </c>
      <c r="E3" s="155">
        <v>1507070</v>
      </c>
      <c r="F3" s="3">
        <v>4057097</v>
      </c>
      <c r="G3" s="3">
        <v>3376766</v>
      </c>
      <c r="H3" s="3">
        <v>14025700</v>
      </c>
      <c r="I3" s="3">
        <v>7051380</v>
      </c>
      <c r="J3" s="3">
        <v>6014380</v>
      </c>
    </row>
    <row r="4" spans="1:10" x14ac:dyDescent="0.3">
      <c r="A4" s="3" t="s">
        <v>344</v>
      </c>
      <c r="B4" s="3">
        <v>127987</v>
      </c>
      <c r="C4" s="3">
        <v>313538</v>
      </c>
      <c r="D4" s="3">
        <v>1008</v>
      </c>
      <c r="E4" s="155">
        <v>1114345</v>
      </c>
      <c r="F4" s="3">
        <v>323194</v>
      </c>
      <c r="G4" s="3">
        <v>116308</v>
      </c>
      <c r="H4" s="3">
        <v>1327807</v>
      </c>
      <c r="I4" s="3">
        <v>2224474</v>
      </c>
      <c r="J4" s="3"/>
    </row>
    <row r="5" spans="1:10" x14ac:dyDescent="0.3">
      <c r="A5" s="3" t="s">
        <v>345</v>
      </c>
      <c r="B5" s="3">
        <v>1169720</v>
      </c>
      <c r="C5" s="3">
        <v>764509</v>
      </c>
      <c r="D5" s="3">
        <v>4438394</v>
      </c>
      <c r="E5" s="155">
        <v>194397</v>
      </c>
      <c r="F5" s="3">
        <v>295986</v>
      </c>
      <c r="G5" s="3">
        <v>2457877</v>
      </c>
      <c r="H5" s="3">
        <v>1042759</v>
      </c>
      <c r="I5" s="3"/>
      <c r="J5" s="3"/>
    </row>
    <row r="6" spans="1:10" x14ac:dyDescent="0.3">
      <c r="A6" s="3" t="s">
        <v>346</v>
      </c>
      <c r="B6" s="3"/>
      <c r="C6" s="3"/>
      <c r="D6" s="3"/>
      <c r="E6" s="3"/>
      <c r="F6" s="3"/>
      <c r="G6" s="3"/>
      <c r="H6" s="3"/>
      <c r="I6" s="3">
        <v>727616</v>
      </c>
      <c r="J6" s="3">
        <v>11756254</v>
      </c>
    </row>
    <row r="7" spans="1:10" x14ac:dyDescent="0.3">
      <c r="B7">
        <f>SUM(B3:B6)</f>
        <v>2546742</v>
      </c>
      <c r="C7">
        <f t="shared" ref="C7:I7" si="6">SUM(C3:C6)</f>
        <v>2518370</v>
      </c>
      <c r="D7">
        <f t="shared" si="6"/>
        <v>6467612</v>
      </c>
      <c r="E7">
        <f t="shared" si="6"/>
        <v>2815812</v>
      </c>
      <c r="F7">
        <f t="shared" si="6"/>
        <v>4676277</v>
      </c>
      <c r="G7">
        <f t="shared" si="6"/>
        <v>5950951</v>
      </c>
      <c r="H7">
        <f t="shared" si="6"/>
        <v>16396266</v>
      </c>
      <c r="I7">
        <f t="shared" si="6"/>
        <v>10003470</v>
      </c>
      <c r="J7">
        <v>17770634</v>
      </c>
    </row>
  </sheetData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8:E33"/>
  <sheetViews>
    <sheetView topLeftCell="A19" workbookViewId="0">
      <selection activeCell="F33" sqref="F33"/>
    </sheetView>
  </sheetViews>
  <sheetFormatPr defaultRowHeight="18.75" x14ac:dyDescent="0.3"/>
  <sheetData>
    <row r="8" spans="1:2" ht="19.5" thickBot="1" x14ac:dyDescent="0.35"/>
    <row r="9" spans="1:2" ht="19.5" thickBot="1" x14ac:dyDescent="0.35">
      <c r="A9" s="147" t="s">
        <v>338</v>
      </c>
      <c r="B9" s="148">
        <v>197.8</v>
      </c>
    </row>
    <row r="10" spans="1:2" ht="19.5" thickBot="1" x14ac:dyDescent="0.35">
      <c r="A10" s="150" t="s">
        <v>0</v>
      </c>
      <c r="B10" s="151">
        <v>102.2</v>
      </c>
    </row>
    <row r="11" spans="1:2" ht="19.5" thickBot="1" x14ac:dyDescent="0.35">
      <c r="A11" s="150" t="s">
        <v>139</v>
      </c>
      <c r="B11" s="151">
        <v>43.3</v>
      </c>
    </row>
    <row r="12" spans="1:2" ht="19.5" thickBot="1" x14ac:dyDescent="0.35">
      <c r="A12" s="150" t="s">
        <v>136</v>
      </c>
      <c r="B12" s="151">
        <v>33.700000000000003</v>
      </c>
    </row>
    <row r="13" spans="1:2" ht="19.5" thickBot="1" x14ac:dyDescent="0.35">
      <c r="A13" s="150" t="s">
        <v>141</v>
      </c>
      <c r="B13" s="151">
        <v>20.9</v>
      </c>
    </row>
    <row r="14" spans="1:2" ht="19.5" thickBot="1" x14ac:dyDescent="0.35">
      <c r="A14" s="150" t="s">
        <v>137</v>
      </c>
      <c r="B14" s="151">
        <v>28.8</v>
      </c>
    </row>
    <row r="15" spans="1:2" ht="19.5" thickBot="1" x14ac:dyDescent="0.35">
      <c r="A15" s="150" t="s">
        <v>143</v>
      </c>
      <c r="B15" s="151">
        <v>13.1</v>
      </c>
    </row>
    <row r="16" spans="1:2" ht="19.5" thickBot="1" x14ac:dyDescent="0.35">
      <c r="A16" s="150" t="s">
        <v>146</v>
      </c>
      <c r="B16" s="151">
        <v>11.9</v>
      </c>
    </row>
    <row r="17" spans="1:2" ht="19.5" thickBot="1" x14ac:dyDescent="0.35">
      <c r="A17" s="150" t="s">
        <v>151</v>
      </c>
      <c r="B17" s="151">
        <v>5.6</v>
      </c>
    </row>
    <row r="18" spans="1:2" ht="19.5" thickBot="1" x14ac:dyDescent="0.35">
      <c r="A18" s="150" t="s">
        <v>162</v>
      </c>
      <c r="B18" s="151">
        <v>4.7</v>
      </c>
    </row>
    <row r="19" spans="1:2" ht="19.5" thickBot="1" x14ac:dyDescent="0.35">
      <c r="A19" s="150" t="s">
        <v>149</v>
      </c>
      <c r="B19" s="151">
        <v>4.4000000000000004</v>
      </c>
    </row>
    <row r="20" spans="1:2" ht="19.5" thickBot="1" x14ac:dyDescent="0.35">
      <c r="A20" s="150" t="s">
        <v>153</v>
      </c>
      <c r="B20" s="151">
        <v>3.9</v>
      </c>
    </row>
    <row r="21" spans="1:2" ht="19.5" thickBot="1" x14ac:dyDescent="0.35">
      <c r="A21" s="150" t="s">
        <v>155</v>
      </c>
      <c r="B21" s="151">
        <v>3.6</v>
      </c>
    </row>
    <row r="22" spans="1:2" ht="19.5" thickBot="1" x14ac:dyDescent="0.35">
      <c r="A22" s="153" t="s">
        <v>157</v>
      </c>
      <c r="B22" s="151">
        <v>3.4</v>
      </c>
    </row>
    <row r="23" spans="1:2" ht="19.5" thickBot="1" x14ac:dyDescent="0.35">
      <c r="A23" s="149" t="s">
        <v>166</v>
      </c>
      <c r="B23" s="148">
        <v>2.2000000000000002</v>
      </c>
    </row>
    <row r="24" spans="1:2" ht="19.5" thickBot="1" x14ac:dyDescent="0.35">
      <c r="A24" s="152" t="s">
        <v>169</v>
      </c>
      <c r="B24" s="151">
        <v>2.1</v>
      </c>
    </row>
    <row r="25" spans="1:2" ht="19.5" thickBot="1" x14ac:dyDescent="0.35">
      <c r="A25" s="152" t="s">
        <v>339</v>
      </c>
      <c r="B25" s="151">
        <v>0.6</v>
      </c>
    </row>
    <row r="26" spans="1:2" ht="32.25" thickBot="1" x14ac:dyDescent="0.35">
      <c r="A26" s="152" t="s">
        <v>188</v>
      </c>
      <c r="B26" s="151">
        <v>0.5</v>
      </c>
    </row>
    <row r="27" spans="1:2" ht="19.5" thickBot="1" x14ac:dyDescent="0.35">
      <c r="A27" s="152" t="s">
        <v>202</v>
      </c>
      <c r="B27" s="151">
        <v>0.4</v>
      </c>
    </row>
    <row r="28" spans="1:2" ht="19.5" thickBot="1" x14ac:dyDescent="0.35">
      <c r="A28" s="152" t="s">
        <v>340</v>
      </c>
      <c r="B28" s="151">
        <v>0.3</v>
      </c>
    </row>
    <row r="29" spans="1:2" ht="19.5" thickBot="1" x14ac:dyDescent="0.35">
      <c r="A29" s="152" t="s">
        <v>341</v>
      </c>
      <c r="B29" s="151">
        <v>0.3</v>
      </c>
    </row>
    <row r="30" spans="1:2" ht="19.5" thickBot="1" x14ac:dyDescent="0.35">
      <c r="A30" s="152" t="s">
        <v>342</v>
      </c>
      <c r="B30" s="151">
        <v>0.05</v>
      </c>
    </row>
    <row r="33" spans="2:5" x14ac:dyDescent="0.3">
      <c r="B33" s="154">
        <v>2014</v>
      </c>
      <c r="C33">
        <v>2015</v>
      </c>
      <c r="D33">
        <v>2016</v>
      </c>
      <c r="E33">
        <v>2017</v>
      </c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осн</vt:lpstr>
      <vt:lpstr>ассортимент</vt:lpstr>
      <vt:lpstr>по предпр</vt:lpstr>
      <vt:lpstr>миллион по годам</vt:lpstr>
      <vt:lpstr>спец</vt:lpstr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Тина Рамазанова</dc:creator>
  <cp:lastModifiedBy>Тина Рамазанова</cp:lastModifiedBy>
  <cp:lastPrinted>2023-04-03T08:17:04Z</cp:lastPrinted>
  <dcterms:created xsi:type="dcterms:W3CDTF">2023-02-20T08:57:36Z</dcterms:created>
  <dcterms:modified xsi:type="dcterms:W3CDTF">2023-07-12T10:44:25Z</dcterms:modified>
</cp:coreProperties>
</file>