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Onishenko\Desktop\Portfolio\"/>
    </mc:Choice>
  </mc:AlternateContent>
  <bookViews>
    <workbookView xWindow="0" yWindow="0" windowWidth="23040" windowHeight="9588" activeTab="1"/>
  </bookViews>
  <sheets>
    <sheet name="Допущения" sheetId="5" r:id="rId1"/>
    <sheet name="Суммарно" sheetId="6" r:id="rId2"/>
    <sheet name="CAPEX" sheetId="1" r:id="rId3"/>
    <sheet name="Факт Существ бизнес" sheetId="2" r:id="rId4"/>
    <sheet name="Расчет бизнес кейса" sheetId="3" r:id="rId5"/>
    <sheet name="Рабочая сила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2" l="1"/>
  <c r="E4" i="5" l="1"/>
  <c r="D26" i="6" s="1"/>
  <c r="F16" i="3"/>
  <c r="C9" i="2"/>
  <c r="C8" i="2"/>
  <c r="B14" i="2"/>
  <c r="E32" i="3"/>
  <c r="D32" i="3"/>
  <c r="C32" i="3"/>
  <c r="H14" i="4"/>
  <c r="G14" i="4"/>
  <c r="B6" i="5"/>
  <c r="E20" i="3"/>
  <c r="D20" i="3"/>
  <c r="C20" i="3"/>
  <c r="B20" i="3"/>
  <c r="D19" i="3"/>
  <c r="C19" i="3"/>
  <c r="B11" i="3"/>
  <c r="B13" i="2"/>
  <c r="C21" i="3"/>
  <c r="D21" i="3"/>
  <c r="B21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F19" i="3" s="1"/>
  <c r="E15" i="3"/>
  <c r="E19" i="3" s="1"/>
  <c r="D15" i="3"/>
  <c r="C15" i="3"/>
  <c r="B15" i="3"/>
  <c r="B19" i="3" s="1"/>
  <c r="B11" i="5"/>
  <c r="B8" i="3" l="1"/>
  <c r="D4" i="6" l="1"/>
  <c r="C4" i="6"/>
  <c r="B4" i="6"/>
  <c r="B15" i="2"/>
  <c r="B12" i="2"/>
  <c r="G27" i="3" l="1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F27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B25" i="3"/>
  <c r="AL19" i="3"/>
  <c r="AM19" i="3"/>
  <c r="AN19" i="3"/>
  <c r="AO19" i="3"/>
  <c r="AL20" i="3"/>
  <c r="AM20" i="3"/>
  <c r="AN20" i="3"/>
  <c r="AO20" i="3"/>
  <c r="AK20" i="3"/>
  <c r="AK19" i="3"/>
  <c r="Z19" i="3"/>
  <c r="AA19" i="3"/>
  <c r="AB19" i="3"/>
  <c r="AC19" i="3"/>
  <c r="AD19" i="3"/>
  <c r="AE19" i="3"/>
  <c r="AF19" i="3"/>
  <c r="AG19" i="3"/>
  <c r="AH19" i="3"/>
  <c r="AI19" i="3"/>
  <c r="AJ19" i="3"/>
  <c r="Z20" i="3"/>
  <c r="AA20" i="3"/>
  <c r="AB20" i="3"/>
  <c r="AC20" i="3"/>
  <c r="AD20" i="3"/>
  <c r="AE20" i="3"/>
  <c r="AF20" i="3"/>
  <c r="AG20" i="3"/>
  <c r="AH20" i="3"/>
  <c r="AI20" i="3"/>
  <c r="AJ20" i="3"/>
  <c r="Y20" i="3"/>
  <c r="Y19" i="3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Z17" i="4"/>
  <c r="AL17" i="4"/>
  <c r="Z19" i="4"/>
  <c r="Z28" i="4" s="1"/>
  <c r="Z29" i="4" s="1"/>
  <c r="AA19" i="4"/>
  <c r="AB19" i="4"/>
  <c r="AC19" i="4"/>
  <c r="AC28" i="4" s="1"/>
  <c r="AC29" i="4" s="1"/>
  <c r="AD19" i="4"/>
  <c r="AD28" i="4" s="1"/>
  <c r="AD29" i="4" s="1"/>
  <c r="AE19" i="4"/>
  <c r="AF19" i="4"/>
  <c r="AG19" i="4"/>
  <c r="AG28" i="4" s="1"/>
  <c r="AG29" i="4" s="1"/>
  <c r="AH19" i="4"/>
  <c r="AH28" i="4" s="1"/>
  <c r="AH29" i="4" s="1"/>
  <c r="AI19" i="4"/>
  <c r="AJ19" i="4"/>
  <c r="AK19" i="4"/>
  <c r="AK28" i="4" s="1"/>
  <c r="AK29" i="4" s="1"/>
  <c r="AL19" i="4"/>
  <c r="AL28" i="4" s="1"/>
  <c r="AL29" i="4" s="1"/>
  <c r="AM19" i="4"/>
  <c r="AN19" i="4"/>
  <c r="AO19" i="4"/>
  <c r="AO28" i="4" s="1"/>
  <c r="AO29" i="4" s="1"/>
  <c r="AP19" i="4"/>
  <c r="AP28" i="4" s="1"/>
  <c r="AP29" i="4" s="1"/>
  <c r="AQ19" i="4"/>
  <c r="Z20" i="4"/>
  <c r="AA20" i="4"/>
  <c r="AA29" i="4" s="1"/>
  <c r="AB20" i="4"/>
  <c r="AB29" i="4" s="1"/>
  <c r="AC20" i="4"/>
  <c r="AD20" i="4"/>
  <c r="AE20" i="4"/>
  <c r="AE29" i="4" s="1"/>
  <c r="AF20" i="4"/>
  <c r="AF29" i="4" s="1"/>
  <c r="AG20" i="4"/>
  <c r="AH20" i="4"/>
  <c r="AI20" i="4"/>
  <c r="AI29" i="4" s="1"/>
  <c r="AJ20" i="4"/>
  <c r="AJ29" i="4" s="1"/>
  <c r="AK20" i="4"/>
  <c r="AL20" i="4"/>
  <c r="AM20" i="4"/>
  <c r="AM29" i="4" s="1"/>
  <c r="AN20" i="4"/>
  <c r="AN29" i="4" s="1"/>
  <c r="AO20" i="4"/>
  <c r="AP20" i="4"/>
  <c r="AQ20" i="4"/>
  <c r="AQ29" i="4" s="1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A28" i="4"/>
  <c r="AB28" i="4"/>
  <c r="AE28" i="4"/>
  <c r="AF28" i="4"/>
  <c r="AI28" i="4"/>
  <c r="AJ28" i="4"/>
  <c r="AM28" i="4"/>
  <c r="AN28" i="4"/>
  <c r="AQ28" i="4"/>
  <c r="O19" i="3"/>
  <c r="P19" i="3"/>
  <c r="Q19" i="3"/>
  <c r="R19" i="3"/>
  <c r="S19" i="3"/>
  <c r="T19" i="3"/>
  <c r="U19" i="3"/>
  <c r="V19" i="3"/>
  <c r="W19" i="3"/>
  <c r="X19" i="3"/>
  <c r="O20" i="3"/>
  <c r="P20" i="3"/>
  <c r="Q20" i="3"/>
  <c r="R20" i="3"/>
  <c r="S20" i="3"/>
  <c r="T20" i="3"/>
  <c r="U20" i="3"/>
  <c r="V20" i="3"/>
  <c r="W20" i="3"/>
  <c r="X20" i="3"/>
  <c r="N20" i="3"/>
  <c r="C9" i="6" s="1"/>
  <c r="N19" i="3"/>
  <c r="C24" i="3"/>
  <c r="D24" i="3"/>
  <c r="E24" i="3"/>
  <c r="B24" i="3"/>
  <c r="F17" i="4"/>
  <c r="D29" i="4"/>
  <c r="F18" i="4"/>
  <c r="E17" i="4"/>
  <c r="E18" i="4" s="1"/>
  <c r="D17" i="4"/>
  <c r="D18" i="4" s="1"/>
  <c r="K16" i="4"/>
  <c r="J16" i="4"/>
  <c r="F16" i="4"/>
  <c r="H16" i="4"/>
  <c r="I16" i="4"/>
  <c r="G16" i="4"/>
  <c r="G15" i="4"/>
  <c r="G13" i="4"/>
  <c r="G12" i="4"/>
  <c r="G17" i="4" s="1"/>
  <c r="F12" i="4"/>
  <c r="G11" i="4"/>
  <c r="E28" i="4"/>
  <c r="F28" i="4"/>
  <c r="G28" i="4"/>
  <c r="D28" i="4"/>
  <c r="E29" i="4"/>
  <c r="F29" i="4"/>
  <c r="G29" i="4"/>
  <c r="E25" i="4"/>
  <c r="F25" i="4"/>
  <c r="G25" i="4"/>
  <c r="D25" i="4"/>
  <c r="E21" i="4"/>
  <c r="F21" i="4"/>
  <c r="G21" i="4"/>
  <c r="D21" i="4"/>
  <c r="E19" i="4"/>
  <c r="F19" i="4"/>
  <c r="G19" i="4"/>
  <c r="D19" i="4"/>
  <c r="E9" i="4"/>
  <c r="F9" i="4"/>
  <c r="G9" i="4"/>
  <c r="D9" i="4"/>
  <c r="AP17" i="4" l="1"/>
  <c r="AH17" i="4"/>
  <c r="B27" i="3"/>
  <c r="C27" i="3"/>
  <c r="E27" i="3"/>
  <c r="D27" i="3"/>
  <c r="D17" i="6"/>
  <c r="C17" i="6"/>
  <c r="AD17" i="4"/>
  <c r="AD18" i="4" s="1"/>
  <c r="AB21" i="3" s="1"/>
  <c r="B14" i="6"/>
  <c r="D14" i="6"/>
  <c r="C14" i="6"/>
  <c r="D8" i="6"/>
  <c r="D9" i="6"/>
  <c r="C8" i="6"/>
  <c r="AO17" i="4"/>
  <c r="AO18" i="4" s="1"/>
  <c r="AM21" i="3" s="1"/>
  <c r="AG17" i="4"/>
  <c r="AG18" i="4" s="1"/>
  <c r="AE21" i="3" s="1"/>
  <c r="AC17" i="4"/>
  <c r="AC18" i="4" s="1"/>
  <c r="AA21" i="3" s="1"/>
  <c r="AK17" i="4"/>
  <c r="AK18" i="4" s="1"/>
  <c r="AI21" i="3" s="1"/>
  <c r="AI17" i="4"/>
  <c r="AI18" i="4" s="1"/>
  <c r="AG21" i="3" s="1"/>
  <c r="AQ17" i="4"/>
  <c r="AQ18" i="4" s="1"/>
  <c r="AO21" i="3" s="1"/>
  <c r="AE17" i="4"/>
  <c r="AE18" i="4" s="1"/>
  <c r="AC21" i="3" s="1"/>
  <c r="AM17" i="4"/>
  <c r="AM18" i="4" s="1"/>
  <c r="AK21" i="3" s="1"/>
  <c r="AA17" i="4"/>
  <c r="AA18" i="4" s="1"/>
  <c r="Y21" i="3" s="1"/>
  <c r="AN17" i="4"/>
  <c r="AN18" i="4" s="1"/>
  <c r="AL21" i="3" s="1"/>
  <c r="AJ17" i="4"/>
  <c r="AJ18" i="4" s="1"/>
  <c r="AH21" i="3" s="1"/>
  <c r="AF17" i="4"/>
  <c r="AF18" i="4" s="1"/>
  <c r="AD21" i="3" s="1"/>
  <c r="AB17" i="4"/>
  <c r="AB18" i="4" s="1"/>
  <c r="Z21" i="3" s="1"/>
  <c r="AP18" i="4"/>
  <c r="AN21" i="3" s="1"/>
  <c r="AL18" i="4"/>
  <c r="AJ21" i="3" s="1"/>
  <c r="AH18" i="4"/>
  <c r="AF21" i="3" s="1"/>
  <c r="Z18" i="4"/>
  <c r="X21" i="3" s="1"/>
  <c r="G18" i="4"/>
  <c r="E21" i="3" s="1"/>
  <c r="B7" i="3"/>
  <c r="B17" i="6" l="1"/>
  <c r="D10" i="6"/>
  <c r="X24" i="3" l="1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I27" i="4"/>
  <c r="I28" i="4" s="1"/>
  <c r="J27" i="4"/>
  <c r="K27" i="4"/>
  <c r="L27" i="4"/>
  <c r="M27" i="4"/>
  <c r="M28" i="4" s="1"/>
  <c r="N27" i="4"/>
  <c r="O27" i="4"/>
  <c r="P27" i="4"/>
  <c r="Q27" i="4"/>
  <c r="R27" i="4"/>
  <c r="S27" i="4"/>
  <c r="T27" i="4"/>
  <c r="U27" i="4"/>
  <c r="U28" i="4" s="1"/>
  <c r="V27" i="4"/>
  <c r="W27" i="4"/>
  <c r="X27" i="4"/>
  <c r="Y27" i="4"/>
  <c r="Y28" i="4" s="1"/>
  <c r="H27" i="4"/>
  <c r="H26" i="4"/>
  <c r="H25" i="4"/>
  <c r="H24" i="4"/>
  <c r="H23" i="4"/>
  <c r="H22" i="4"/>
  <c r="H21" i="4"/>
  <c r="H20" i="4"/>
  <c r="H19" i="4"/>
  <c r="H28" i="4" s="1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H10" i="4"/>
  <c r="H9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H15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H13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J12" i="4"/>
  <c r="I12" i="4"/>
  <c r="H12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I11" i="4"/>
  <c r="J11" i="4"/>
  <c r="H11" i="4"/>
  <c r="G20" i="3"/>
  <c r="H20" i="3"/>
  <c r="I20" i="3"/>
  <c r="J20" i="3"/>
  <c r="K20" i="3"/>
  <c r="L20" i="3"/>
  <c r="M20" i="3"/>
  <c r="F20" i="3"/>
  <c r="B9" i="6" s="1"/>
  <c r="G19" i="3"/>
  <c r="H19" i="3"/>
  <c r="I19" i="3"/>
  <c r="J19" i="3"/>
  <c r="K19" i="3"/>
  <c r="L19" i="3"/>
  <c r="M19" i="3"/>
  <c r="B8" i="6" l="1"/>
  <c r="D13" i="6"/>
  <c r="Q28" i="4"/>
  <c r="Q29" i="4"/>
  <c r="O24" i="3" s="1"/>
  <c r="Y29" i="4"/>
  <c r="W24" i="3" s="1"/>
  <c r="U29" i="4"/>
  <c r="S24" i="3" s="1"/>
  <c r="M29" i="4"/>
  <c r="K24" i="3" s="1"/>
  <c r="I29" i="4"/>
  <c r="G24" i="3" s="1"/>
  <c r="H29" i="4"/>
  <c r="F24" i="3" s="1"/>
  <c r="V28" i="4"/>
  <c r="V29" i="4" s="1"/>
  <c r="T24" i="3" s="1"/>
  <c r="R28" i="4"/>
  <c r="R29" i="4" s="1"/>
  <c r="P24" i="3" s="1"/>
  <c r="N28" i="4"/>
  <c r="N29" i="4" s="1"/>
  <c r="L24" i="3" s="1"/>
  <c r="J28" i="4"/>
  <c r="J29" i="4" s="1"/>
  <c r="H24" i="3" s="1"/>
  <c r="W28" i="4"/>
  <c r="W29" i="4" s="1"/>
  <c r="U24" i="3" s="1"/>
  <c r="S28" i="4"/>
  <c r="S29" i="4" s="1"/>
  <c r="Q24" i="3" s="1"/>
  <c r="O28" i="4"/>
  <c r="O29" i="4" s="1"/>
  <c r="M24" i="3" s="1"/>
  <c r="K28" i="4"/>
  <c r="K29" i="4" s="1"/>
  <c r="I24" i="3" s="1"/>
  <c r="X28" i="4"/>
  <c r="X29" i="4" s="1"/>
  <c r="V24" i="3" s="1"/>
  <c r="T28" i="4"/>
  <c r="T29" i="4" s="1"/>
  <c r="R24" i="3" s="1"/>
  <c r="P28" i="4"/>
  <c r="P29" i="4" s="1"/>
  <c r="N24" i="3" s="1"/>
  <c r="L28" i="4"/>
  <c r="L29" i="4" s="1"/>
  <c r="J24" i="3" s="1"/>
  <c r="J17" i="4"/>
  <c r="V17" i="4"/>
  <c r="R17" i="4"/>
  <c r="N17" i="4"/>
  <c r="H17" i="4"/>
  <c r="H18" i="4" s="1"/>
  <c r="F21" i="3" s="1"/>
  <c r="W17" i="4"/>
  <c r="W18" i="4" s="1"/>
  <c r="U21" i="3" s="1"/>
  <c r="S17" i="4"/>
  <c r="S18" i="4" s="1"/>
  <c r="Q21" i="3" s="1"/>
  <c r="O17" i="4"/>
  <c r="O18" i="4" s="1"/>
  <c r="M21" i="3" s="1"/>
  <c r="K17" i="4"/>
  <c r="K18" i="4" s="1"/>
  <c r="I21" i="3" s="1"/>
  <c r="V18" i="4"/>
  <c r="T21" i="3" s="1"/>
  <c r="R18" i="4"/>
  <c r="P21" i="3" s="1"/>
  <c r="N18" i="4"/>
  <c r="L21" i="3" s="1"/>
  <c r="J18" i="4"/>
  <c r="H21" i="3" s="1"/>
  <c r="Y17" i="4"/>
  <c r="Y18" i="4" s="1"/>
  <c r="W21" i="3" s="1"/>
  <c r="U17" i="4"/>
  <c r="U18" i="4" s="1"/>
  <c r="S21" i="3" s="1"/>
  <c r="Q17" i="4"/>
  <c r="Q18" i="4" s="1"/>
  <c r="O21" i="3" s="1"/>
  <c r="M17" i="4"/>
  <c r="M18" i="4" s="1"/>
  <c r="K21" i="3" s="1"/>
  <c r="I17" i="4"/>
  <c r="I18" i="4" s="1"/>
  <c r="G21" i="3" s="1"/>
  <c r="X17" i="4"/>
  <c r="X18" i="4" s="1"/>
  <c r="V21" i="3" s="1"/>
  <c r="T17" i="4"/>
  <c r="T18" i="4" s="1"/>
  <c r="R21" i="3" s="1"/>
  <c r="P17" i="4"/>
  <c r="P18" i="4" s="1"/>
  <c r="N21" i="3" s="1"/>
  <c r="L17" i="4"/>
  <c r="L18" i="4" s="1"/>
  <c r="J21" i="3" s="1"/>
  <c r="B6" i="3"/>
  <c r="C18" i="1"/>
  <c r="B16" i="3" l="1"/>
  <c r="E34" i="3"/>
  <c r="E16" i="3"/>
  <c r="G16" i="3"/>
  <c r="H34" i="3"/>
  <c r="F17" i="3"/>
  <c r="K34" i="3"/>
  <c r="D16" i="3"/>
  <c r="I34" i="3"/>
  <c r="C16" i="3"/>
  <c r="B10" i="6"/>
  <c r="B13" i="6"/>
  <c r="C13" i="6"/>
  <c r="C10" i="6"/>
  <c r="X16" i="3"/>
  <c r="X18" i="3" s="1"/>
  <c r="AB16" i="3"/>
  <c r="AB18" i="3" s="1"/>
  <c r="AF16" i="3"/>
  <c r="AF18" i="3" s="1"/>
  <c r="AJ16" i="3"/>
  <c r="AJ18" i="3" s="1"/>
  <c r="AN16" i="3"/>
  <c r="AN18" i="3" s="1"/>
  <c r="AD16" i="3"/>
  <c r="AD18" i="3" s="1"/>
  <c r="AA16" i="3"/>
  <c r="AA18" i="3" s="1"/>
  <c r="Y16" i="3"/>
  <c r="Y18" i="3" s="1"/>
  <c r="AC16" i="3"/>
  <c r="AC18" i="3" s="1"/>
  <c r="AG16" i="3"/>
  <c r="AG18" i="3" s="1"/>
  <c r="AK16" i="3"/>
  <c r="AK18" i="3" s="1"/>
  <c r="AO16" i="3"/>
  <c r="AO18" i="3" s="1"/>
  <c r="Z16" i="3"/>
  <c r="AH16" i="3"/>
  <c r="AH18" i="3" s="1"/>
  <c r="AL16" i="3"/>
  <c r="AL18" i="3" s="1"/>
  <c r="AE16" i="3"/>
  <c r="AE18" i="3" s="1"/>
  <c r="AI16" i="3"/>
  <c r="AI18" i="3" s="1"/>
  <c r="AM16" i="3"/>
  <c r="AM18" i="3" s="1"/>
  <c r="I16" i="3"/>
  <c r="M16" i="3"/>
  <c r="Q16" i="3"/>
  <c r="Q18" i="3" s="1"/>
  <c r="U16" i="3"/>
  <c r="U18" i="3" s="1"/>
  <c r="J16" i="3"/>
  <c r="N16" i="3"/>
  <c r="R16" i="3"/>
  <c r="R18" i="3" s="1"/>
  <c r="V16" i="3"/>
  <c r="V18" i="3" s="1"/>
  <c r="T16" i="3"/>
  <c r="T18" i="3" s="1"/>
  <c r="K16" i="3"/>
  <c r="O16" i="3"/>
  <c r="O18" i="3" s="1"/>
  <c r="S16" i="3"/>
  <c r="S18" i="3" s="1"/>
  <c r="W16" i="3"/>
  <c r="W18" i="3" s="1"/>
  <c r="H16" i="3"/>
  <c r="H18" i="3" s="1"/>
  <c r="L16" i="3"/>
  <c r="L17" i="3" s="1"/>
  <c r="P16" i="3"/>
  <c r="P18" i="3" s="1"/>
  <c r="D17" i="3" l="1"/>
  <c r="D18" i="3"/>
  <c r="E17" i="3"/>
  <c r="E18" i="3"/>
  <c r="C17" i="3"/>
  <c r="C18" i="3"/>
  <c r="B17" i="3"/>
  <c r="B18" i="3"/>
  <c r="F18" i="3"/>
  <c r="B5" i="6"/>
  <c r="N18" i="3"/>
  <c r="C7" i="6" s="1"/>
  <c r="C5" i="6"/>
  <c r="Z18" i="3"/>
  <c r="D7" i="6" s="1"/>
  <c r="D5" i="6"/>
  <c r="AI17" i="3"/>
  <c r="Z17" i="3"/>
  <c r="AJ17" i="3"/>
  <c r="Y17" i="3"/>
  <c r="AF17" i="3"/>
  <c r="AF22" i="3" s="1"/>
  <c r="AL17" i="3"/>
  <c r="AK17" i="3"/>
  <c r="AK22" i="3" s="1"/>
  <c r="AB17" i="3"/>
  <c r="AC17" i="3"/>
  <c r="AE17" i="3"/>
  <c r="AO17" i="3"/>
  <c r="AD17" i="3"/>
  <c r="AM17" i="3"/>
  <c r="AH17" i="3"/>
  <c r="AG17" i="3"/>
  <c r="AA17" i="3"/>
  <c r="AN17" i="3"/>
  <c r="X17" i="3"/>
  <c r="L18" i="3"/>
  <c r="V17" i="3"/>
  <c r="H17" i="3"/>
  <c r="K17" i="3"/>
  <c r="K18" i="3"/>
  <c r="Q17" i="3"/>
  <c r="G17" i="3"/>
  <c r="G18" i="3"/>
  <c r="M17" i="3"/>
  <c r="M18" i="3"/>
  <c r="O17" i="3"/>
  <c r="U17" i="3"/>
  <c r="R17" i="3"/>
  <c r="W17" i="3"/>
  <c r="N17" i="3"/>
  <c r="P17" i="3"/>
  <c r="S17" i="3"/>
  <c r="T17" i="3"/>
  <c r="J17" i="3"/>
  <c r="J18" i="3"/>
  <c r="I17" i="3"/>
  <c r="I18" i="3"/>
  <c r="C22" i="3" l="1"/>
  <c r="D22" i="3"/>
  <c r="B22" i="3"/>
  <c r="E22" i="3"/>
  <c r="C23" i="3"/>
  <c r="C26" i="3"/>
  <c r="D23" i="3"/>
  <c r="D26" i="3"/>
  <c r="C6" i="6"/>
  <c r="B7" i="6"/>
  <c r="D6" i="6"/>
  <c r="F22" i="3"/>
  <c r="F26" i="3" s="1"/>
  <c r="B6" i="6"/>
  <c r="AK26" i="3"/>
  <c r="AF26" i="3"/>
  <c r="AJ22" i="3"/>
  <c r="AH22" i="3"/>
  <c r="AD22" i="3"/>
  <c r="AE22" i="3"/>
  <c r="AL22" i="3"/>
  <c r="Z22" i="3"/>
  <c r="AK23" i="3"/>
  <c r="AF23" i="3"/>
  <c r="AN22" i="3"/>
  <c r="AM22" i="3"/>
  <c r="AG22" i="3"/>
  <c r="AO22" i="3"/>
  <c r="AC22" i="3"/>
  <c r="X22" i="3"/>
  <c r="AA22" i="3"/>
  <c r="AB22" i="3"/>
  <c r="Y22" i="3"/>
  <c r="AI22" i="3"/>
  <c r="J22" i="3"/>
  <c r="S22" i="3"/>
  <c r="N22" i="3"/>
  <c r="R22" i="3"/>
  <c r="O22" i="3"/>
  <c r="G22" i="3"/>
  <c r="K22" i="3"/>
  <c r="V22" i="3"/>
  <c r="I22" i="3"/>
  <c r="T22" i="3"/>
  <c r="P22" i="3"/>
  <c r="W22" i="3"/>
  <c r="U22" i="3"/>
  <c r="M22" i="3"/>
  <c r="Q22" i="3"/>
  <c r="H22" i="3"/>
  <c r="L22" i="3"/>
  <c r="D28" i="3" l="1"/>
  <c r="E23" i="3"/>
  <c r="E26" i="3"/>
  <c r="C28" i="3"/>
  <c r="B23" i="3"/>
  <c r="B26" i="3"/>
  <c r="AF28" i="3"/>
  <c r="AF29" i="3" s="1"/>
  <c r="AK28" i="3"/>
  <c r="AK29" i="3" s="1"/>
  <c r="F28" i="3"/>
  <c r="F29" i="3" s="1"/>
  <c r="F23" i="3"/>
  <c r="B11" i="6"/>
  <c r="B12" i="6" s="1"/>
  <c r="C11" i="6"/>
  <c r="C12" i="6" s="1"/>
  <c r="D11" i="6"/>
  <c r="D12" i="6" s="1"/>
  <c r="Q26" i="3"/>
  <c r="K26" i="3"/>
  <c r="Y26" i="3"/>
  <c r="AM26" i="3"/>
  <c r="AH26" i="3"/>
  <c r="M26" i="3"/>
  <c r="G26" i="3"/>
  <c r="AB26" i="3"/>
  <c r="AN26" i="3"/>
  <c r="AJ26" i="3"/>
  <c r="U26" i="3"/>
  <c r="I26" i="3"/>
  <c r="O26" i="3"/>
  <c r="J26" i="3"/>
  <c r="AA26" i="3"/>
  <c r="AG26" i="3"/>
  <c r="AE26" i="3"/>
  <c r="P26" i="3"/>
  <c r="N26" i="3"/>
  <c r="AC26" i="3"/>
  <c r="Z26" i="3"/>
  <c r="T26" i="3"/>
  <c r="S26" i="3"/>
  <c r="AO26" i="3"/>
  <c r="AL26" i="3"/>
  <c r="L26" i="3"/>
  <c r="H26" i="3"/>
  <c r="W26" i="3"/>
  <c r="V26" i="3"/>
  <c r="R26" i="3"/>
  <c r="AI26" i="3"/>
  <c r="X26" i="3"/>
  <c r="AD26" i="3"/>
  <c r="AJ23" i="3"/>
  <c r="AD23" i="3"/>
  <c r="AH23" i="3"/>
  <c r="Z23" i="3"/>
  <c r="AL23" i="3"/>
  <c r="AE23" i="3"/>
  <c r="H23" i="3"/>
  <c r="V23" i="3"/>
  <c r="R23" i="3"/>
  <c r="AA23" i="3"/>
  <c r="AG23" i="3"/>
  <c r="M23" i="3"/>
  <c r="T23" i="3"/>
  <c r="G23" i="3"/>
  <c r="S23" i="3"/>
  <c r="AC23" i="3"/>
  <c r="AM23" i="3"/>
  <c r="W23" i="3"/>
  <c r="AI23" i="3"/>
  <c r="Q23" i="3"/>
  <c r="P23" i="3"/>
  <c r="K23" i="3"/>
  <c r="N23" i="3"/>
  <c r="Y23" i="3"/>
  <c r="X23" i="3"/>
  <c r="L23" i="3"/>
  <c r="U23" i="3"/>
  <c r="I23" i="3"/>
  <c r="O23" i="3"/>
  <c r="J23" i="3"/>
  <c r="AB23" i="3"/>
  <c r="AO23" i="3"/>
  <c r="AN23" i="3"/>
  <c r="C29" i="3" l="1"/>
  <c r="C30" i="3" s="1"/>
  <c r="C31" i="3" s="1"/>
  <c r="C35" i="3" s="1"/>
  <c r="D29" i="3"/>
  <c r="D30" i="3" s="1"/>
  <c r="D31" i="3" s="1"/>
  <c r="D35" i="3" s="1"/>
  <c r="B28" i="3"/>
  <c r="E28" i="3"/>
  <c r="AD28" i="3"/>
  <c r="AD29" i="3" s="1"/>
  <c r="V28" i="3"/>
  <c r="V29" i="3" s="1"/>
  <c r="AL28" i="3"/>
  <c r="AL29" i="3" s="1"/>
  <c r="Z28" i="3"/>
  <c r="Z29" i="3" s="1"/>
  <c r="AE28" i="3"/>
  <c r="AE29" i="3" s="1"/>
  <c r="O28" i="3"/>
  <c r="O29" i="3" s="1"/>
  <c r="AN28" i="3"/>
  <c r="AN29" i="3" s="1"/>
  <c r="AH28" i="3"/>
  <c r="AH29" i="3" s="1"/>
  <c r="Q28" i="3"/>
  <c r="Q29" i="3" s="1"/>
  <c r="X28" i="3"/>
  <c r="X29" i="3" s="1"/>
  <c r="W28" i="3"/>
  <c r="W29" i="3" s="1"/>
  <c r="AO28" i="3"/>
  <c r="AO29" i="3" s="1"/>
  <c r="AC28" i="3"/>
  <c r="AC29" i="3" s="1"/>
  <c r="AG28" i="3"/>
  <c r="AG29" i="3" s="1"/>
  <c r="I28" i="3"/>
  <c r="I29" i="3" s="1"/>
  <c r="AB28" i="3"/>
  <c r="AB29" i="3" s="1"/>
  <c r="AM28" i="3"/>
  <c r="AM29" i="3" s="1"/>
  <c r="AI28" i="3"/>
  <c r="AI29" i="3" s="1"/>
  <c r="H28" i="3"/>
  <c r="H29" i="3" s="1"/>
  <c r="S28" i="3"/>
  <c r="S29" i="3" s="1"/>
  <c r="N28" i="3"/>
  <c r="N29" i="3" s="1"/>
  <c r="AA28" i="3"/>
  <c r="AA29" i="3" s="1"/>
  <c r="U28" i="3"/>
  <c r="U29" i="3" s="1"/>
  <c r="G28" i="3"/>
  <c r="G29" i="3" s="1"/>
  <c r="Y28" i="3"/>
  <c r="Y29" i="3" s="1"/>
  <c r="R28" i="3"/>
  <c r="R29" i="3" s="1"/>
  <c r="L28" i="3"/>
  <c r="L29" i="3" s="1"/>
  <c r="T28" i="3"/>
  <c r="T29" i="3" s="1"/>
  <c r="P28" i="3"/>
  <c r="P29" i="3" s="1"/>
  <c r="J28" i="3"/>
  <c r="J29" i="3" s="1"/>
  <c r="AJ28" i="3"/>
  <c r="AJ29" i="3" s="1"/>
  <c r="M28" i="3"/>
  <c r="M29" i="3" s="1"/>
  <c r="K28" i="3"/>
  <c r="K29" i="3" s="1"/>
  <c r="B15" i="6"/>
  <c r="B16" i="6" s="1"/>
  <c r="D15" i="6"/>
  <c r="D16" i="6" s="1"/>
  <c r="C15" i="6"/>
  <c r="C16" i="6" s="1"/>
  <c r="E29" i="3" l="1"/>
  <c r="E30" i="3" s="1"/>
  <c r="E31" i="3" s="1"/>
  <c r="E35" i="3" s="1"/>
  <c r="B29" i="3"/>
  <c r="B30" i="3" s="1"/>
  <c r="B31" i="3" s="1"/>
  <c r="R30" i="3"/>
  <c r="R31" i="3" s="1"/>
  <c r="R35" i="3" s="1"/>
  <c r="AC30" i="3"/>
  <c r="AC31" i="3" s="1"/>
  <c r="AC35" i="3" s="1"/>
  <c r="AH30" i="3"/>
  <c r="AH31" i="3" s="1"/>
  <c r="AH35" i="3" s="1"/>
  <c r="AD30" i="3"/>
  <c r="AD31" i="3" s="1"/>
  <c r="AD35" i="3" s="1"/>
  <c r="M30" i="3"/>
  <c r="M31" i="3" s="1"/>
  <c r="M35" i="3" s="1"/>
  <c r="Y30" i="3"/>
  <c r="Y31" i="3" s="1"/>
  <c r="Y35" i="3" s="1"/>
  <c r="W30" i="3"/>
  <c r="W31" i="3" s="1"/>
  <c r="W35" i="3" s="1"/>
  <c r="AL30" i="3"/>
  <c r="AL31" i="3" s="1"/>
  <c r="AL35" i="3" s="1"/>
  <c r="AF30" i="3"/>
  <c r="AF31" i="3" s="1"/>
  <c r="AF35" i="3" s="1"/>
  <c r="AK30" i="3"/>
  <c r="AK31" i="3" s="1"/>
  <c r="AK35" i="3" s="1"/>
  <c r="O30" i="3"/>
  <c r="O31" i="3" s="1"/>
  <c r="O35" i="3" s="1"/>
  <c r="AO30" i="3"/>
  <c r="AO31" i="3" s="1"/>
  <c r="AO35" i="3" s="1"/>
  <c r="U30" i="3"/>
  <c r="U31" i="3" s="1"/>
  <c r="U35" i="3" s="1"/>
  <c r="S30" i="3"/>
  <c r="S31" i="3" s="1"/>
  <c r="S35" i="3" s="1"/>
  <c r="I30" i="3"/>
  <c r="I31" i="3" s="1"/>
  <c r="I35" i="3" s="1"/>
  <c r="AE30" i="3"/>
  <c r="AE31" i="3" s="1"/>
  <c r="AE35" i="3" s="1"/>
  <c r="V30" i="3"/>
  <c r="V31" i="3" s="1"/>
  <c r="V35" i="3" s="1"/>
  <c r="AA30" i="3" l="1"/>
  <c r="AA31" i="3" s="1"/>
  <c r="AA35" i="3" s="1"/>
  <c r="AB30" i="3"/>
  <c r="AB31" i="3" s="1"/>
  <c r="AB35" i="3" s="1"/>
  <c r="K30" i="3"/>
  <c r="K31" i="3" s="1"/>
  <c r="K35" i="3" s="1"/>
  <c r="J30" i="3"/>
  <c r="J31" i="3" s="1"/>
  <c r="J35" i="3" s="1"/>
  <c r="AN30" i="3"/>
  <c r="AN31" i="3" s="1"/>
  <c r="AN35" i="3" s="1"/>
  <c r="AM30" i="3"/>
  <c r="AM31" i="3" s="1"/>
  <c r="AM35" i="3" s="1"/>
  <c r="Q30" i="3"/>
  <c r="Q31" i="3" s="1"/>
  <c r="Q35" i="3" s="1"/>
  <c r="C18" i="6"/>
  <c r="N30" i="3"/>
  <c r="N31" i="3" s="1"/>
  <c r="N35" i="3" s="1"/>
  <c r="AG30" i="3"/>
  <c r="AG31" i="3" s="1"/>
  <c r="AG35" i="3" s="1"/>
  <c r="T30" i="3"/>
  <c r="T31" i="3" s="1"/>
  <c r="T35" i="3" s="1"/>
  <c r="AI30" i="3"/>
  <c r="AI31" i="3" s="1"/>
  <c r="AI35" i="3" s="1"/>
  <c r="L30" i="3"/>
  <c r="L31" i="3" s="1"/>
  <c r="L35" i="3" s="1"/>
  <c r="F30" i="3"/>
  <c r="F31" i="3" s="1"/>
  <c r="F35" i="3" s="1"/>
  <c r="D18" i="6"/>
  <c r="P30" i="3"/>
  <c r="P31" i="3" s="1"/>
  <c r="P35" i="3" s="1"/>
  <c r="H30" i="3"/>
  <c r="H31" i="3" s="1"/>
  <c r="H35" i="3" s="1"/>
  <c r="AJ30" i="3"/>
  <c r="AJ31" i="3" s="1"/>
  <c r="AJ35" i="3" s="1"/>
  <c r="X30" i="3"/>
  <c r="X31" i="3" s="1"/>
  <c r="X35" i="3" s="1"/>
  <c r="B18" i="6"/>
  <c r="B19" i="6" l="1"/>
  <c r="D19" i="6"/>
  <c r="C20" i="6"/>
  <c r="C22" i="6" s="1"/>
  <c r="Z30" i="3"/>
  <c r="G30" i="3"/>
  <c r="C19" i="6"/>
  <c r="D20" i="6" l="1"/>
  <c r="D22" i="6" s="1"/>
  <c r="Z31" i="3"/>
  <c r="Z35" i="3" s="1"/>
  <c r="B20" i="6"/>
  <c r="B21" i="6" s="1"/>
  <c r="G31" i="3"/>
  <c r="G35" i="3" s="1"/>
  <c r="C21" i="6"/>
  <c r="D4" i="5" l="1"/>
  <c r="C26" i="6" s="1"/>
  <c r="C4" i="5"/>
  <c r="B22" i="6"/>
  <c r="D21" i="6"/>
  <c r="B26" i="6" l="1"/>
  <c r="B32" i="3"/>
  <c r="B35" i="3" s="1"/>
  <c r="B36" i="3" s="1"/>
  <c r="C36" i="3" l="1"/>
  <c r="D36" i="3" s="1"/>
  <c r="E36" i="3" s="1"/>
  <c r="F36" i="3" s="1"/>
  <c r="G36" i="3" s="1"/>
  <c r="H36" i="3" s="1"/>
  <c r="I36" i="3" s="1"/>
  <c r="J36" i="3" s="1"/>
  <c r="K36" i="3" s="1"/>
  <c r="L36" i="3" s="1"/>
  <c r="M36" i="3" s="1"/>
  <c r="N36" i="3" s="1"/>
  <c r="O36" i="3" s="1"/>
  <c r="P36" i="3" s="1"/>
  <c r="Q36" i="3" s="1"/>
  <c r="R36" i="3" s="1"/>
  <c r="S36" i="3" s="1"/>
  <c r="T36" i="3" l="1"/>
  <c r="U36" i="3" l="1"/>
  <c r="V36" i="3" s="1"/>
  <c r="W36" i="3" s="1"/>
  <c r="X36" i="3" s="1"/>
  <c r="Y36" i="3" s="1"/>
  <c r="Z36" i="3" s="1"/>
  <c r="AA36" i="3" s="1"/>
  <c r="AB36" i="3" s="1"/>
  <c r="AC36" i="3" s="1"/>
  <c r="AD36" i="3" s="1"/>
  <c r="AE36" i="3" s="1"/>
  <c r="AF36" i="3" s="1"/>
  <c r="AG36" i="3" s="1"/>
  <c r="AH36" i="3" s="1"/>
  <c r="AI36" i="3" s="1"/>
  <c r="AJ36" i="3" s="1"/>
  <c r="AK36" i="3" s="1"/>
  <c r="AL36" i="3" s="1"/>
  <c r="AM36" i="3" s="1"/>
  <c r="AN36" i="3" s="1"/>
  <c r="AO36" i="3" s="1"/>
  <c r="B37" i="3" l="1"/>
  <c r="B27" i="6" s="1"/>
</calcChain>
</file>

<file path=xl/comments1.xml><?xml version="1.0" encoding="utf-8"?>
<comments xmlns="http://schemas.openxmlformats.org/spreadsheetml/2006/main">
  <authors>
    <author>Anna Onishenko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Anna Onishenko:</t>
        </r>
        <r>
          <rPr>
            <sz val="9"/>
            <color indexed="81"/>
            <rFont val="Tahoma"/>
            <charset val="1"/>
          </rPr>
          <t xml:space="preserve">
5000 USD в год</t>
        </r>
      </text>
    </comment>
  </commentList>
</comments>
</file>

<file path=xl/comments2.xml><?xml version="1.0" encoding="utf-8"?>
<comments xmlns="http://schemas.openxmlformats.org/spreadsheetml/2006/main">
  <authors>
    <author>Anna Onishenko</author>
  </authors>
  <commentList>
    <comment ref="B8" authorId="0" shapeId="0">
      <text>
        <r>
          <rPr>
            <b/>
            <sz val="9"/>
            <color indexed="81"/>
            <rFont val="Tahoma"/>
            <charset val="1"/>
          </rPr>
          <t>Anna Onishenko:</t>
        </r>
        <r>
          <rPr>
            <sz val="9"/>
            <color indexed="81"/>
            <rFont val="Tahoma"/>
            <charset val="1"/>
          </rPr>
          <t xml:space="preserve">
650 грн за 8 кубов</t>
        </r>
      </text>
    </comment>
  </commentList>
</comments>
</file>

<file path=xl/sharedStrings.xml><?xml version="1.0" encoding="utf-8"?>
<sst xmlns="http://schemas.openxmlformats.org/spreadsheetml/2006/main" count="216" uniqueCount="151">
  <si>
    <t>CAPEX</t>
  </si>
  <si>
    <t>Организация производственной площадки</t>
  </si>
  <si>
    <t>Кол-во печей</t>
  </si>
  <si>
    <t>Подготовка территории и установка бетонного покрытия</t>
  </si>
  <si>
    <t>Приобретение печей</t>
  </si>
  <si>
    <t>Установка (монтаж) печей</t>
  </si>
  <si>
    <t>Покупка и установка бытовки</t>
  </si>
  <si>
    <t>Погрузчик (3 погрузчика)</t>
  </si>
  <si>
    <t>Урал с манипулятором (1 урал на участок)</t>
  </si>
  <si>
    <t>Резервный Урал 1</t>
  </si>
  <si>
    <t>Лесовоз MAN (3 лесовоза на участок)</t>
  </si>
  <si>
    <t>Дровокол (2 дровокола на участок)</t>
  </si>
  <si>
    <t>Линия фасовки (1 фасовка на участок)</t>
  </si>
  <si>
    <t>Легкое авто на производственный участок</t>
  </si>
  <si>
    <t>USD</t>
  </si>
  <si>
    <t>СУММАРНО</t>
  </si>
  <si>
    <t>Фактические данные по функционирующему производству</t>
  </si>
  <si>
    <t>Объем производства в месяц, тн</t>
  </si>
  <si>
    <t>EURO</t>
  </si>
  <si>
    <t>Цена реализации 1 тн</t>
  </si>
  <si>
    <t>Допущения</t>
  </si>
  <si>
    <t>М1</t>
  </si>
  <si>
    <t>М2</t>
  </si>
  <si>
    <t>М3</t>
  </si>
  <si>
    <t>М4</t>
  </si>
  <si>
    <t>М5</t>
  </si>
  <si>
    <t>М6</t>
  </si>
  <si>
    <t>М7</t>
  </si>
  <si>
    <t>М8</t>
  </si>
  <si>
    <t>М9</t>
  </si>
  <si>
    <t>М10</t>
  </si>
  <si>
    <t>М11</t>
  </si>
  <si>
    <t>М12</t>
  </si>
  <si>
    <t>М13</t>
  </si>
  <si>
    <t>М14</t>
  </si>
  <si>
    <t>М15</t>
  </si>
  <si>
    <t>М16</t>
  </si>
  <si>
    <t>М17</t>
  </si>
  <si>
    <t>М18</t>
  </si>
  <si>
    <t>Участок</t>
  </si>
  <si>
    <t>на основе существующего бизнеса</t>
  </si>
  <si>
    <t>Кол-во угля, тонны</t>
  </si>
  <si>
    <t>Доход, USD</t>
  </si>
  <si>
    <t>Цена реализации, USD за тонну</t>
  </si>
  <si>
    <t>Ремонт, запчасти в месяц на печь</t>
  </si>
  <si>
    <t xml:space="preserve">Ремонт, запчасти </t>
  </si>
  <si>
    <t>Аренда производственного участка</t>
  </si>
  <si>
    <t>Объем производства на печь, тн</t>
  </si>
  <si>
    <t>Затраты на заработную плату</t>
  </si>
  <si>
    <t>Количество операторов на печь</t>
  </si>
  <si>
    <t>ЗП брутто в месяц</t>
  </si>
  <si>
    <t>Заместитель начальника участка</t>
  </si>
  <si>
    <t>Количество смен</t>
  </si>
  <si>
    <t xml:space="preserve">кол-во </t>
  </si>
  <si>
    <t>Начисления на заработную плату</t>
  </si>
  <si>
    <t>Суммарно зарплата производственного персонала</t>
  </si>
  <si>
    <t>Прогноз финансового результата</t>
  </si>
  <si>
    <t>Допущения:</t>
  </si>
  <si>
    <t>Зарплата производственного персонала</t>
  </si>
  <si>
    <t>Валовая прибыль, USD</t>
  </si>
  <si>
    <t>Валовая прибыль, %</t>
  </si>
  <si>
    <t>Аренда производственного участка в месяц</t>
  </si>
  <si>
    <t>Исполнительный директор-технолог</t>
  </si>
  <si>
    <t>Бухгалтер</t>
  </si>
  <si>
    <t>Юрист</t>
  </si>
  <si>
    <t>Менеджер по закупкам для площадок</t>
  </si>
  <si>
    <t>Менеджер по сбыту</t>
  </si>
  <si>
    <t>Суммарно зарплата админ персонала</t>
  </si>
  <si>
    <t>Зарплата админ персонала</t>
  </si>
  <si>
    <t>EBITDA, USD</t>
  </si>
  <si>
    <t>Движение денежных средств еж/но</t>
  </si>
  <si>
    <t>Движение денежных средств накопительно</t>
  </si>
  <si>
    <t>М19</t>
  </si>
  <si>
    <t>М20</t>
  </si>
  <si>
    <t>М21</t>
  </si>
  <si>
    <t>М22</t>
  </si>
  <si>
    <t>М23</t>
  </si>
  <si>
    <t>М24</t>
  </si>
  <si>
    <t>М25</t>
  </si>
  <si>
    <t>М26</t>
  </si>
  <si>
    <t>М27</t>
  </si>
  <si>
    <t>М28</t>
  </si>
  <si>
    <t>М29</t>
  </si>
  <si>
    <t>М30</t>
  </si>
  <si>
    <t>М31</t>
  </si>
  <si>
    <t>М32</t>
  </si>
  <si>
    <t>М33</t>
  </si>
  <si>
    <t>М34</t>
  </si>
  <si>
    <t>М35</t>
  </si>
  <si>
    <t>М36</t>
  </si>
  <si>
    <t>Период возврата денежных средств, месяцев</t>
  </si>
  <si>
    <t>Себестоимость сырья, USD</t>
  </si>
  <si>
    <t>Амортизация</t>
  </si>
  <si>
    <t>вкл НДС</t>
  </si>
  <si>
    <t>для админ</t>
  </si>
  <si>
    <t>на 3 печи</t>
  </si>
  <si>
    <t>Оператор печи (за месяц до утановки печи)</t>
  </si>
  <si>
    <t>Оператор дровокола (за 2 месяца до установки печи)</t>
  </si>
  <si>
    <t>Операторы фасовки (2 человека за 2 недели до установки печи)</t>
  </si>
  <si>
    <t>Водитель погрузчика (2 чел за месяц)</t>
  </si>
  <si>
    <t>Водитель Урала (за месяц)</t>
  </si>
  <si>
    <t>Менеджер по закупкам леса (сразу)</t>
  </si>
  <si>
    <t>Брокер/ менеджер по логистике</t>
  </si>
  <si>
    <t>участок 2 га</t>
  </si>
  <si>
    <t xml:space="preserve">- Существующий бизнес </t>
  </si>
  <si>
    <t>- Новый бизнес</t>
  </si>
  <si>
    <t>комментарии</t>
  </si>
  <si>
    <t>Содержание зарубежной компании</t>
  </si>
  <si>
    <t>Привлечение инвестиций/ % соучастия</t>
  </si>
  <si>
    <t>Закупка сырья для обеспечения постоянного запаса безопасности</t>
  </si>
  <si>
    <t>М37</t>
  </si>
  <si>
    <t>М38</t>
  </si>
  <si>
    <t>М39</t>
  </si>
  <si>
    <t>М40</t>
  </si>
  <si>
    <t>Начальник участка (сразу)</t>
  </si>
  <si>
    <t>Водитель лесовоза (1 сразу, 2 и 3 в пропорции к установке печи)</t>
  </si>
  <si>
    <t>Директор (сразу)</t>
  </si>
  <si>
    <t>Главный бухгалтер (сразу)</t>
  </si>
  <si>
    <t>- Сырье</t>
  </si>
  <si>
    <t>- Эл/эн</t>
  </si>
  <si>
    <t>- ГСМ</t>
  </si>
  <si>
    <t>- Другие</t>
  </si>
  <si>
    <t>Рост операционных затрат ежегодно</t>
  </si>
  <si>
    <t>Кол-во печей (на конец года)</t>
  </si>
  <si>
    <t>P&amp;L Динамика</t>
  </si>
  <si>
    <t>EBITDA, %</t>
  </si>
  <si>
    <t>Суммарно кол-во печей</t>
  </si>
  <si>
    <t>Кол-во печей существующий бизнес</t>
  </si>
  <si>
    <t>Кол-во печей новый участок</t>
  </si>
  <si>
    <t>- Зарплата производственного персонала в месяц, USD</t>
  </si>
  <si>
    <t>Прямая себестоимость за тонну, USD  (сырье, эл/эн и ГСМ)</t>
  </si>
  <si>
    <t>Налог  (15%)</t>
  </si>
  <si>
    <t>Налог</t>
  </si>
  <si>
    <t>Налог (15%)</t>
  </si>
  <si>
    <t>средневзвешенная между существующим бизнесом и новым участком</t>
  </si>
  <si>
    <t>стоимость бизнеса для инвестора = 3.5 года период возврата вложенных денег, USD</t>
  </si>
  <si>
    <t>стоимость бизнеса для инвестора = 4.5 года период возврата вложенных денег, USD</t>
  </si>
  <si>
    <t>стоимость бизнеса для инвестора = заявленная стоимость, USD</t>
  </si>
  <si>
    <t>- Средневзвешенный показатель</t>
  </si>
  <si>
    <t>Чистая прибыль до выплаты налога, USD</t>
  </si>
  <si>
    <t>Чистая прибыль после выплаты налога, USD</t>
  </si>
  <si>
    <t>Чистая прибыль после выплаты налога, %</t>
  </si>
  <si>
    <t>Чистая прибыль инвестора после выплаты налога, USD</t>
  </si>
  <si>
    <t>CAPEX+Покупка доли существующего бизнеса, USD</t>
  </si>
  <si>
    <t>Инвестирование в развитие бизнеса от миноритарного соучредителя</t>
  </si>
  <si>
    <t>Суммарная себестоимость 1 тн</t>
  </si>
  <si>
    <t>Структура себестоимости за тонну, USD</t>
  </si>
  <si>
    <t>Период амортизации новый участок</t>
  </si>
  <si>
    <t>Период амортизации существующий бизнес</t>
  </si>
  <si>
    <t xml:space="preserve">CAPEX(Инвестор)+Покупка доли существующего бизнеса, USD </t>
  </si>
  <si>
    <t>Затраты на тонну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</si>
</sst>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₴_-;\-* #,##0.00\ _₴_-;_-* &quot;-&quot;??\ _₴_-;_-@_-"/>
    <numFmt numFmtId="164" formatCode="_-* #,##0\ _₴_-;\-* #,##0\ _₴_-;_-* &quot;-&quot;??\ _₴_-;_-@_-"/>
    <numFmt numFmtId="165" formatCode="_-* #,##0.0\ _₴_-;\-* #,##0.0\ _₴_-;_-* &quot;-&quot;?\ _₴_-;_-@_-"/>
    <numFmt numFmtId="166" formatCode="_-* #,##0.0\ _₴_-;\-* #,##0.0\ _₴_-;_-* &quot;-&quot;??\ _₴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7" xfId="1" applyNumberFormat="1" applyFont="1" applyBorder="1"/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0" fontId="2" fillId="2" borderId="9" xfId="0" applyFont="1" applyFill="1" applyBorder="1"/>
    <xf numFmtId="164" fontId="2" fillId="2" borderId="10" xfId="1" applyNumberFormat="1" applyFont="1" applyFill="1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4" fillId="2" borderId="0" xfId="0" applyFont="1" applyFill="1"/>
    <xf numFmtId="0" fontId="0" fillId="0" borderId="10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0" fontId="2" fillId="2" borderId="0" xfId="0" applyFont="1" applyFill="1"/>
    <xf numFmtId="0" fontId="7" fillId="0" borderId="0" xfId="0" applyFont="1"/>
    <xf numFmtId="9" fontId="5" fillId="0" borderId="0" xfId="2" applyFont="1" applyAlignment="1">
      <alignment horizontal="center"/>
    </xf>
    <xf numFmtId="0" fontId="5" fillId="0" borderId="0" xfId="0" applyFont="1" applyAlignment="1">
      <alignment wrapText="1"/>
    </xf>
    <xf numFmtId="0" fontId="0" fillId="2" borderId="0" xfId="0" applyFill="1"/>
    <xf numFmtId="16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vertical="center"/>
    </xf>
    <xf numFmtId="0" fontId="2" fillId="3" borderId="0" xfId="0" applyFont="1" applyFill="1"/>
    <xf numFmtId="164" fontId="2" fillId="3" borderId="0" xfId="1" applyNumberFormat="1" applyFont="1" applyFill="1"/>
    <xf numFmtId="0" fontId="0" fillId="2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165" fontId="0" fillId="0" borderId="0" xfId="0" applyNumberFormat="1"/>
    <xf numFmtId="0" fontId="8" fillId="0" borderId="0" xfId="3"/>
    <xf numFmtId="49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0" fillId="0" borderId="0" xfId="0" applyFill="1"/>
    <xf numFmtId="164" fontId="2" fillId="0" borderId="0" xfId="1" applyNumberFormat="1" applyFont="1" applyFill="1"/>
    <xf numFmtId="0" fontId="0" fillId="0" borderId="18" xfId="0" applyBorder="1"/>
    <xf numFmtId="0" fontId="0" fillId="0" borderId="19" xfId="0" applyBorder="1"/>
    <xf numFmtId="0" fontId="11" fillId="0" borderId="19" xfId="0" applyFont="1" applyBorder="1" applyAlignment="1">
      <alignment horizontal="center" wrapText="1"/>
    </xf>
    <xf numFmtId="0" fontId="11" fillId="0" borderId="19" xfId="0" applyFont="1" applyBorder="1" applyAlignment="1">
      <alignment horizontal="center"/>
    </xf>
    <xf numFmtId="0" fontId="0" fillId="0" borderId="20" xfId="0" applyBorder="1"/>
    <xf numFmtId="164" fontId="0" fillId="0" borderId="0" xfId="1" applyNumberFormat="1" applyFont="1" applyFill="1"/>
    <xf numFmtId="0" fontId="12" fillId="0" borderId="0" xfId="0" applyFont="1" applyFill="1" applyAlignment="1">
      <alignment wrapText="1"/>
    </xf>
    <xf numFmtId="164" fontId="0" fillId="0" borderId="0" xfId="0" applyNumberFormat="1" applyAlignment="1">
      <alignment horizontal="center"/>
    </xf>
    <xf numFmtId="43" fontId="0" fillId="0" borderId="0" xfId="1" applyNumberFormat="1" applyFont="1"/>
    <xf numFmtId="0" fontId="0" fillId="0" borderId="21" xfId="0" applyBorder="1"/>
    <xf numFmtId="0" fontId="2" fillId="0" borderId="22" xfId="0" applyFont="1" applyBorder="1" applyAlignment="1">
      <alignment horizontal="center"/>
    </xf>
    <xf numFmtId="0" fontId="0" fillId="0" borderId="23" xfId="0" applyBorder="1"/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0" fontId="2" fillId="2" borderId="23" xfId="0" applyFont="1" applyFill="1" applyBorder="1"/>
    <xf numFmtId="164" fontId="2" fillId="2" borderId="0" xfId="0" applyNumberFormat="1" applyFont="1" applyFill="1" applyBorder="1"/>
    <xf numFmtId="164" fontId="0" fillId="0" borderId="0" xfId="0" applyNumberFormat="1" applyBorder="1"/>
    <xf numFmtId="0" fontId="0" fillId="0" borderId="23" xfId="0" applyBorder="1" applyAlignment="1">
      <alignment wrapText="1"/>
    </xf>
    <xf numFmtId="0" fontId="7" fillId="0" borderId="23" xfId="0" applyFont="1" applyFill="1" applyBorder="1"/>
    <xf numFmtId="9" fontId="7" fillId="0" borderId="0" xfId="2" applyFont="1" applyFill="1" applyBorder="1" applyAlignment="1">
      <alignment horizontal="center"/>
    </xf>
    <xf numFmtId="0" fontId="7" fillId="0" borderId="24" xfId="0" applyFont="1" applyFill="1" applyBorder="1"/>
    <xf numFmtId="9" fontId="7" fillId="0" borderId="25" xfId="2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9" xfId="1" applyNumberFormat="1" applyFont="1" applyBorder="1"/>
    <xf numFmtId="164" fontId="2" fillId="2" borderId="19" xfId="0" applyNumberFormat="1" applyFont="1" applyFill="1" applyBorder="1"/>
    <xf numFmtId="164" fontId="0" fillId="0" borderId="19" xfId="0" applyNumberFormat="1" applyBorder="1"/>
    <xf numFmtId="9" fontId="7" fillId="0" borderId="19" xfId="2" applyFont="1" applyFill="1" applyBorder="1" applyAlignment="1">
      <alignment horizontal="center"/>
    </xf>
    <xf numFmtId="9" fontId="7" fillId="0" borderId="20" xfId="2" applyFont="1" applyFill="1" applyBorder="1" applyAlignment="1">
      <alignment horizontal="center"/>
    </xf>
    <xf numFmtId="0" fontId="5" fillId="0" borderId="21" xfId="0" applyFont="1" applyBorder="1"/>
    <xf numFmtId="0" fontId="0" fillId="0" borderId="27" xfId="0" applyBorder="1"/>
    <xf numFmtId="49" fontId="0" fillId="0" borderId="24" xfId="0" applyNumberFormat="1" applyBorder="1"/>
    <xf numFmtId="49" fontId="0" fillId="0" borderId="11" xfId="0" applyNumberFormat="1" applyBorder="1"/>
    <xf numFmtId="0" fontId="0" fillId="0" borderId="24" xfId="0" applyBorder="1"/>
    <xf numFmtId="0" fontId="7" fillId="0" borderId="23" xfId="0" applyFont="1" applyBorder="1" applyAlignment="1">
      <alignment wrapText="1"/>
    </xf>
    <xf numFmtId="9" fontId="7" fillId="0" borderId="19" xfId="2" applyFont="1" applyBorder="1" applyAlignment="1">
      <alignment horizontal="center"/>
    </xf>
    <xf numFmtId="43" fontId="0" fillId="0" borderId="0" xfId="0" applyNumberFormat="1"/>
    <xf numFmtId="164" fontId="0" fillId="0" borderId="0" xfId="1" applyNumberFormat="1" applyFont="1" applyAlignment="1">
      <alignment horizontal="center"/>
    </xf>
    <xf numFmtId="16" fontId="13" fillId="0" borderId="0" xfId="0" applyNumberFormat="1" applyFont="1" applyAlignment="1">
      <alignment horizontal="center" wrapText="1"/>
    </xf>
    <xf numFmtId="0" fontId="2" fillId="2" borderId="11" xfId="0" applyFont="1" applyFill="1" applyBorder="1"/>
    <xf numFmtId="164" fontId="2" fillId="2" borderId="2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4" borderId="0" xfId="0" applyFont="1" applyFill="1"/>
    <xf numFmtId="164" fontId="2" fillId="4" borderId="0" xfId="0" applyNumberFormat="1" applyFont="1" applyFill="1"/>
    <xf numFmtId="164" fontId="2" fillId="5" borderId="0" xfId="1" applyNumberFormat="1" applyFont="1" applyFill="1"/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28" xfId="1" applyNumberFormat="1" applyFont="1" applyBorder="1"/>
    <xf numFmtId="164" fontId="0" fillId="0" borderId="26" xfId="1" applyNumberFormat="1" applyFont="1" applyBorder="1"/>
    <xf numFmtId="164" fontId="0" fillId="0" borderId="2" xfId="1" applyNumberFormat="1" applyFont="1" applyBorder="1"/>
    <xf numFmtId="9" fontId="0" fillId="0" borderId="2" xfId="0" applyNumberFormat="1" applyBorder="1" applyAlignment="1">
      <alignment horizontal="center"/>
    </xf>
    <xf numFmtId="9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18" xfId="0" applyNumberFormat="1" applyBorder="1" applyAlignment="1">
      <alignment horizontal="center"/>
    </xf>
    <xf numFmtId="164" fontId="0" fillId="0" borderId="20" xfId="1" applyNumberFormat="1" applyFont="1" applyBorder="1"/>
    <xf numFmtId="164" fontId="2" fillId="0" borderId="1" xfId="1" applyNumberFormat="1" applyFont="1" applyBorder="1"/>
    <xf numFmtId="0" fontId="2" fillId="0" borderId="3" xfId="0" applyFont="1" applyFill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/>
    <xf numFmtId="164" fontId="2" fillId="0" borderId="7" xfId="1" applyNumberFormat="1" applyFont="1" applyBorder="1"/>
    <xf numFmtId="0" fontId="2" fillId="2" borderId="29" xfId="0" applyFont="1" applyFill="1" applyBorder="1"/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166" fontId="0" fillId="0" borderId="15" xfId="1" applyNumberFormat="1" applyFont="1" applyBorder="1"/>
    <xf numFmtId="166" fontId="0" fillId="0" borderId="16" xfId="1" applyNumberFormat="1" applyFont="1" applyBorder="1"/>
    <xf numFmtId="43" fontId="5" fillId="0" borderId="17" xfId="0" applyNumberFormat="1" applyFont="1" applyBorder="1"/>
    <xf numFmtId="0" fontId="14" fillId="0" borderId="0" xfId="0" applyFon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activeCell="E13" sqref="E13"/>
    </sheetView>
  </sheetViews>
  <sheetFormatPr defaultRowHeight="14.4" x14ac:dyDescent="0.3"/>
  <cols>
    <col min="1" max="1" width="41.44140625" customWidth="1"/>
    <col min="2" max="2" width="10.6640625" bestFit="1" customWidth="1"/>
    <col min="3" max="5" width="14.44140625" customWidth="1"/>
  </cols>
  <sheetData>
    <row r="1" spans="1:5" ht="18" x14ac:dyDescent="0.35">
      <c r="A1" s="47" t="s">
        <v>57</v>
      </c>
    </row>
    <row r="2" spans="1:5" ht="15" thickBot="1" x14ac:dyDescent="0.35"/>
    <row r="3" spans="1:5" ht="101.4" customHeight="1" thickBot="1" x14ac:dyDescent="0.35">
      <c r="A3" s="81" t="s">
        <v>108</v>
      </c>
      <c r="B3" s="82"/>
      <c r="C3" s="98" t="s">
        <v>135</v>
      </c>
      <c r="D3" s="99" t="s">
        <v>136</v>
      </c>
      <c r="E3" s="100" t="s">
        <v>137</v>
      </c>
    </row>
    <row r="4" spans="1:5" ht="15" thickBot="1" x14ac:dyDescent="0.35">
      <c r="A4" s="84" t="s">
        <v>104</v>
      </c>
      <c r="B4" s="104">
        <v>0.6</v>
      </c>
      <c r="C4" s="101">
        <f>Суммарно!D22/7*3*B4*3.5</f>
        <v>254088.04714285725</v>
      </c>
      <c r="D4" s="103">
        <f>Суммарно!D22/7*3*B4*4.5</f>
        <v>326684.63204081648</v>
      </c>
      <c r="E4" s="102">
        <f>750000*1.1*B4</f>
        <v>495000.00000000006</v>
      </c>
    </row>
    <row r="5" spans="1:5" ht="15" thickBot="1" x14ac:dyDescent="0.35">
      <c r="A5" s="83" t="s">
        <v>105</v>
      </c>
      <c r="B5" s="105">
        <v>0.8</v>
      </c>
    </row>
    <row r="6" spans="1:5" ht="15" thickBot="1" x14ac:dyDescent="0.35">
      <c r="A6" s="83" t="s">
        <v>138</v>
      </c>
      <c r="B6" s="105">
        <f>(B4*3+B5*4)/7</f>
        <v>0.7142857142857143</v>
      </c>
    </row>
    <row r="7" spans="1:5" ht="15" thickBot="1" x14ac:dyDescent="0.35">
      <c r="A7" s="46"/>
      <c r="B7" s="43"/>
    </row>
    <row r="8" spans="1:5" ht="15" thickBot="1" x14ac:dyDescent="0.35">
      <c r="A8" s="84" t="s">
        <v>122</v>
      </c>
      <c r="B8" s="104">
        <v>0.02</v>
      </c>
    </row>
    <row r="9" spans="1:5" ht="15" thickBot="1" x14ac:dyDescent="0.35">
      <c r="B9" s="1"/>
    </row>
    <row r="10" spans="1:5" x14ac:dyDescent="0.3">
      <c r="A10" s="61" t="s">
        <v>132</v>
      </c>
      <c r="B10" s="107">
        <v>0.15</v>
      </c>
    </row>
    <row r="11" spans="1:5" ht="15" thickBot="1" x14ac:dyDescent="0.35">
      <c r="A11" s="85" t="s">
        <v>107</v>
      </c>
      <c r="B11" s="108">
        <f>5000/12</f>
        <v>416.66666666666669</v>
      </c>
    </row>
    <row r="12" spans="1:5" ht="15" thickBot="1" x14ac:dyDescent="0.35"/>
    <row r="13" spans="1:5" ht="15" thickBot="1" x14ac:dyDescent="0.35">
      <c r="A13" s="13" t="s">
        <v>147</v>
      </c>
      <c r="B13" s="14">
        <v>10</v>
      </c>
    </row>
    <row r="14" spans="1:5" ht="15" thickBot="1" x14ac:dyDescent="0.35">
      <c r="A14" s="13" t="s">
        <v>148</v>
      </c>
      <c r="B14" s="106">
        <v>5</v>
      </c>
    </row>
  </sheetData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  <pageSetUpPr fitToPage="1"/>
  </sheetPr>
  <dimension ref="A1:G32"/>
  <sheetViews>
    <sheetView tabSelected="1" workbookViewId="0">
      <selection activeCell="F14" sqref="F14"/>
    </sheetView>
  </sheetViews>
  <sheetFormatPr defaultRowHeight="14.4" x14ac:dyDescent="0.3"/>
  <cols>
    <col min="1" max="1" width="66.21875" customWidth="1"/>
    <col min="2" max="3" width="11.88671875" customWidth="1"/>
    <col min="4" max="4" width="13.21875" customWidth="1"/>
    <col min="7" max="7" width="12.6640625" bestFit="1" customWidth="1"/>
  </cols>
  <sheetData>
    <row r="1" spans="1:4" ht="18" x14ac:dyDescent="0.35">
      <c r="A1" s="24" t="s">
        <v>124</v>
      </c>
      <c r="B1" s="24"/>
      <c r="C1" s="24"/>
      <c r="D1" s="24"/>
    </row>
    <row r="2" spans="1:4" ht="15" thickBot="1" x14ac:dyDescent="0.35"/>
    <row r="3" spans="1:4" x14ac:dyDescent="0.3">
      <c r="A3" s="61"/>
      <c r="B3" s="74">
        <v>2019</v>
      </c>
      <c r="C3" s="62">
        <v>2020</v>
      </c>
      <c r="D3" s="74">
        <v>2021</v>
      </c>
    </row>
    <row r="4" spans="1:4" x14ac:dyDescent="0.3">
      <c r="A4" s="63" t="s">
        <v>123</v>
      </c>
      <c r="B4" s="75">
        <f>'Расчет бизнес кейса'!M15</f>
        <v>7</v>
      </c>
      <c r="C4" s="64">
        <f>'Расчет бизнес кейса'!Y15</f>
        <v>7</v>
      </c>
      <c r="D4" s="75">
        <f>'Расчет бизнес кейса'!AG15</f>
        <v>7</v>
      </c>
    </row>
    <row r="5" spans="1:4" x14ac:dyDescent="0.3">
      <c r="A5" s="63" t="s">
        <v>41</v>
      </c>
      <c r="B5" s="76">
        <f>SUM('Расчет бизнес кейса'!B16:M16)</f>
        <v>2841.6666666666661</v>
      </c>
      <c r="C5" s="65">
        <f>SUM('Расчет бизнес кейса'!N16:Y16)</f>
        <v>4339.9999999999991</v>
      </c>
      <c r="D5" s="76">
        <f>SUM('Расчет бизнес кейса'!Z16:AK16)</f>
        <v>4339.9999999999991</v>
      </c>
    </row>
    <row r="6" spans="1:4" x14ac:dyDescent="0.3">
      <c r="A6" s="66" t="s">
        <v>42</v>
      </c>
      <c r="B6" s="77">
        <f>SUM('Расчет бизнес кейса'!B17:M17)</f>
        <v>1304893.3333333333</v>
      </c>
      <c r="C6" s="67">
        <f>SUM('Расчет бизнес кейса'!N17:Y17)</f>
        <v>1992927.9999999998</v>
      </c>
      <c r="D6" s="77">
        <f>SUM('Расчет бизнес кейса'!Z17:AK17)</f>
        <v>1992927.9999999998</v>
      </c>
    </row>
    <row r="7" spans="1:4" x14ac:dyDescent="0.3">
      <c r="A7" s="63" t="s">
        <v>91</v>
      </c>
      <c r="B7" s="78">
        <f>SUM('Расчет бизнес кейса'!B18:M18)</f>
        <v>572261.90476190473</v>
      </c>
      <c r="C7" s="68">
        <f>SUM('Расчет бизнес кейса'!N18:Y18)</f>
        <v>892936.66666666663</v>
      </c>
      <c r="D7" s="78">
        <f>SUM('Расчет бизнес кейса'!Z18:AK18)</f>
        <v>910416.6666666664</v>
      </c>
    </row>
    <row r="8" spans="1:4" x14ac:dyDescent="0.3">
      <c r="A8" s="69" t="s">
        <v>45</v>
      </c>
      <c r="B8" s="76">
        <f>SUM('Расчет бизнес кейса'!B19:M19)</f>
        <v>44000</v>
      </c>
      <c r="C8" s="65">
        <f>SUM('Расчет бизнес кейса'!N19:Y19)</f>
        <v>68656</v>
      </c>
      <c r="D8" s="76">
        <f>SUM('Расчет бизнес кейса'!Z19:AK19)</f>
        <v>70000</v>
      </c>
    </row>
    <row r="9" spans="1:4" x14ac:dyDescent="0.3">
      <c r="A9" s="69" t="s">
        <v>46</v>
      </c>
      <c r="B9" s="76">
        <f>SUM('Расчет бизнес кейса'!B20:M20)</f>
        <v>24000</v>
      </c>
      <c r="C9" s="65">
        <f>SUM('Расчет бизнес кейса'!N20:Y20)</f>
        <v>24520</v>
      </c>
      <c r="D9" s="76">
        <f>SUM('Расчет бизнес кейса'!Z20:AK20)</f>
        <v>25000</v>
      </c>
    </row>
    <row r="10" spans="1:4" x14ac:dyDescent="0.3">
      <c r="A10" s="69" t="s">
        <v>58</v>
      </c>
      <c r="B10" s="76">
        <f>SUM('Расчет бизнес кейса'!B21:M21)</f>
        <v>246507.90000000002</v>
      </c>
      <c r="C10" s="65">
        <f>SUM('Расчет бизнес кейса'!N21:Y21)</f>
        <v>362921.52</v>
      </c>
      <c r="D10" s="76">
        <f>SUM('Расчет бизнес кейса'!Z21:AK21)</f>
        <v>362921.52</v>
      </c>
    </row>
    <row r="11" spans="1:4" x14ac:dyDescent="0.3">
      <c r="A11" s="66" t="s">
        <v>59</v>
      </c>
      <c r="B11" s="77">
        <f>SUM('Расчет бизнес кейса'!B22:M22)</f>
        <v>418123.52857142861</v>
      </c>
      <c r="C11" s="67">
        <f>SUM('Расчет бизнес кейса'!N22:Y22)</f>
        <v>643893.81333333335</v>
      </c>
      <c r="D11" s="77">
        <f>SUM('Расчет бизнес кейса'!Z22:AK22)</f>
        <v>624589.81333333347</v>
      </c>
    </row>
    <row r="12" spans="1:4" x14ac:dyDescent="0.3">
      <c r="A12" s="86" t="s">
        <v>60</v>
      </c>
      <c r="B12" s="87">
        <f>B11/B6</f>
        <v>0.32042736206133987</v>
      </c>
      <c r="C12" s="87">
        <f t="shared" ref="C12:D12" si="0">C11/C6</f>
        <v>0.32308935061042515</v>
      </c>
      <c r="D12" s="87">
        <f t="shared" si="0"/>
        <v>0.31340310002836708</v>
      </c>
    </row>
    <row r="13" spans="1:4" x14ac:dyDescent="0.3">
      <c r="A13" s="69" t="s">
        <v>68</v>
      </c>
      <c r="B13" s="76">
        <f>SUM('Расчет бизнес кейса'!B24:M24)</f>
        <v>53201.759999999995</v>
      </c>
      <c r="C13" s="65">
        <f>SUM('Расчет бизнес кейса'!N24:Y24)</f>
        <v>66568.079999999987</v>
      </c>
      <c r="D13" s="76">
        <f>SUM('Расчет бизнес кейса'!Z24:AK24)</f>
        <v>66568.079999999987</v>
      </c>
    </row>
    <row r="14" spans="1:4" x14ac:dyDescent="0.3">
      <c r="A14" s="63" t="s">
        <v>107</v>
      </c>
      <c r="B14" s="76">
        <f>SUM('Расчет бизнес кейса'!B25:M25)</f>
        <v>5000</v>
      </c>
      <c r="C14" s="65">
        <f>SUM('Расчет бизнес кейса'!N25:Y25)</f>
        <v>5000</v>
      </c>
      <c r="D14" s="76">
        <f>SUM('Расчет бизнес кейса'!Z25:AK25)</f>
        <v>5000</v>
      </c>
    </row>
    <row r="15" spans="1:4" x14ac:dyDescent="0.3">
      <c r="A15" s="66" t="s">
        <v>69</v>
      </c>
      <c r="B15" s="77">
        <f>SUM('Расчет бизнес кейса'!B26:M26)</f>
        <v>359921.76857142861</v>
      </c>
      <c r="C15" s="67">
        <f>SUM('Расчет бизнес кейса'!N26:Y26)</f>
        <v>572325.73333333363</v>
      </c>
      <c r="D15" s="77">
        <f>SUM('Расчет бизнес кейса'!Z26:AK26)</f>
        <v>553021.73333333351</v>
      </c>
    </row>
    <row r="16" spans="1:4" x14ac:dyDescent="0.3">
      <c r="A16" s="70" t="s">
        <v>125</v>
      </c>
      <c r="B16" s="79">
        <f>B15/B6</f>
        <v>0.27582466656643351</v>
      </c>
      <c r="C16" s="71">
        <f t="shared" ref="C16:D16" si="1">C15/C6</f>
        <v>0.28717832923885545</v>
      </c>
      <c r="D16" s="79">
        <f t="shared" si="1"/>
        <v>0.2774920786567972</v>
      </c>
    </row>
    <row r="17" spans="1:7" x14ac:dyDescent="0.3">
      <c r="A17" s="63" t="s">
        <v>92</v>
      </c>
      <c r="B17" s="76">
        <f>SUM('Расчет бизнес кейса'!B27:M27)</f>
        <v>71257.523809523816</v>
      </c>
      <c r="C17" s="65">
        <f>SUM('Расчет бизнес кейса'!N27:Y27)</f>
        <v>88023.999999999985</v>
      </c>
      <c r="D17" s="76">
        <f>SUM('Расчет бизнес кейса'!Z27:AK27)</f>
        <v>88023.999999999985</v>
      </c>
    </row>
    <row r="18" spans="1:7" x14ac:dyDescent="0.3">
      <c r="A18" s="66" t="s">
        <v>139</v>
      </c>
      <c r="B18" s="77">
        <f>SUM('Расчет бизнес кейса'!B28:M28)</f>
        <v>288664.24476190482</v>
      </c>
      <c r="C18" s="67">
        <f>SUM('Расчет бизнес кейса'!N28:Y28)</f>
        <v>484301.73333333334</v>
      </c>
      <c r="D18" s="77">
        <f>SUM('Расчет бизнес кейса'!Z28:AK28)</f>
        <v>464997.73333333363</v>
      </c>
    </row>
    <row r="19" spans="1:7" x14ac:dyDescent="0.3">
      <c r="A19" s="63" t="s">
        <v>133</v>
      </c>
      <c r="B19" s="76">
        <f>SUM('Расчет бизнес кейса'!B29:M29)</f>
        <v>43299.63671428572</v>
      </c>
      <c r="C19" s="65">
        <f>SUM('Расчет бизнес кейса'!N29:Y29)</f>
        <v>72645.260000000024</v>
      </c>
      <c r="D19" s="76">
        <f>SUM('Расчет бизнес кейса'!Z29:AK29)</f>
        <v>69749.660000000033</v>
      </c>
    </row>
    <row r="20" spans="1:7" x14ac:dyDescent="0.3">
      <c r="A20" s="66" t="s">
        <v>140</v>
      </c>
      <c r="B20" s="77">
        <f>SUM('Расчет бизнес кейса'!B30:M30)</f>
        <v>245364.60804761911</v>
      </c>
      <c r="C20" s="67">
        <f>SUM('Расчет бизнес кейса'!N30:Y30)</f>
        <v>411656.47333333327</v>
      </c>
      <c r="D20" s="77">
        <f>SUM('Расчет бизнес кейса'!Z30:AK30)</f>
        <v>395248.07333333348</v>
      </c>
    </row>
    <row r="21" spans="1:7" ht="15" thickBot="1" x14ac:dyDescent="0.35">
      <c r="A21" s="72" t="s">
        <v>141</v>
      </c>
      <c r="B21" s="80">
        <f>B20/B6</f>
        <v>0.18803422607795717</v>
      </c>
      <c r="C21" s="73">
        <f>C20/C6</f>
        <v>0.20655862797518693</v>
      </c>
      <c r="D21" s="80">
        <f>D20/D6</f>
        <v>0.19832531498043759</v>
      </c>
    </row>
    <row r="22" spans="1:7" ht="15" thickBot="1" x14ac:dyDescent="0.35">
      <c r="A22" s="91" t="s">
        <v>142</v>
      </c>
      <c r="B22" s="92">
        <f>B20*Допущения!$B$6</f>
        <v>175260.43431972794</v>
      </c>
      <c r="C22" s="92">
        <f>C20*Допущения!$B$6</f>
        <v>294040.33809523808</v>
      </c>
      <c r="D22" s="92">
        <f>D20*Допущения!$B$6</f>
        <v>282320.05238095252</v>
      </c>
    </row>
    <row r="23" spans="1:7" s="50" customFormat="1" x14ac:dyDescent="0.3">
      <c r="A23" s="93"/>
      <c r="B23" s="94"/>
      <c r="C23" s="94"/>
      <c r="D23" s="94"/>
    </row>
    <row r="24" spans="1:7" s="50" customFormat="1" ht="15" thickBot="1" x14ac:dyDescent="0.35">
      <c r="A24" s="93"/>
      <c r="B24" s="94"/>
      <c r="C24" s="94"/>
      <c r="D24" s="94"/>
    </row>
    <row r="25" spans="1:7" s="50" customFormat="1" ht="115.2" x14ac:dyDescent="0.3">
      <c r="A25" s="110"/>
      <c r="B25" s="111" t="s">
        <v>135</v>
      </c>
      <c r="C25" s="111" t="s">
        <v>136</v>
      </c>
      <c r="D25" s="112" t="s">
        <v>137</v>
      </c>
    </row>
    <row r="26" spans="1:7" x14ac:dyDescent="0.3">
      <c r="A26" s="113" t="s">
        <v>149</v>
      </c>
      <c r="B26" s="109">
        <f>CAPEX!C18*Допущения!$B$5+Допущения!C4</f>
        <v>958280.04714285722</v>
      </c>
      <c r="C26" s="109">
        <f>CAPEX!C18*Допущения!$B$5+Допущения!D4</f>
        <v>1030876.6320408165</v>
      </c>
      <c r="D26" s="114">
        <f>CAPEX!C18*Допущения!$B$5+Допущения!E4</f>
        <v>1199192</v>
      </c>
    </row>
    <row r="27" spans="1:7" ht="15" thickBot="1" x14ac:dyDescent="0.35">
      <c r="A27" s="115" t="s">
        <v>90</v>
      </c>
      <c r="B27" s="116">
        <f>'Расчет бизнес кейса'!B37</f>
        <v>32</v>
      </c>
      <c r="C27" s="116">
        <v>35</v>
      </c>
      <c r="D27" s="117">
        <v>42</v>
      </c>
    </row>
    <row r="28" spans="1:7" x14ac:dyDescent="0.3">
      <c r="D28" s="88"/>
    </row>
    <row r="30" spans="1:7" x14ac:dyDescent="0.3">
      <c r="D30" s="88"/>
    </row>
    <row r="32" spans="1:7" x14ac:dyDescent="0.3">
      <c r="D32" s="88"/>
      <c r="G32" s="88"/>
    </row>
  </sheetData>
  <pageMargins left="0.7" right="0.7" top="0.75" bottom="0.75" header="0.3" footer="0.3"/>
  <pageSetup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21"/>
  <sheetViews>
    <sheetView workbookViewId="0">
      <selection activeCell="D8" sqref="D8"/>
    </sheetView>
  </sheetViews>
  <sheetFormatPr defaultRowHeight="14.4" x14ac:dyDescent="0.3"/>
  <cols>
    <col min="1" max="1" width="7.44140625" customWidth="1"/>
    <col min="2" max="2" width="51.109375" customWidth="1"/>
    <col min="3" max="3" width="12.6640625" bestFit="1" customWidth="1"/>
    <col min="4" max="4" width="23.77734375" customWidth="1"/>
    <col min="6" max="6" width="11.6640625" bestFit="1" customWidth="1"/>
  </cols>
  <sheetData>
    <row r="1" spans="1:6" ht="19.8" x14ac:dyDescent="0.4">
      <c r="A1" s="2" t="s">
        <v>0</v>
      </c>
      <c r="B1" s="2"/>
      <c r="C1" s="2"/>
    </row>
    <row r="2" spans="1:6" ht="19.8" x14ac:dyDescent="0.4">
      <c r="A2" s="2" t="s">
        <v>1</v>
      </c>
      <c r="B2" s="2"/>
      <c r="C2" s="2"/>
    </row>
    <row r="3" spans="1:6" ht="15" thickBot="1" x14ac:dyDescent="0.35"/>
    <row r="4" spans="1:6" ht="15" thickBot="1" x14ac:dyDescent="0.35">
      <c r="B4" s="13" t="s">
        <v>2</v>
      </c>
      <c r="C4" s="14">
        <v>4</v>
      </c>
      <c r="F4" s="45"/>
    </row>
    <row r="5" spans="1:6" ht="15" thickBot="1" x14ac:dyDescent="0.35">
      <c r="C5" s="48" t="s">
        <v>93</v>
      </c>
      <c r="D5" s="48" t="s">
        <v>106</v>
      </c>
    </row>
    <row r="6" spans="1:6" x14ac:dyDescent="0.3">
      <c r="A6" s="4"/>
      <c r="B6" s="5"/>
      <c r="C6" s="6" t="s">
        <v>14</v>
      </c>
      <c r="D6" s="52"/>
    </row>
    <row r="7" spans="1:6" x14ac:dyDescent="0.3">
      <c r="A7" s="8">
        <v>1</v>
      </c>
      <c r="B7" s="3" t="s">
        <v>3</v>
      </c>
      <c r="C7" s="7">
        <v>15000</v>
      </c>
      <c r="D7" s="53"/>
    </row>
    <row r="8" spans="1:6" x14ac:dyDescent="0.3">
      <c r="A8" s="8">
        <v>2</v>
      </c>
      <c r="B8" s="3" t="s">
        <v>4</v>
      </c>
      <c r="C8" s="7">
        <v>528000</v>
      </c>
      <c r="D8" s="54"/>
      <c r="F8" s="44"/>
    </row>
    <row r="9" spans="1:6" x14ac:dyDescent="0.3">
      <c r="A9" s="8">
        <v>3</v>
      </c>
      <c r="B9" s="3" t="s">
        <v>5</v>
      </c>
      <c r="C9" s="7">
        <v>20000</v>
      </c>
      <c r="D9" s="53"/>
    </row>
    <row r="10" spans="1:6" x14ac:dyDescent="0.3">
      <c r="A10" s="8">
        <v>4</v>
      </c>
      <c r="B10" s="3" t="s">
        <v>6</v>
      </c>
      <c r="C10" s="7">
        <v>6000</v>
      </c>
      <c r="D10" s="53"/>
    </row>
    <row r="11" spans="1:6" x14ac:dyDescent="0.3">
      <c r="A11" s="8">
        <v>5</v>
      </c>
      <c r="B11" s="3" t="s">
        <v>7</v>
      </c>
      <c r="C11" s="7">
        <v>48000</v>
      </c>
      <c r="D11" s="53"/>
    </row>
    <row r="12" spans="1:6" x14ac:dyDescent="0.3">
      <c r="A12" s="8">
        <v>6</v>
      </c>
      <c r="B12" s="3" t="s">
        <v>8</v>
      </c>
      <c r="C12" s="7">
        <v>25000</v>
      </c>
      <c r="D12" s="53"/>
    </row>
    <row r="13" spans="1:6" x14ac:dyDescent="0.3">
      <c r="A13" s="8">
        <v>7</v>
      </c>
      <c r="B13" s="3" t="s">
        <v>9</v>
      </c>
      <c r="C13" s="7">
        <v>25000</v>
      </c>
      <c r="D13" s="53"/>
    </row>
    <row r="14" spans="1:6" x14ac:dyDescent="0.3">
      <c r="A14" s="8">
        <v>8</v>
      </c>
      <c r="B14" s="3" t="s">
        <v>10</v>
      </c>
      <c r="C14" s="7">
        <v>114450.00000000001</v>
      </c>
      <c r="D14" s="53"/>
    </row>
    <row r="15" spans="1:6" x14ac:dyDescent="0.3">
      <c r="A15" s="8">
        <v>9</v>
      </c>
      <c r="B15" s="3" t="s">
        <v>11</v>
      </c>
      <c r="C15" s="7">
        <v>50000</v>
      </c>
      <c r="D15" s="53"/>
    </row>
    <row r="16" spans="1:6" x14ac:dyDescent="0.3">
      <c r="A16" s="8">
        <v>10</v>
      </c>
      <c r="B16" s="3" t="s">
        <v>12</v>
      </c>
      <c r="C16" s="7">
        <v>33790</v>
      </c>
      <c r="D16" s="53"/>
    </row>
    <row r="17" spans="1:4" ht="15" thickBot="1" x14ac:dyDescent="0.35">
      <c r="A17" s="8">
        <v>11</v>
      </c>
      <c r="B17" s="3" t="s">
        <v>13</v>
      </c>
      <c r="C17" s="7">
        <v>15000</v>
      </c>
      <c r="D17" s="55" t="s">
        <v>94</v>
      </c>
    </row>
    <row r="18" spans="1:4" ht="15" thickBot="1" x14ac:dyDescent="0.35">
      <c r="A18" s="10"/>
      <c r="B18" s="11" t="s">
        <v>15</v>
      </c>
      <c r="C18" s="12">
        <f>SUM(C7:C17)</f>
        <v>880240</v>
      </c>
      <c r="D18" s="56"/>
    </row>
    <row r="21" spans="1:4" x14ac:dyDescent="0.3">
      <c r="C21" s="44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E17"/>
  <sheetViews>
    <sheetView workbookViewId="0">
      <selection activeCell="E18" sqref="E18"/>
    </sheetView>
  </sheetViews>
  <sheetFormatPr defaultRowHeight="14.4" x14ac:dyDescent="0.3"/>
  <cols>
    <col min="1" max="1" width="53.77734375" customWidth="1"/>
    <col min="2" max="3" width="11.6640625" bestFit="1" customWidth="1"/>
  </cols>
  <sheetData>
    <row r="1" spans="1:5" ht="18" x14ac:dyDescent="0.35">
      <c r="A1" s="24" t="s">
        <v>16</v>
      </c>
      <c r="B1" s="24"/>
      <c r="C1" s="24"/>
      <c r="D1" s="24"/>
      <c r="E1" s="24"/>
    </row>
    <row r="2" spans="1:5" ht="15" thickBot="1" x14ac:dyDescent="0.35"/>
    <row r="3" spans="1:5" ht="15" thickBot="1" x14ac:dyDescent="0.35">
      <c r="A3" s="9" t="s">
        <v>2</v>
      </c>
      <c r="B3" s="25">
        <v>3</v>
      </c>
    </row>
    <row r="4" spans="1:5" ht="15" thickBot="1" x14ac:dyDescent="0.35">
      <c r="B4" s="1"/>
    </row>
    <row r="5" spans="1:5" ht="15" thickBot="1" x14ac:dyDescent="0.35">
      <c r="A5" s="9" t="s">
        <v>17</v>
      </c>
      <c r="B5" s="25">
        <v>155</v>
      </c>
      <c r="C5" t="s">
        <v>95</v>
      </c>
    </row>
    <row r="6" spans="1:5" ht="15" thickBot="1" x14ac:dyDescent="0.35"/>
    <row r="7" spans="1:5" x14ac:dyDescent="0.3">
      <c r="A7" s="15"/>
      <c r="B7" s="18" t="s">
        <v>18</v>
      </c>
      <c r="C7" s="21" t="s">
        <v>14</v>
      </c>
    </row>
    <row r="8" spans="1:5" x14ac:dyDescent="0.3">
      <c r="A8" s="16" t="s">
        <v>19</v>
      </c>
      <c r="B8" s="19">
        <v>410</v>
      </c>
      <c r="C8" s="22">
        <f>B8*1.12</f>
        <v>459.20000000000005</v>
      </c>
    </row>
    <row r="9" spans="1:5" ht="15" thickBot="1" x14ac:dyDescent="0.35">
      <c r="A9" s="17" t="s">
        <v>145</v>
      </c>
      <c r="B9" s="20">
        <v>260</v>
      </c>
      <c r="C9" s="23">
        <f>B9*1.12</f>
        <v>291.20000000000005</v>
      </c>
    </row>
    <row r="11" spans="1:5" ht="15" thickBot="1" x14ac:dyDescent="0.35">
      <c r="A11" s="126" t="s">
        <v>146</v>
      </c>
      <c r="B11" s="29"/>
    </row>
    <row r="12" spans="1:5" x14ac:dyDescent="0.3">
      <c r="A12" s="120" t="s">
        <v>118</v>
      </c>
      <c r="B12" s="123">
        <f>8*650/28</f>
        <v>185.71428571428572</v>
      </c>
    </row>
    <row r="13" spans="1:5" x14ac:dyDescent="0.3">
      <c r="A13" s="121" t="s">
        <v>119</v>
      </c>
      <c r="B13" s="124">
        <f>30000/28/B5</f>
        <v>6.912442396313363</v>
      </c>
    </row>
    <row r="14" spans="1:5" x14ac:dyDescent="0.3">
      <c r="A14" s="121" t="s">
        <v>120</v>
      </c>
      <c r="B14" s="124">
        <f>38000/B5/28</f>
        <v>8.7557603686635943</v>
      </c>
    </row>
    <row r="15" spans="1:5" x14ac:dyDescent="0.3">
      <c r="A15" s="121" t="s">
        <v>121</v>
      </c>
      <c r="B15" s="124">
        <f>50000/28/B5</f>
        <v>11.520737327188941</v>
      </c>
    </row>
    <row r="16" spans="1:5" x14ac:dyDescent="0.3">
      <c r="A16" s="121" t="s">
        <v>129</v>
      </c>
      <c r="B16" s="124">
        <v>10000</v>
      </c>
    </row>
    <row r="17" spans="1:2" ht="15" thickBot="1" x14ac:dyDescent="0.35">
      <c r="A17" s="122" t="s">
        <v>150</v>
      </c>
      <c r="B17" s="125">
        <f>B16/B5</f>
        <v>64.516129032258064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O37"/>
  <sheetViews>
    <sheetView workbookViewId="0">
      <selection activeCell="A33" sqref="A33"/>
    </sheetView>
  </sheetViews>
  <sheetFormatPr defaultRowHeight="14.4" x14ac:dyDescent="0.3"/>
  <cols>
    <col min="1" max="1" width="51.6640625" customWidth="1"/>
    <col min="2" max="2" width="12.6640625" bestFit="1" customWidth="1"/>
    <col min="3" max="3" width="12.44140625" customWidth="1"/>
    <col min="4" max="5" width="14" customWidth="1"/>
    <col min="6" max="14" width="11.6640625" bestFit="1" customWidth="1"/>
    <col min="15" max="36" width="10.88671875" customWidth="1"/>
    <col min="37" max="41" width="10.44140625" customWidth="1"/>
  </cols>
  <sheetData>
    <row r="1" spans="1:41" ht="18" x14ac:dyDescent="0.35">
      <c r="A1" s="24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3" spans="1:41" x14ac:dyDescent="0.3">
      <c r="A3" s="32" t="s">
        <v>57</v>
      </c>
    </row>
    <row r="4" spans="1:41" x14ac:dyDescent="0.3">
      <c r="A4" s="32"/>
    </row>
    <row r="5" spans="1:41" x14ac:dyDescent="0.3">
      <c r="A5" t="s">
        <v>39</v>
      </c>
      <c r="B5" s="1">
        <v>1</v>
      </c>
    </row>
    <row r="6" spans="1:41" x14ac:dyDescent="0.3">
      <c r="A6" s="26" t="s">
        <v>47</v>
      </c>
      <c r="B6" s="28">
        <f>'Факт Существ бизнес'!B5/'Факт Существ бизнес'!B3</f>
        <v>51.666666666666664</v>
      </c>
      <c r="C6" s="118" t="s">
        <v>40</v>
      </c>
    </row>
    <row r="7" spans="1:41" x14ac:dyDescent="0.3">
      <c r="A7" s="26" t="s">
        <v>43</v>
      </c>
      <c r="B7" s="28">
        <f>'Факт Существ бизнес'!C8</f>
        <v>459.20000000000005</v>
      </c>
      <c r="C7" s="119"/>
    </row>
    <row r="8" spans="1:41" ht="28.8" x14ac:dyDescent="0.3">
      <c r="A8" s="26" t="s">
        <v>130</v>
      </c>
      <c r="B8" s="28">
        <f>8*650/28+'Факт Существ бизнес'!B13+'Факт Существ бизнес'!B14</f>
        <v>201.38248847926269</v>
      </c>
      <c r="C8" s="119"/>
    </row>
    <row r="9" spans="1:41" x14ac:dyDescent="0.3">
      <c r="A9" s="26" t="s">
        <v>44</v>
      </c>
      <c r="B9" s="28">
        <v>800</v>
      </c>
      <c r="C9" s="27"/>
    </row>
    <row r="10" spans="1:41" x14ac:dyDescent="0.3">
      <c r="A10" s="26" t="s">
        <v>61</v>
      </c>
      <c r="B10" s="28">
        <v>2000</v>
      </c>
      <c r="C10" s="49" t="s">
        <v>103</v>
      </c>
    </row>
    <row r="11" spans="1:41" ht="49.2" x14ac:dyDescent="0.3">
      <c r="A11" s="26" t="s">
        <v>92</v>
      </c>
      <c r="B11" s="89">
        <f>(10*4+5*3)/7</f>
        <v>7.8571428571428568</v>
      </c>
      <c r="C11" s="90" t="s">
        <v>134</v>
      </c>
    </row>
    <row r="12" spans="1:41" x14ac:dyDescent="0.3"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M12" t="s">
        <v>32</v>
      </c>
      <c r="N12" t="s">
        <v>33</v>
      </c>
      <c r="O12" t="s">
        <v>34</v>
      </c>
      <c r="P12" t="s">
        <v>35</v>
      </c>
      <c r="Q12" t="s">
        <v>36</v>
      </c>
      <c r="R12" t="s">
        <v>37</v>
      </c>
      <c r="S12" t="s">
        <v>38</v>
      </c>
      <c r="T12" t="s">
        <v>72</v>
      </c>
      <c r="U12" t="s">
        <v>73</v>
      </c>
      <c r="V12" t="s">
        <v>74</v>
      </c>
      <c r="W12" t="s">
        <v>75</v>
      </c>
      <c r="X12" t="s">
        <v>76</v>
      </c>
      <c r="Y12" t="s">
        <v>77</v>
      </c>
      <c r="Z12" t="s">
        <v>78</v>
      </c>
      <c r="AA12" t="s">
        <v>79</v>
      </c>
      <c r="AB12" t="s">
        <v>80</v>
      </c>
      <c r="AC12" t="s">
        <v>81</v>
      </c>
      <c r="AD12" t="s">
        <v>82</v>
      </c>
      <c r="AE12" t="s">
        <v>83</v>
      </c>
      <c r="AF12" t="s">
        <v>84</v>
      </c>
      <c r="AG12" t="s">
        <v>85</v>
      </c>
      <c r="AH12" t="s">
        <v>86</v>
      </c>
      <c r="AI12" t="s">
        <v>87</v>
      </c>
      <c r="AJ12" t="s">
        <v>88</v>
      </c>
      <c r="AK12" t="s">
        <v>89</v>
      </c>
      <c r="AL12" t="s">
        <v>110</v>
      </c>
      <c r="AM12" t="s">
        <v>111</v>
      </c>
      <c r="AN12" t="s">
        <v>112</v>
      </c>
      <c r="AO12" t="s">
        <v>113</v>
      </c>
    </row>
    <row r="13" spans="1:41" x14ac:dyDescent="0.3">
      <c r="A13" t="s">
        <v>127</v>
      </c>
      <c r="B13" s="28">
        <v>3</v>
      </c>
      <c r="C13" s="28">
        <v>3</v>
      </c>
      <c r="D13" s="28">
        <v>3</v>
      </c>
      <c r="E13" s="28">
        <v>3</v>
      </c>
      <c r="F13" s="28">
        <v>3</v>
      </c>
      <c r="G13" s="28">
        <v>3</v>
      </c>
      <c r="H13" s="28">
        <v>3</v>
      </c>
      <c r="I13" s="28">
        <v>3</v>
      </c>
      <c r="J13" s="28">
        <v>3</v>
      </c>
      <c r="K13" s="28">
        <v>3</v>
      </c>
      <c r="L13" s="28">
        <v>3</v>
      </c>
      <c r="M13" s="28">
        <v>3</v>
      </c>
      <c r="N13" s="28">
        <v>3</v>
      </c>
      <c r="O13" s="28">
        <v>3</v>
      </c>
      <c r="P13" s="28">
        <v>3</v>
      </c>
      <c r="Q13" s="28">
        <v>3</v>
      </c>
      <c r="R13" s="28">
        <v>3</v>
      </c>
      <c r="S13" s="28">
        <v>3</v>
      </c>
      <c r="T13" s="28">
        <v>3</v>
      </c>
      <c r="U13" s="28">
        <v>3</v>
      </c>
      <c r="V13" s="28">
        <v>3</v>
      </c>
      <c r="W13" s="28">
        <v>3</v>
      </c>
      <c r="X13" s="28">
        <v>3</v>
      </c>
      <c r="Y13" s="28">
        <v>3</v>
      </c>
      <c r="Z13" s="28">
        <v>3</v>
      </c>
      <c r="AA13" s="28">
        <v>3</v>
      </c>
      <c r="AB13" s="28">
        <v>3</v>
      </c>
      <c r="AC13" s="28">
        <v>3</v>
      </c>
      <c r="AD13" s="28">
        <v>3</v>
      </c>
      <c r="AE13" s="28">
        <v>3</v>
      </c>
      <c r="AF13" s="28">
        <v>3</v>
      </c>
      <c r="AG13" s="28">
        <v>3</v>
      </c>
      <c r="AH13" s="28">
        <v>3</v>
      </c>
      <c r="AI13" s="28">
        <v>3</v>
      </c>
      <c r="AJ13" s="28">
        <v>3</v>
      </c>
      <c r="AK13" s="28">
        <v>3</v>
      </c>
      <c r="AL13" s="28">
        <v>3</v>
      </c>
      <c r="AM13" s="28">
        <v>3</v>
      </c>
      <c r="AN13" s="28">
        <v>3</v>
      </c>
      <c r="AO13" s="28">
        <v>3</v>
      </c>
    </row>
    <row r="14" spans="1:41" x14ac:dyDescent="0.3">
      <c r="A14" t="s">
        <v>128</v>
      </c>
      <c r="F14">
        <v>1</v>
      </c>
      <c r="G14">
        <v>1</v>
      </c>
      <c r="H14">
        <v>1</v>
      </c>
      <c r="I14">
        <v>2</v>
      </c>
      <c r="J14">
        <v>3</v>
      </c>
      <c r="K14">
        <v>3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4</v>
      </c>
      <c r="AN14">
        <v>4</v>
      </c>
      <c r="AO14">
        <v>4</v>
      </c>
    </row>
    <row r="15" spans="1:41" x14ac:dyDescent="0.3">
      <c r="A15" t="s">
        <v>126</v>
      </c>
      <c r="B15" s="29">
        <f>SUM(B13:B14)</f>
        <v>3</v>
      </c>
      <c r="C15" s="29">
        <f t="shared" ref="C15:AO15" si="0">SUM(C13:C14)</f>
        <v>3</v>
      </c>
      <c r="D15" s="29">
        <f t="shared" si="0"/>
        <v>3</v>
      </c>
      <c r="E15" s="29">
        <f t="shared" si="0"/>
        <v>3</v>
      </c>
      <c r="F15" s="29">
        <f t="shared" si="0"/>
        <v>4</v>
      </c>
      <c r="G15" s="29">
        <f t="shared" si="0"/>
        <v>4</v>
      </c>
      <c r="H15" s="29">
        <f t="shared" si="0"/>
        <v>4</v>
      </c>
      <c r="I15" s="29">
        <f t="shared" si="0"/>
        <v>5</v>
      </c>
      <c r="J15" s="29">
        <f t="shared" si="0"/>
        <v>6</v>
      </c>
      <c r="K15" s="29">
        <f t="shared" si="0"/>
        <v>6</v>
      </c>
      <c r="L15" s="29">
        <f t="shared" si="0"/>
        <v>7</v>
      </c>
      <c r="M15" s="29">
        <f t="shared" si="0"/>
        <v>7</v>
      </c>
      <c r="N15" s="29">
        <f t="shared" si="0"/>
        <v>7</v>
      </c>
      <c r="O15" s="29">
        <f t="shared" si="0"/>
        <v>7</v>
      </c>
      <c r="P15" s="29">
        <f t="shared" si="0"/>
        <v>7</v>
      </c>
      <c r="Q15" s="29">
        <f t="shared" si="0"/>
        <v>7</v>
      </c>
      <c r="R15" s="29">
        <f t="shared" si="0"/>
        <v>7</v>
      </c>
      <c r="S15" s="29">
        <f t="shared" si="0"/>
        <v>7</v>
      </c>
      <c r="T15" s="29">
        <f t="shared" si="0"/>
        <v>7</v>
      </c>
      <c r="U15" s="29">
        <f t="shared" si="0"/>
        <v>7</v>
      </c>
      <c r="V15" s="29">
        <f t="shared" si="0"/>
        <v>7</v>
      </c>
      <c r="W15" s="29">
        <f t="shared" si="0"/>
        <v>7</v>
      </c>
      <c r="X15" s="29">
        <f t="shared" si="0"/>
        <v>7</v>
      </c>
      <c r="Y15" s="29">
        <f t="shared" si="0"/>
        <v>7</v>
      </c>
      <c r="Z15" s="29">
        <f t="shared" si="0"/>
        <v>7</v>
      </c>
      <c r="AA15" s="29">
        <f t="shared" si="0"/>
        <v>7</v>
      </c>
      <c r="AB15" s="29">
        <f t="shared" si="0"/>
        <v>7</v>
      </c>
      <c r="AC15" s="29">
        <f t="shared" si="0"/>
        <v>7</v>
      </c>
      <c r="AD15" s="29">
        <f t="shared" si="0"/>
        <v>7</v>
      </c>
      <c r="AE15" s="29">
        <f t="shared" si="0"/>
        <v>7</v>
      </c>
      <c r="AF15" s="29">
        <f t="shared" si="0"/>
        <v>7</v>
      </c>
      <c r="AG15" s="29">
        <f t="shared" si="0"/>
        <v>7</v>
      </c>
      <c r="AH15" s="29">
        <f t="shared" si="0"/>
        <v>7</v>
      </c>
      <c r="AI15" s="29">
        <f t="shared" si="0"/>
        <v>7</v>
      </c>
      <c r="AJ15" s="29">
        <f t="shared" si="0"/>
        <v>7</v>
      </c>
      <c r="AK15" s="29">
        <f t="shared" si="0"/>
        <v>7</v>
      </c>
      <c r="AL15" s="29">
        <f t="shared" si="0"/>
        <v>7</v>
      </c>
      <c r="AM15" s="29">
        <f t="shared" si="0"/>
        <v>7</v>
      </c>
      <c r="AN15" s="29">
        <f t="shared" si="0"/>
        <v>7</v>
      </c>
      <c r="AO15" s="29">
        <f t="shared" si="0"/>
        <v>7</v>
      </c>
    </row>
    <row r="16" spans="1:41" x14ac:dyDescent="0.3">
      <c r="A16" t="s">
        <v>41</v>
      </c>
      <c r="B16" s="28">
        <f t="shared" ref="B16:G16" si="1">$B$6*B15</f>
        <v>155</v>
      </c>
      <c r="C16" s="28">
        <f t="shared" si="1"/>
        <v>155</v>
      </c>
      <c r="D16" s="28">
        <f t="shared" si="1"/>
        <v>155</v>
      </c>
      <c r="E16" s="28">
        <f t="shared" si="1"/>
        <v>155</v>
      </c>
      <c r="F16" s="28">
        <f t="shared" si="1"/>
        <v>206.66666666666666</v>
      </c>
      <c r="G16" s="28">
        <f t="shared" si="1"/>
        <v>206.66666666666666</v>
      </c>
      <c r="H16" s="28">
        <f t="shared" ref="H16:W16" si="2">$B$6*H15</f>
        <v>206.66666666666666</v>
      </c>
      <c r="I16" s="28">
        <f t="shared" si="2"/>
        <v>258.33333333333331</v>
      </c>
      <c r="J16" s="28">
        <f t="shared" si="2"/>
        <v>310</v>
      </c>
      <c r="K16" s="28">
        <f t="shared" si="2"/>
        <v>310</v>
      </c>
      <c r="L16" s="28">
        <f t="shared" si="2"/>
        <v>361.66666666666663</v>
      </c>
      <c r="M16" s="28">
        <f t="shared" si="2"/>
        <v>361.66666666666663</v>
      </c>
      <c r="N16" s="28">
        <f t="shared" si="2"/>
        <v>361.66666666666663</v>
      </c>
      <c r="O16" s="28">
        <f t="shared" si="2"/>
        <v>361.66666666666663</v>
      </c>
      <c r="P16" s="28">
        <f t="shared" si="2"/>
        <v>361.66666666666663</v>
      </c>
      <c r="Q16" s="28">
        <f t="shared" si="2"/>
        <v>361.66666666666663</v>
      </c>
      <c r="R16" s="28">
        <f t="shared" si="2"/>
        <v>361.66666666666663</v>
      </c>
      <c r="S16" s="28">
        <f t="shared" si="2"/>
        <v>361.66666666666663</v>
      </c>
      <c r="T16" s="28">
        <f t="shared" si="2"/>
        <v>361.66666666666663</v>
      </c>
      <c r="U16" s="28">
        <f t="shared" si="2"/>
        <v>361.66666666666663</v>
      </c>
      <c r="V16" s="28">
        <f t="shared" si="2"/>
        <v>361.66666666666663</v>
      </c>
      <c r="W16" s="28">
        <f t="shared" si="2"/>
        <v>361.66666666666663</v>
      </c>
      <c r="X16" s="28">
        <f t="shared" ref="X16" si="3">$B$6*X15</f>
        <v>361.66666666666663</v>
      </c>
      <c r="Y16" s="28">
        <f t="shared" ref="Y16" si="4">$B$6*Y15</f>
        <v>361.66666666666663</v>
      </c>
      <c r="Z16" s="28">
        <f t="shared" ref="Z16" si="5">$B$6*Z15</f>
        <v>361.66666666666663</v>
      </c>
      <c r="AA16" s="28">
        <f t="shared" ref="AA16" si="6">$B$6*AA15</f>
        <v>361.66666666666663</v>
      </c>
      <c r="AB16" s="28">
        <f t="shared" ref="AB16" si="7">$B$6*AB15</f>
        <v>361.66666666666663</v>
      </c>
      <c r="AC16" s="28">
        <f t="shared" ref="AC16" si="8">$B$6*AC15</f>
        <v>361.66666666666663</v>
      </c>
      <c r="AD16" s="28">
        <f t="shared" ref="AD16" si="9">$B$6*AD15</f>
        <v>361.66666666666663</v>
      </c>
      <c r="AE16" s="28">
        <f t="shared" ref="AE16" si="10">$B$6*AE15</f>
        <v>361.66666666666663</v>
      </c>
      <c r="AF16" s="28">
        <f t="shared" ref="AF16" si="11">$B$6*AF15</f>
        <v>361.66666666666663</v>
      </c>
      <c r="AG16" s="28">
        <f t="shared" ref="AG16" si="12">$B$6*AG15</f>
        <v>361.66666666666663</v>
      </c>
      <c r="AH16" s="28">
        <f t="shared" ref="AH16" si="13">$B$6*AH15</f>
        <v>361.66666666666663</v>
      </c>
      <c r="AI16" s="28">
        <f t="shared" ref="AI16" si="14">$B$6*AI15</f>
        <v>361.66666666666663</v>
      </c>
      <c r="AJ16" s="28">
        <f t="shared" ref="AJ16" si="15">$B$6*AJ15</f>
        <v>361.66666666666663</v>
      </c>
      <c r="AK16" s="28">
        <f t="shared" ref="AK16" si="16">$B$6*AK15</f>
        <v>361.66666666666663</v>
      </c>
      <c r="AL16" s="28">
        <f t="shared" ref="AL16" si="17">$B$6*AL15</f>
        <v>361.66666666666663</v>
      </c>
      <c r="AM16" s="28">
        <f t="shared" ref="AM16" si="18">$B$6*AM15</f>
        <v>361.66666666666663</v>
      </c>
      <c r="AN16" s="28">
        <f t="shared" ref="AN16" si="19">$B$6*AN15</f>
        <v>361.66666666666663</v>
      </c>
      <c r="AO16" s="28">
        <f t="shared" ref="AO16" si="20">$B$6*AO15</f>
        <v>361.66666666666663</v>
      </c>
    </row>
    <row r="17" spans="1:41" x14ac:dyDescent="0.3">
      <c r="A17" s="31" t="s">
        <v>42</v>
      </c>
      <c r="B17" s="36">
        <f>B16*$B$7</f>
        <v>71176</v>
      </c>
      <c r="C17" s="36">
        <f>C16*$B$7</f>
        <v>71176</v>
      </c>
      <c r="D17" s="36">
        <f>D16*$B$7</f>
        <v>71176</v>
      </c>
      <c r="E17" s="36">
        <f>E16*$B$7</f>
        <v>71176</v>
      </c>
      <c r="F17" s="36">
        <f>F16*$B$7</f>
        <v>94901.333333333343</v>
      </c>
      <c r="G17" s="36">
        <f t="shared" ref="G17:W17" si="21">G16*$B$7</f>
        <v>94901.333333333343</v>
      </c>
      <c r="H17" s="36">
        <f t="shared" si="21"/>
        <v>94901.333333333343</v>
      </c>
      <c r="I17" s="36">
        <f t="shared" si="21"/>
        <v>118626.66666666667</v>
      </c>
      <c r="J17" s="36">
        <f t="shared" si="21"/>
        <v>142352</v>
      </c>
      <c r="K17" s="36">
        <f t="shared" si="21"/>
        <v>142352</v>
      </c>
      <c r="L17" s="36">
        <f>L16*$B$7</f>
        <v>166077.33333333334</v>
      </c>
      <c r="M17" s="36">
        <f t="shared" si="21"/>
        <v>166077.33333333334</v>
      </c>
      <c r="N17" s="36">
        <f t="shared" si="21"/>
        <v>166077.33333333334</v>
      </c>
      <c r="O17" s="36">
        <f t="shared" si="21"/>
        <v>166077.33333333334</v>
      </c>
      <c r="P17" s="36">
        <f t="shared" si="21"/>
        <v>166077.33333333334</v>
      </c>
      <c r="Q17" s="36">
        <f t="shared" si="21"/>
        <v>166077.33333333334</v>
      </c>
      <c r="R17" s="36">
        <f t="shared" si="21"/>
        <v>166077.33333333334</v>
      </c>
      <c r="S17" s="36">
        <f t="shared" si="21"/>
        <v>166077.33333333334</v>
      </c>
      <c r="T17" s="36">
        <f t="shared" si="21"/>
        <v>166077.33333333334</v>
      </c>
      <c r="U17" s="36">
        <f t="shared" si="21"/>
        <v>166077.33333333334</v>
      </c>
      <c r="V17" s="36">
        <f t="shared" si="21"/>
        <v>166077.33333333334</v>
      </c>
      <c r="W17" s="36">
        <f t="shared" si="21"/>
        <v>166077.33333333334</v>
      </c>
      <c r="X17" s="36">
        <f t="shared" ref="X17" si="22">X16*$B$7</f>
        <v>166077.33333333334</v>
      </c>
      <c r="Y17" s="36">
        <f t="shared" ref="Y17" si="23">Y16*$B$7</f>
        <v>166077.33333333334</v>
      </c>
      <c r="Z17" s="36">
        <f t="shared" ref="Z17" si="24">Z16*$B$7</f>
        <v>166077.33333333334</v>
      </c>
      <c r="AA17" s="36">
        <f t="shared" ref="AA17" si="25">AA16*$B$7</f>
        <v>166077.33333333334</v>
      </c>
      <c r="AB17" s="36">
        <f t="shared" ref="AB17" si="26">AB16*$B$7</f>
        <v>166077.33333333334</v>
      </c>
      <c r="AC17" s="36">
        <f t="shared" ref="AC17" si="27">AC16*$B$7</f>
        <v>166077.33333333334</v>
      </c>
      <c r="AD17" s="36">
        <f t="shared" ref="AD17" si="28">AD16*$B$7</f>
        <v>166077.33333333334</v>
      </c>
      <c r="AE17" s="36">
        <f t="shared" ref="AE17" si="29">AE16*$B$7</f>
        <v>166077.33333333334</v>
      </c>
      <c r="AF17" s="36">
        <f t="shared" ref="AF17" si="30">AF16*$B$7</f>
        <v>166077.33333333334</v>
      </c>
      <c r="AG17" s="36">
        <f t="shared" ref="AG17" si="31">AG16*$B$7</f>
        <v>166077.33333333334</v>
      </c>
      <c r="AH17" s="36">
        <f t="shared" ref="AH17" si="32">AH16*$B$7</f>
        <v>166077.33333333334</v>
      </c>
      <c r="AI17" s="36">
        <f t="shared" ref="AI17" si="33">AI16*$B$7</f>
        <v>166077.33333333334</v>
      </c>
      <c r="AJ17" s="36">
        <f t="shared" ref="AJ17" si="34">AJ16*$B$7</f>
        <v>166077.33333333334</v>
      </c>
      <c r="AK17" s="36">
        <f t="shared" ref="AK17" si="35">AK16*$B$7</f>
        <v>166077.33333333334</v>
      </c>
      <c r="AL17" s="36">
        <f t="shared" ref="AL17" si="36">AL16*$B$7</f>
        <v>166077.33333333334</v>
      </c>
      <c r="AM17" s="36">
        <f t="shared" ref="AM17" si="37">AM16*$B$7</f>
        <v>166077.33333333334</v>
      </c>
      <c r="AN17" s="36">
        <f t="shared" ref="AN17" si="38">AN16*$B$7</f>
        <v>166077.33333333334</v>
      </c>
      <c r="AO17" s="36">
        <f t="shared" ref="AO17" si="39">AO16*$B$7</f>
        <v>166077.33333333334</v>
      </c>
    </row>
    <row r="18" spans="1:41" x14ac:dyDescent="0.3">
      <c r="A18" t="s">
        <v>91</v>
      </c>
      <c r="B18" s="29">
        <f>$B$8*B16</f>
        <v>31214.285714285717</v>
      </c>
      <c r="C18" s="29">
        <f>$B$8*C16</f>
        <v>31214.285714285717</v>
      </c>
      <c r="D18" s="29">
        <f>$B$8*D16</f>
        <v>31214.285714285717</v>
      </c>
      <c r="E18" s="29">
        <f>$B$8*E16</f>
        <v>31214.285714285717</v>
      </c>
      <c r="F18" s="29">
        <f>$B$8*F16</f>
        <v>41619.047619047618</v>
      </c>
      <c r="G18" s="29">
        <f t="shared" ref="G18:M18" si="40">$B$8*G16</f>
        <v>41619.047619047618</v>
      </c>
      <c r="H18" s="29">
        <f>$B$8*H16</f>
        <v>41619.047619047618</v>
      </c>
      <c r="I18" s="29">
        <f t="shared" si="40"/>
        <v>52023.809523809527</v>
      </c>
      <c r="J18" s="29">
        <f t="shared" si="40"/>
        <v>62428.571428571435</v>
      </c>
      <c r="K18" s="29">
        <f t="shared" si="40"/>
        <v>62428.571428571435</v>
      </c>
      <c r="L18" s="29">
        <f t="shared" si="40"/>
        <v>72833.333333333328</v>
      </c>
      <c r="M18" s="29">
        <f t="shared" si="40"/>
        <v>72833.333333333328</v>
      </c>
      <c r="N18" s="29">
        <f>$B$8*N16*(1+Допущения!$B$8)</f>
        <v>74290</v>
      </c>
      <c r="O18" s="29">
        <f>$B$8*O16*(1+Допущения!$B$8)</f>
        <v>74290</v>
      </c>
      <c r="P18" s="29">
        <f>$B$8*P16*(1+Допущения!$B$8)</f>
        <v>74290</v>
      </c>
      <c r="Q18" s="29">
        <f>$B$8*Q16*(1+Допущения!$B$8)</f>
        <v>74290</v>
      </c>
      <c r="R18" s="29">
        <f>$B$8*R16*(1+Допущения!$B$8)</f>
        <v>74290</v>
      </c>
      <c r="S18" s="29">
        <f>$B$8*S16*(1+Допущения!$B$8)</f>
        <v>74290</v>
      </c>
      <c r="T18" s="29">
        <f>$B$8*T16*(1+Допущения!$B$8)</f>
        <v>74290</v>
      </c>
      <c r="U18" s="29">
        <f>$B$8*U16*(1+Допущения!$B$8)</f>
        <v>74290</v>
      </c>
      <c r="V18" s="29">
        <f>$B$8*V16*(1+Допущения!$B$8)</f>
        <v>74290</v>
      </c>
      <c r="W18" s="29">
        <f>$B$8*W16*(1+Допущения!$B$8)</f>
        <v>74290</v>
      </c>
      <c r="X18" s="29">
        <f>$B$8*X16*(1+Допущения!$B$8)</f>
        <v>74290</v>
      </c>
      <c r="Y18" s="29">
        <f>$B$8*Y16*(1+Допущения!$B$8+Допущения!$B$8)</f>
        <v>75746.666666666657</v>
      </c>
      <c r="Z18" s="29">
        <f>$B$8*Z16*(1+Допущения!$B$8+Допущения!$B$8)</f>
        <v>75746.666666666657</v>
      </c>
      <c r="AA18" s="29">
        <f>$B$8*AA16*(1+Допущения!$B$8+Допущения!$B$8)</f>
        <v>75746.666666666657</v>
      </c>
      <c r="AB18" s="29">
        <f>$B$8*AB16*(1+Допущения!$B$8+Допущения!$B$8)</f>
        <v>75746.666666666657</v>
      </c>
      <c r="AC18" s="29">
        <f>$B$8*AC16*(1+Допущения!$B$8+Допущения!$B$8)</f>
        <v>75746.666666666657</v>
      </c>
      <c r="AD18" s="29">
        <f>$B$8*AD16*(1+Допущения!$B$8+Допущения!$B$8)</f>
        <v>75746.666666666657</v>
      </c>
      <c r="AE18" s="29">
        <f>$B$8*AE16*(1+Допущения!$B$8+Допущения!$B$8)</f>
        <v>75746.666666666657</v>
      </c>
      <c r="AF18" s="29">
        <f>$B$8*AF16*(1+Допущения!$B$8+Допущения!$B$8)</f>
        <v>75746.666666666657</v>
      </c>
      <c r="AG18" s="29">
        <f>$B$8*AG16*(1+Допущения!$B$8+Допущения!$B$8)</f>
        <v>75746.666666666657</v>
      </c>
      <c r="AH18" s="29">
        <f>$B$8*AH16*(1+Допущения!$B$8+Допущения!$B$8)</f>
        <v>75746.666666666657</v>
      </c>
      <c r="AI18" s="29">
        <f>$B$8*AI16*(1+Допущения!$B$8+Допущения!$B$8)</f>
        <v>75746.666666666657</v>
      </c>
      <c r="AJ18" s="29">
        <f>$B$8*AJ16*(1+Допущения!$B$8+Допущения!$B$8)</f>
        <v>75746.666666666657</v>
      </c>
      <c r="AK18" s="29">
        <f>$B$8*AK16*(1+Допущения!$B$8+Допущения!$B$8+Допущения!$B$8)</f>
        <v>77203.333333333328</v>
      </c>
      <c r="AL18" s="29">
        <f>$B$8*AL16*(1+Допущения!$B$8+Допущения!$B$8+Допущения!$B$8)</f>
        <v>77203.333333333328</v>
      </c>
      <c r="AM18" s="29">
        <f>$B$8*AM16*(1+Допущения!$B$8+Допущения!$B$8+Допущения!$B$8)</f>
        <v>77203.333333333328</v>
      </c>
      <c r="AN18" s="29">
        <f>$B$8*AN16*(1+Допущения!$B$8+Допущения!$B$8+Допущения!$B$8)</f>
        <v>77203.333333333328</v>
      </c>
      <c r="AO18" s="29">
        <f>$B$8*AO16*(1+Допущения!$B$8+Допущения!$B$8+Допущения!$B$8)</f>
        <v>77203.333333333328</v>
      </c>
    </row>
    <row r="19" spans="1:41" x14ac:dyDescent="0.3">
      <c r="A19" s="26" t="s">
        <v>45</v>
      </c>
      <c r="B19" s="28">
        <f>$B$9*B15</f>
        <v>2400</v>
      </c>
      <c r="C19" s="28">
        <f>$B$9*C15</f>
        <v>2400</v>
      </c>
      <c r="D19" s="28">
        <f>$B$9*D15</f>
        <v>2400</v>
      </c>
      <c r="E19" s="28">
        <f>$B$9*E15</f>
        <v>2400</v>
      </c>
      <c r="F19" s="28">
        <f>$B$9*F15</f>
        <v>3200</v>
      </c>
      <c r="G19" s="28">
        <f t="shared" ref="G19:M19" si="41">$B$9*G15</f>
        <v>3200</v>
      </c>
      <c r="H19" s="28">
        <f t="shared" si="41"/>
        <v>3200</v>
      </c>
      <c r="I19" s="28">
        <f t="shared" si="41"/>
        <v>4000</v>
      </c>
      <c r="J19" s="28">
        <f t="shared" si="41"/>
        <v>4800</v>
      </c>
      <c r="K19" s="28">
        <f t="shared" si="41"/>
        <v>4800</v>
      </c>
      <c r="L19" s="28">
        <f t="shared" si="41"/>
        <v>5600</v>
      </c>
      <c r="M19" s="28">
        <f t="shared" si="41"/>
        <v>5600</v>
      </c>
      <c r="N19" s="28">
        <f>$B$9*N15*(1+Допущения!$B$8)</f>
        <v>5712</v>
      </c>
      <c r="O19" s="28">
        <f>$B$9*O15*(1+Допущения!$B$8)</f>
        <v>5712</v>
      </c>
      <c r="P19" s="28">
        <f>$B$9*P15*(1+Допущения!$B$8)</f>
        <v>5712</v>
      </c>
      <c r="Q19" s="28">
        <f>$B$9*Q15*(1+Допущения!$B$8)</f>
        <v>5712</v>
      </c>
      <c r="R19" s="28">
        <f>$B$9*R15*(1+Допущения!$B$8)</f>
        <v>5712</v>
      </c>
      <c r="S19" s="28">
        <f>$B$9*S15*(1+Допущения!$B$8)</f>
        <v>5712</v>
      </c>
      <c r="T19" s="28">
        <f>$B$9*T15*(1+Допущения!$B$8)</f>
        <v>5712</v>
      </c>
      <c r="U19" s="28">
        <f>$B$9*U15*(1+Допущения!$B$8)</f>
        <v>5712</v>
      </c>
      <c r="V19" s="28">
        <f>$B$9*V15*(1+Допущения!$B$8)</f>
        <v>5712</v>
      </c>
      <c r="W19" s="28">
        <f>$B$9*W15*(1+Допущения!$B$8)</f>
        <v>5712</v>
      </c>
      <c r="X19" s="28">
        <f>$B$9*X15*(1+Допущения!$B$8)</f>
        <v>5712</v>
      </c>
      <c r="Y19" s="28">
        <f>$B$9*Y15*(1+Допущения!$B$8+Допущения!$B$8)</f>
        <v>5824</v>
      </c>
      <c r="Z19" s="28">
        <f>$B$9*Z15*(1+Допущения!$B$8+Допущения!$B$8)</f>
        <v>5824</v>
      </c>
      <c r="AA19" s="28">
        <f>$B$9*AA15*(1+Допущения!$B$8+Допущения!$B$8)</f>
        <v>5824</v>
      </c>
      <c r="AB19" s="28">
        <f>$B$9*AB15*(1+Допущения!$B$8+Допущения!$B$8)</f>
        <v>5824</v>
      </c>
      <c r="AC19" s="28">
        <f>$B$9*AC15*(1+Допущения!$B$8+Допущения!$B$8)</f>
        <v>5824</v>
      </c>
      <c r="AD19" s="28">
        <f>$B$9*AD15*(1+Допущения!$B$8+Допущения!$B$8)</f>
        <v>5824</v>
      </c>
      <c r="AE19" s="28">
        <f>$B$9*AE15*(1+Допущения!$B$8+Допущения!$B$8)</f>
        <v>5824</v>
      </c>
      <c r="AF19" s="28">
        <f>$B$9*AF15*(1+Допущения!$B$8+Допущения!$B$8)</f>
        <v>5824</v>
      </c>
      <c r="AG19" s="28">
        <f>$B$9*AG15*(1+Допущения!$B$8+Допущения!$B$8)</f>
        <v>5824</v>
      </c>
      <c r="AH19" s="28">
        <f>$B$9*AH15*(1+Допущения!$B$8+Допущения!$B$8)</f>
        <v>5824</v>
      </c>
      <c r="AI19" s="28">
        <f>$B$9*AI15*(1+Допущения!$B$8+Допущения!$B$8)</f>
        <v>5824</v>
      </c>
      <c r="AJ19" s="28">
        <f>$B$9*AJ15*(1+Допущения!$B$8+Допущения!$B$8)</f>
        <v>5824</v>
      </c>
      <c r="AK19" s="28">
        <f>$B$9*AK15*(1+Допущения!$B$8+Допущения!$B$8+Допущения!$B$8)</f>
        <v>5936</v>
      </c>
      <c r="AL19" s="28">
        <f>$B$9*AL15*(1+Допущения!$B$8+Допущения!$B$8+Допущения!$B$8)</f>
        <v>5936</v>
      </c>
      <c r="AM19" s="28">
        <f>$B$9*AM15*(1+Допущения!$B$8+Допущения!$B$8+Допущения!$B$8)</f>
        <v>5936</v>
      </c>
      <c r="AN19" s="28">
        <f>$B$9*AN15*(1+Допущения!$B$8+Допущения!$B$8+Допущения!$B$8)</f>
        <v>5936</v>
      </c>
      <c r="AO19" s="28">
        <f>$B$9*AO15*(1+Допущения!$B$8+Допущения!$B$8+Допущения!$B$8)</f>
        <v>5936</v>
      </c>
    </row>
    <row r="20" spans="1:41" x14ac:dyDescent="0.3">
      <c r="A20" s="26" t="s">
        <v>46</v>
      </c>
      <c r="B20" s="28">
        <f t="shared" ref="B20:C20" si="42">$B$10</f>
        <v>2000</v>
      </c>
      <c r="C20" s="28">
        <f t="shared" si="42"/>
        <v>2000</v>
      </c>
      <c r="D20" s="28">
        <f t="shared" ref="D20:M20" si="43">$B$10</f>
        <v>2000</v>
      </c>
      <c r="E20" s="28">
        <f t="shared" si="43"/>
        <v>2000</v>
      </c>
      <c r="F20" s="28">
        <f t="shared" si="43"/>
        <v>2000</v>
      </c>
      <c r="G20" s="28">
        <f t="shared" si="43"/>
        <v>2000</v>
      </c>
      <c r="H20" s="28">
        <f t="shared" si="43"/>
        <v>2000</v>
      </c>
      <c r="I20" s="28">
        <f t="shared" si="43"/>
        <v>2000</v>
      </c>
      <c r="J20" s="28">
        <f t="shared" si="43"/>
        <v>2000</v>
      </c>
      <c r="K20" s="28">
        <f t="shared" si="43"/>
        <v>2000</v>
      </c>
      <c r="L20" s="28">
        <f t="shared" si="43"/>
        <v>2000</v>
      </c>
      <c r="M20" s="28">
        <f t="shared" si="43"/>
        <v>2000</v>
      </c>
      <c r="N20" s="28">
        <f>$B$10*(1+Допущения!$B$8)</f>
        <v>2040</v>
      </c>
      <c r="O20" s="28">
        <f>$B$10*(1+Допущения!$B$8)</f>
        <v>2040</v>
      </c>
      <c r="P20" s="28">
        <f>$B$10*(1+Допущения!$B$8)</f>
        <v>2040</v>
      </c>
      <c r="Q20" s="28">
        <f>$B$10*(1+Допущения!$B$8)</f>
        <v>2040</v>
      </c>
      <c r="R20" s="28">
        <f>$B$10*(1+Допущения!$B$8)</f>
        <v>2040</v>
      </c>
      <c r="S20" s="28">
        <f>$B$10*(1+Допущения!$B$8)</f>
        <v>2040</v>
      </c>
      <c r="T20" s="28">
        <f>$B$10*(1+Допущения!$B$8)</f>
        <v>2040</v>
      </c>
      <c r="U20" s="28">
        <f>$B$10*(1+Допущения!$B$8)</f>
        <v>2040</v>
      </c>
      <c r="V20" s="28">
        <f>$B$10*(1+Допущения!$B$8)</f>
        <v>2040</v>
      </c>
      <c r="W20" s="28">
        <f>$B$10*(1+Допущения!$B$8)</f>
        <v>2040</v>
      </c>
      <c r="X20" s="28">
        <f>$B$10*(1+Допущения!$B$8)</f>
        <v>2040</v>
      </c>
      <c r="Y20" s="28">
        <f>$B$10*(1+Допущения!$B$8+Допущения!$B$8)</f>
        <v>2080</v>
      </c>
      <c r="Z20" s="28">
        <f>$B$10*(1+Допущения!$B$8+Допущения!$B$8)</f>
        <v>2080</v>
      </c>
      <c r="AA20" s="28">
        <f>$B$10*(1+Допущения!$B$8+Допущения!$B$8)</f>
        <v>2080</v>
      </c>
      <c r="AB20" s="28">
        <f>$B$10*(1+Допущения!$B$8+Допущения!$B$8)</f>
        <v>2080</v>
      </c>
      <c r="AC20" s="28">
        <f>$B$10*(1+Допущения!$B$8+Допущения!$B$8)</f>
        <v>2080</v>
      </c>
      <c r="AD20" s="28">
        <f>$B$10*(1+Допущения!$B$8+Допущения!$B$8)</f>
        <v>2080</v>
      </c>
      <c r="AE20" s="28">
        <f>$B$10*(1+Допущения!$B$8+Допущения!$B$8)</f>
        <v>2080</v>
      </c>
      <c r="AF20" s="28">
        <f>$B$10*(1+Допущения!$B$8+Допущения!$B$8)</f>
        <v>2080</v>
      </c>
      <c r="AG20" s="28">
        <f>$B$10*(1+Допущения!$B$8+Допущения!$B$8)</f>
        <v>2080</v>
      </c>
      <c r="AH20" s="28">
        <f>$B$10*(1+Допущения!$B$8+Допущения!$B$8)</f>
        <v>2080</v>
      </c>
      <c r="AI20" s="28">
        <f>$B$10*(1+Допущения!$B$8+Допущения!$B$8)</f>
        <v>2080</v>
      </c>
      <c r="AJ20" s="28">
        <f>$B$10*(1+Допущения!$B$8+Допущения!$B$8)</f>
        <v>2080</v>
      </c>
      <c r="AK20" s="28">
        <f>$B$10*(1+Допущения!$B$8+Допущения!$B$8+Допущения!$B$8)</f>
        <v>2120</v>
      </c>
      <c r="AL20" s="28">
        <f>$B$10*(1+Допущения!$B$8+Допущения!$B$8+Допущения!$B$8)</f>
        <v>2120</v>
      </c>
      <c r="AM20" s="28">
        <f>$B$10*(1+Допущения!$B$8+Допущения!$B$8+Допущения!$B$8)</f>
        <v>2120</v>
      </c>
      <c r="AN20" s="28">
        <f>$B$10*(1+Допущения!$B$8+Допущения!$B$8+Допущения!$B$8)</f>
        <v>2120</v>
      </c>
      <c r="AO20" s="28">
        <f>$B$10*(1+Допущения!$B$8+Допущения!$B$8+Допущения!$B$8)</f>
        <v>2120</v>
      </c>
    </row>
    <row r="21" spans="1:41" x14ac:dyDescent="0.3">
      <c r="A21" s="26" t="s">
        <v>58</v>
      </c>
      <c r="B21" s="28">
        <f>'Рабочая сила'!D18+'Факт Существ бизнес'!$B$16</f>
        <v>10422.120000000001</v>
      </c>
      <c r="C21" s="28">
        <f>'Рабочая сила'!E18+'Факт Существ бизнес'!$B$16</f>
        <v>10422.120000000001</v>
      </c>
      <c r="D21" s="28">
        <f>'Рабочая сила'!F18+'Факт Существ бизнес'!$B$16</f>
        <v>11008.94</v>
      </c>
      <c r="E21" s="28">
        <f>'Рабочая сила'!G18+'Факт Существ бизнес'!$B$16</f>
        <v>12496.119999999999</v>
      </c>
      <c r="F21" s="28">
        <f>'Рабочая сила'!H18+'Факт Существ бизнес'!$B$16</f>
        <v>18265.5</v>
      </c>
      <c r="G21" s="28">
        <f>'Рабочая сила'!I18+'Факт Существ бизнес'!$B$16</f>
        <v>18921.86</v>
      </c>
      <c r="H21" s="28">
        <f>'Рабочая сила'!J18+'Факт Существ бизнес'!$B$16</f>
        <v>23129.64</v>
      </c>
      <c r="I21" s="28">
        <f>'Рабочая сила'!K18+'Факт Существ бизнес'!$B$16</f>
        <v>25391.52</v>
      </c>
      <c r="J21" s="28">
        <f>'Рабочая сила'!L18+'Факт Существ бизнес'!$B$16</f>
        <v>27981.58</v>
      </c>
      <c r="K21" s="28">
        <f>'Рабочая сила'!M18+'Факт Существ бизнес'!$B$16</f>
        <v>27981.58</v>
      </c>
      <c r="L21" s="28">
        <f>'Рабочая сила'!N18+'Факт Существ бизнес'!$B$16</f>
        <v>30243.46</v>
      </c>
      <c r="M21" s="28">
        <f>'Рабочая сила'!O18+'Факт Существ бизнес'!$B$16</f>
        <v>30243.46</v>
      </c>
      <c r="N21" s="28">
        <f>'Рабочая сила'!P18+'Факт Существ бизнес'!$B$16</f>
        <v>30243.46</v>
      </c>
      <c r="O21" s="28">
        <f>'Рабочая сила'!Q18+'Факт Существ бизнес'!$B$16</f>
        <v>30243.46</v>
      </c>
      <c r="P21" s="28">
        <f>'Рабочая сила'!R18+'Факт Существ бизнес'!$B$16</f>
        <v>30243.46</v>
      </c>
      <c r="Q21" s="28">
        <f>'Рабочая сила'!S18+'Факт Существ бизнес'!$B$16</f>
        <v>30243.46</v>
      </c>
      <c r="R21" s="28">
        <f>'Рабочая сила'!T18+'Факт Существ бизнес'!$B$16</f>
        <v>30243.46</v>
      </c>
      <c r="S21" s="28">
        <f>'Рабочая сила'!U18+'Факт Существ бизнес'!$B$16</f>
        <v>30243.46</v>
      </c>
      <c r="T21" s="28">
        <f>'Рабочая сила'!V18+'Факт Существ бизнес'!$B$16</f>
        <v>30243.46</v>
      </c>
      <c r="U21" s="28">
        <f>'Рабочая сила'!W18+'Факт Существ бизнес'!$B$16</f>
        <v>30243.46</v>
      </c>
      <c r="V21" s="28">
        <f>'Рабочая сила'!X18+'Факт Существ бизнес'!$B$16</f>
        <v>30243.46</v>
      </c>
      <c r="W21" s="28">
        <f>'Рабочая сила'!Y18+'Факт Существ бизнес'!$B$16</f>
        <v>30243.46</v>
      </c>
      <c r="X21" s="28">
        <f>'Рабочая сила'!Z18+'Факт Существ бизнес'!$B$16</f>
        <v>30243.46</v>
      </c>
      <c r="Y21" s="28">
        <f>'Рабочая сила'!AA18+'Факт Существ бизнес'!$B$16</f>
        <v>30243.46</v>
      </c>
      <c r="Z21" s="28">
        <f>'Рабочая сила'!AB18+'Факт Существ бизнес'!$B$16</f>
        <v>30243.46</v>
      </c>
      <c r="AA21" s="28">
        <f>'Рабочая сила'!AC18+'Факт Существ бизнес'!$B$16</f>
        <v>30243.46</v>
      </c>
      <c r="AB21" s="28">
        <f>'Рабочая сила'!AD18+'Факт Существ бизнес'!$B$16</f>
        <v>30243.46</v>
      </c>
      <c r="AC21" s="28">
        <f>'Рабочая сила'!AE18+'Факт Существ бизнес'!$B$16</f>
        <v>30243.46</v>
      </c>
      <c r="AD21" s="28">
        <f>'Рабочая сила'!AF18+'Факт Существ бизнес'!$B$16</f>
        <v>30243.46</v>
      </c>
      <c r="AE21" s="28">
        <f>'Рабочая сила'!AG18+'Факт Существ бизнес'!$B$16</f>
        <v>30243.46</v>
      </c>
      <c r="AF21" s="28">
        <f>'Рабочая сила'!AH18+'Факт Существ бизнес'!$B$16</f>
        <v>30243.46</v>
      </c>
      <c r="AG21" s="28">
        <f>'Рабочая сила'!AI18+'Факт Существ бизнес'!$B$16</f>
        <v>30243.46</v>
      </c>
      <c r="AH21" s="28">
        <f>'Рабочая сила'!AJ18+'Факт Существ бизнес'!$B$16</f>
        <v>30243.46</v>
      </c>
      <c r="AI21" s="28">
        <f>'Рабочая сила'!AK18+'Факт Существ бизнес'!$B$16</f>
        <v>30243.46</v>
      </c>
      <c r="AJ21" s="28">
        <f>'Рабочая сила'!AL18+'Факт Существ бизнес'!$B$16</f>
        <v>30243.46</v>
      </c>
      <c r="AK21" s="28">
        <f>'Рабочая сила'!AM18+'Факт Существ бизнес'!$B$16</f>
        <v>30243.46</v>
      </c>
      <c r="AL21" s="28">
        <f>'Рабочая сила'!AN18+'Факт Существ бизнес'!$B$16</f>
        <v>30243.46</v>
      </c>
      <c r="AM21" s="28">
        <f>'Рабочая сила'!AO18+'Факт Существ бизнес'!$B$16</f>
        <v>30243.46</v>
      </c>
      <c r="AN21" s="28">
        <f>'Рабочая сила'!AP18+'Факт Существ бизнес'!$B$16</f>
        <v>30243.46</v>
      </c>
      <c r="AO21" s="28">
        <f>'Рабочая сила'!AQ18+'Факт Существ бизнес'!$B$16</f>
        <v>30243.46</v>
      </c>
    </row>
    <row r="22" spans="1:41" x14ac:dyDescent="0.3">
      <c r="A22" s="31" t="s">
        <v>59</v>
      </c>
      <c r="B22" s="36">
        <f>B17-B18-B19-B20-B21</f>
        <v>25139.59428571428</v>
      </c>
      <c r="C22" s="36">
        <f t="shared" ref="C22:E22" si="44">C17-C18-C19-C20-C21</f>
        <v>25139.59428571428</v>
      </c>
      <c r="D22" s="36">
        <f t="shared" si="44"/>
        <v>24552.77428571428</v>
      </c>
      <c r="E22" s="36">
        <f t="shared" si="44"/>
        <v>23065.594285714284</v>
      </c>
      <c r="F22" s="36">
        <f>F17-F18-F19-F20-F21</f>
        <v>29816.785714285725</v>
      </c>
      <c r="G22" s="36">
        <f t="shared" ref="G22:W22" si="45">G17-G18-G19-G20-G21</f>
        <v>29160.425714285724</v>
      </c>
      <c r="H22" s="36">
        <f t="shared" si="45"/>
        <v>24952.645714285725</v>
      </c>
      <c r="I22" s="36">
        <f t="shared" si="45"/>
        <v>35211.337142857141</v>
      </c>
      <c r="J22" s="36">
        <f t="shared" si="45"/>
        <v>45141.848571428563</v>
      </c>
      <c r="K22" s="36">
        <f t="shared" si="45"/>
        <v>45141.848571428563</v>
      </c>
      <c r="L22" s="36">
        <f t="shared" si="45"/>
        <v>55400.540000000015</v>
      </c>
      <c r="M22" s="36">
        <f t="shared" si="45"/>
        <v>55400.540000000015</v>
      </c>
      <c r="N22" s="36">
        <f t="shared" si="45"/>
        <v>53791.873333333344</v>
      </c>
      <c r="O22" s="36">
        <f t="shared" si="45"/>
        <v>53791.873333333344</v>
      </c>
      <c r="P22" s="36">
        <f t="shared" si="45"/>
        <v>53791.873333333344</v>
      </c>
      <c r="Q22" s="36">
        <f t="shared" si="45"/>
        <v>53791.873333333344</v>
      </c>
      <c r="R22" s="36">
        <f t="shared" si="45"/>
        <v>53791.873333333344</v>
      </c>
      <c r="S22" s="36">
        <f t="shared" si="45"/>
        <v>53791.873333333344</v>
      </c>
      <c r="T22" s="36">
        <f t="shared" si="45"/>
        <v>53791.873333333344</v>
      </c>
      <c r="U22" s="36">
        <f t="shared" si="45"/>
        <v>53791.873333333344</v>
      </c>
      <c r="V22" s="36">
        <f t="shared" si="45"/>
        <v>53791.873333333344</v>
      </c>
      <c r="W22" s="36">
        <f t="shared" si="45"/>
        <v>53791.873333333344</v>
      </c>
      <c r="X22" s="36">
        <f t="shared" ref="X22" si="46">X17-X18-X19-X20-X21</f>
        <v>53791.873333333344</v>
      </c>
      <c r="Y22" s="36">
        <f t="shared" ref="Y22" si="47">Y17-Y18-Y19-Y20-Y21</f>
        <v>52183.206666666687</v>
      </c>
      <c r="Z22" s="36">
        <f t="shared" ref="Z22" si="48">Z17-Z18-Z19-Z20-Z21</f>
        <v>52183.206666666687</v>
      </c>
      <c r="AA22" s="36">
        <f t="shared" ref="AA22" si="49">AA17-AA18-AA19-AA20-AA21</f>
        <v>52183.206666666687</v>
      </c>
      <c r="AB22" s="36">
        <f t="shared" ref="AB22" si="50">AB17-AB18-AB19-AB20-AB21</f>
        <v>52183.206666666687</v>
      </c>
      <c r="AC22" s="36">
        <f t="shared" ref="AC22" si="51">AC17-AC18-AC19-AC20-AC21</f>
        <v>52183.206666666687</v>
      </c>
      <c r="AD22" s="36">
        <f t="shared" ref="AD22" si="52">AD17-AD18-AD19-AD20-AD21</f>
        <v>52183.206666666687</v>
      </c>
      <c r="AE22" s="36">
        <f t="shared" ref="AE22" si="53">AE17-AE18-AE19-AE20-AE21</f>
        <v>52183.206666666687</v>
      </c>
      <c r="AF22" s="36">
        <f t="shared" ref="AF22" si="54">AF17-AF18-AF19-AF20-AF21</f>
        <v>52183.206666666687</v>
      </c>
      <c r="AG22" s="36">
        <f t="shared" ref="AG22" si="55">AG17-AG18-AG19-AG20-AG21</f>
        <v>52183.206666666687</v>
      </c>
      <c r="AH22" s="36">
        <f t="shared" ref="AH22" si="56">AH17-AH18-AH19-AH20-AH21</f>
        <v>52183.206666666687</v>
      </c>
      <c r="AI22" s="36">
        <f t="shared" ref="AI22" si="57">AI17-AI18-AI19-AI20-AI21</f>
        <v>52183.206666666687</v>
      </c>
      <c r="AJ22" s="36">
        <f t="shared" ref="AJ22" si="58">AJ17-AJ18-AJ19-AJ20-AJ21</f>
        <v>52183.206666666687</v>
      </c>
      <c r="AK22" s="36">
        <f t="shared" ref="AK22" si="59">AK17-AK18-AK19-AK20-AK21</f>
        <v>50574.540000000015</v>
      </c>
      <c r="AL22" s="36">
        <f t="shared" ref="AL22" si="60">AL17-AL18-AL19-AL20-AL21</f>
        <v>50574.540000000015</v>
      </c>
      <c r="AM22" s="36">
        <f t="shared" ref="AM22" si="61">AM17-AM18-AM19-AM20-AM21</f>
        <v>50574.540000000015</v>
      </c>
      <c r="AN22" s="36">
        <f t="shared" ref="AN22" si="62">AN17-AN18-AN19-AN20-AN21</f>
        <v>50574.540000000015</v>
      </c>
      <c r="AO22" s="36">
        <f t="shared" ref="AO22" si="63">AO17-AO18-AO19-AO20-AO21</f>
        <v>50574.540000000015</v>
      </c>
    </row>
    <row r="23" spans="1:41" x14ac:dyDescent="0.3">
      <c r="A23" s="34" t="s">
        <v>60</v>
      </c>
      <c r="B23" s="33">
        <f t="shared" ref="B23:D23" si="64">B22/B17</f>
        <v>0.35320324668026132</v>
      </c>
      <c r="C23" s="33">
        <f t="shared" si="64"/>
        <v>0.35320324668026132</v>
      </c>
      <c r="D23" s="33">
        <f t="shared" si="64"/>
        <v>0.34495861365789426</v>
      </c>
      <c r="E23" s="33">
        <f t="shared" ref="E23:W23" si="65">E22/E17</f>
        <v>0.32406421105027372</v>
      </c>
      <c r="F23" s="33">
        <f>F22/F17</f>
        <v>0.3141872159957611</v>
      </c>
      <c r="G23" s="33">
        <f t="shared" si="65"/>
        <v>0.30727098018593757</v>
      </c>
      <c r="H23" s="33">
        <f t="shared" si="65"/>
        <v>0.26293250935307255</v>
      </c>
      <c r="I23" s="33">
        <f t="shared" si="65"/>
        <v>0.29682480450874288</v>
      </c>
      <c r="J23" s="33">
        <f t="shared" si="65"/>
        <v>0.31711425600924864</v>
      </c>
      <c r="K23" s="33">
        <f t="shared" si="65"/>
        <v>0.31711425600924864</v>
      </c>
      <c r="L23" s="33">
        <f t="shared" si="65"/>
        <v>0.33358278874098823</v>
      </c>
      <c r="M23" s="33">
        <f t="shared" si="65"/>
        <v>0.33358278874098823</v>
      </c>
      <c r="N23" s="33">
        <f t="shared" si="65"/>
        <v>0.32389653815893005</v>
      </c>
      <c r="O23" s="33">
        <f t="shared" si="65"/>
        <v>0.32389653815893005</v>
      </c>
      <c r="P23" s="33">
        <f t="shared" si="65"/>
        <v>0.32389653815893005</v>
      </c>
      <c r="Q23" s="33">
        <f t="shared" si="65"/>
        <v>0.32389653815893005</v>
      </c>
      <c r="R23" s="33">
        <f t="shared" si="65"/>
        <v>0.32389653815893005</v>
      </c>
      <c r="S23" s="33">
        <f t="shared" si="65"/>
        <v>0.32389653815893005</v>
      </c>
      <c r="T23" s="33">
        <f t="shared" si="65"/>
        <v>0.32389653815893005</v>
      </c>
      <c r="U23" s="33">
        <f t="shared" si="65"/>
        <v>0.32389653815893005</v>
      </c>
      <c r="V23" s="33">
        <f t="shared" si="65"/>
        <v>0.32389653815893005</v>
      </c>
      <c r="W23" s="33">
        <f t="shared" si="65"/>
        <v>0.32389653815893005</v>
      </c>
      <c r="X23" s="33">
        <f t="shared" ref="X23" si="66">X22/X17</f>
        <v>0.32389653815893005</v>
      </c>
      <c r="Y23" s="33">
        <f t="shared" ref="Y23" si="67">Y22/Y17</f>
        <v>0.31421028757687192</v>
      </c>
      <c r="Z23" s="33">
        <f t="shared" ref="Z23" si="68">Z22/Z17</f>
        <v>0.31421028757687192</v>
      </c>
      <c r="AA23" s="33">
        <f t="shared" ref="AA23" si="69">AA22/AA17</f>
        <v>0.31421028757687192</v>
      </c>
      <c r="AB23" s="33">
        <f t="shared" ref="AB23" si="70">AB22/AB17</f>
        <v>0.31421028757687192</v>
      </c>
      <c r="AC23" s="33">
        <f t="shared" ref="AC23" si="71">AC22/AC17</f>
        <v>0.31421028757687192</v>
      </c>
      <c r="AD23" s="33">
        <f t="shared" ref="AD23" si="72">AD22/AD17</f>
        <v>0.31421028757687192</v>
      </c>
      <c r="AE23" s="33">
        <f t="shared" ref="AE23" si="73">AE22/AE17</f>
        <v>0.31421028757687192</v>
      </c>
      <c r="AF23" s="33">
        <f t="shared" ref="AF23" si="74">AF22/AF17</f>
        <v>0.31421028757687192</v>
      </c>
      <c r="AG23" s="33">
        <f t="shared" ref="AG23" si="75">AG22/AG17</f>
        <v>0.31421028757687192</v>
      </c>
      <c r="AH23" s="33">
        <f t="shared" ref="AH23" si="76">AH22/AH17</f>
        <v>0.31421028757687192</v>
      </c>
      <c r="AI23" s="33">
        <f t="shared" ref="AI23" si="77">AI22/AI17</f>
        <v>0.31421028757687192</v>
      </c>
      <c r="AJ23" s="33">
        <f t="shared" ref="AJ23" si="78">AJ22/AJ17</f>
        <v>0.31421028757687192</v>
      </c>
      <c r="AK23" s="33">
        <f t="shared" ref="AK23" si="79">AK22/AK17</f>
        <v>0.30452403699481373</v>
      </c>
      <c r="AL23" s="33">
        <f t="shared" ref="AL23" si="80">AL22/AL17</f>
        <v>0.30452403699481373</v>
      </c>
      <c r="AM23" s="33">
        <f t="shared" ref="AM23" si="81">AM22/AM17</f>
        <v>0.30452403699481373</v>
      </c>
      <c r="AN23" s="33">
        <f t="shared" ref="AN23" si="82">AN22/AN17</f>
        <v>0.30452403699481373</v>
      </c>
      <c r="AO23" s="33">
        <f t="shared" ref="AO23" si="83">AO22/AO17</f>
        <v>0.30452403699481373</v>
      </c>
    </row>
    <row r="24" spans="1:41" x14ac:dyDescent="0.3">
      <c r="A24" s="26" t="s">
        <v>68</v>
      </c>
      <c r="B24" s="28">
        <f>'Рабочая сила'!D29</f>
        <v>2205.7600000000002</v>
      </c>
      <c r="C24" s="28">
        <f>'Рабочая сила'!E29</f>
        <v>2205.7600000000002</v>
      </c>
      <c r="D24" s="28">
        <f>'Рабочая сила'!F29</f>
        <v>2205.7600000000002</v>
      </c>
      <c r="E24" s="28">
        <f>'Рабочая сила'!G29</f>
        <v>2205.7600000000002</v>
      </c>
      <c r="F24" s="28">
        <f>'Рабочая сила'!H29</f>
        <v>5547.34</v>
      </c>
      <c r="G24" s="28">
        <f>'Рабочая сила'!I29</f>
        <v>5547.34</v>
      </c>
      <c r="H24" s="28">
        <f>'Рабочая сила'!J29</f>
        <v>5547.34</v>
      </c>
      <c r="I24" s="28">
        <f>'Рабочая сила'!K29</f>
        <v>5547.34</v>
      </c>
      <c r="J24" s="28">
        <f>'Рабочая сила'!L29</f>
        <v>5547.34</v>
      </c>
      <c r="K24" s="28">
        <f>'Рабочая сила'!M29</f>
        <v>5547.34</v>
      </c>
      <c r="L24" s="28">
        <f>'Рабочая сила'!N29</f>
        <v>5547.34</v>
      </c>
      <c r="M24" s="28">
        <f>'Рабочая сила'!O29</f>
        <v>5547.34</v>
      </c>
      <c r="N24" s="28">
        <f>'Рабочая сила'!P29</f>
        <v>5547.34</v>
      </c>
      <c r="O24" s="28">
        <f>'Рабочая сила'!Q29</f>
        <v>5547.34</v>
      </c>
      <c r="P24" s="28">
        <f>'Рабочая сила'!R29</f>
        <v>5547.34</v>
      </c>
      <c r="Q24" s="28">
        <f>'Рабочая сила'!S29</f>
        <v>5547.34</v>
      </c>
      <c r="R24" s="28">
        <f>'Рабочая сила'!T29</f>
        <v>5547.34</v>
      </c>
      <c r="S24" s="28">
        <f>'Рабочая сила'!U29</f>
        <v>5547.34</v>
      </c>
      <c r="T24" s="28">
        <f>'Рабочая сила'!V29</f>
        <v>5547.34</v>
      </c>
      <c r="U24" s="28">
        <f>'Рабочая сила'!W29</f>
        <v>5547.34</v>
      </c>
      <c r="V24" s="28">
        <f>'Рабочая сила'!X29</f>
        <v>5547.34</v>
      </c>
      <c r="W24" s="28">
        <f>'Рабочая сила'!Y29</f>
        <v>5547.34</v>
      </c>
      <c r="X24" s="28">
        <f>'Рабочая сила'!Z29</f>
        <v>5547.34</v>
      </c>
      <c r="Y24" s="28">
        <f>'Рабочая сила'!AA29</f>
        <v>5547.34</v>
      </c>
      <c r="Z24" s="28">
        <f>'Рабочая сила'!AB29</f>
        <v>5547.34</v>
      </c>
      <c r="AA24" s="28">
        <f>'Рабочая сила'!AC29</f>
        <v>5547.34</v>
      </c>
      <c r="AB24" s="28">
        <f>'Рабочая сила'!AD29</f>
        <v>5547.34</v>
      </c>
      <c r="AC24" s="28">
        <f>'Рабочая сила'!AE29</f>
        <v>5547.34</v>
      </c>
      <c r="AD24" s="28">
        <f>'Рабочая сила'!AF29</f>
        <v>5547.34</v>
      </c>
      <c r="AE24" s="28">
        <f>'Рабочая сила'!AG29</f>
        <v>5547.34</v>
      </c>
      <c r="AF24" s="28">
        <f>'Рабочая сила'!AH29</f>
        <v>5547.34</v>
      </c>
      <c r="AG24" s="28">
        <f>'Рабочая сила'!AI29</f>
        <v>5547.34</v>
      </c>
      <c r="AH24" s="28">
        <f>'Рабочая сила'!AJ29</f>
        <v>5547.34</v>
      </c>
      <c r="AI24" s="28">
        <f>'Рабочая сила'!AK29</f>
        <v>5547.34</v>
      </c>
      <c r="AJ24" s="28">
        <f>'Рабочая сила'!AL29</f>
        <v>5547.34</v>
      </c>
      <c r="AK24" s="28">
        <f>'Рабочая сила'!AM29</f>
        <v>5547.34</v>
      </c>
      <c r="AL24" s="28">
        <f>'Рабочая сила'!AN29</f>
        <v>5547.34</v>
      </c>
      <c r="AM24" s="28">
        <f>'Рабочая сила'!AO29</f>
        <v>5547.34</v>
      </c>
      <c r="AN24" s="28">
        <f>'Рабочая сила'!AP29</f>
        <v>5547.34</v>
      </c>
      <c r="AO24" s="28">
        <f>'Рабочая сила'!AQ29</f>
        <v>5547.34</v>
      </c>
    </row>
    <row r="25" spans="1:41" x14ac:dyDescent="0.3">
      <c r="A25" t="s">
        <v>107</v>
      </c>
      <c r="B25" s="28">
        <f>Допущения!$B$11</f>
        <v>416.66666666666669</v>
      </c>
      <c r="C25" s="28">
        <f>Допущения!$B$11</f>
        <v>416.66666666666669</v>
      </c>
      <c r="D25" s="28">
        <f>Допущения!$B$11</f>
        <v>416.66666666666669</v>
      </c>
      <c r="E25" s="28">
        <f>Допущения!$B$11</f>
        <v>416.66666666666669</v>
      </c>
      <c r="F25" s="28">
        <f>Допущения!$B$11</f>
        <v>416.66666666666669</v>
      </c>
      <c r="G25" s="28">
        <f>Допущения!$B$11</f>
        <v>416.66666666666669</v>
      </c>
      <c r="H25" s="28">
        <f>Допущения!$B$11</f>
        <v>416.66666666666669</v>
      </c>
      <c r="I25" s="28">
        <f>Допущения!$B$11</f>
        <v>416.66666666666669</v>
      </c>
      <c r="J25" s="28">
        <f>Допущения!$B$11</f>
        <v>416.66666666666669</v>
      </c>
      <c r="K25" s="28">
        <f>Допущения!$B$11</f>
        <v>416.66666666666669</v>
      </c>
      <c r="L25" s="28">
        <f>Допущения!$B$11</f>
        <v>416.66666666666669</v>
      </c>
      <c r="M25" s="28">
        <f>Допущения!$B$11</f>
        <v>416.66666666666669</v>
      </c>
      <c r="N25" s="28">
        <f>Допущения!$B$11</f>
        <v>416.66666666666669</v>
      </c>
      <c r="O25" s="28">
        <f>Допущения!$B$11</f>
        <v>416.66666666666669</v>
      </c>
      <c r="P25" s="28">
        <f>Допущения!$B$11</f>
        <v>416.66666666666669</v>
      </c>
      <c r="Q25" s="28">
        <f>Допущения!$B$11</f>
        <v>416.66666666666669</v>
      </c>
      <c r="R25" s="28">
        <f>Допущения!$B$11</f>
        <v>416.66666666666669</v>
      </c>
      <c r="S25" s="28">
        <f>Допущения!$B$11</f>
        <v>416.66666666666669</v>
      </c>
      <c r="T25" s="28">
        <f>Допущения!$B$11</f>
        <v>416.66666666666669</v>
      </c>
      <c r="U25" s="28">
        <f>Допущения!$B$11</f>
        <v>416.66666666666669</v>
      </c>
      <c r="V25" s="28">
        <f>Допущения!$B$11</f>
        <v>416.66666666666669</v>
      </c>
      <c r="W25" s="28">
        <f>Допущения!$B$11</f>
        <v>416.66666666666669</v>
      </c>
      <c r="X25" s="28">
        <f>Допущения!$B$11</f>
        <v>416.66666666666669</v>
      </c>
      <c r="Y25" s="28">
        <f>Допущения!$B$11</f>
        <v>416.66666666666669</v>
      </c>
      <c r="Z25" s="28">
        <f>Допущения!$B$11</f>
        <v>416.66666666666669</v>
      </c>
      <c r="AA25" s="28">
        <f>Допущения!$B$11</f>
        <v>416.66666666666669</v>
      </c>
      <c r="AB25" s="28">
        <f>Допущения!$B$11</f>
        <v>416.66666666666669</v>
      </c>
      <c r="AC25" s="28">
        <f>Допущения!$B$11</f>
        <v>416.66666666666669</v>
      </c>
      <c r="AD25" s="28">
        <f>Допущения!$B$11</f>
        <v>416.66666666666669</v>
      </c>
      <c r="AE25" s="28">
        <f>Допущения!$B$11</f>
        <v>416.66666666666669</v>
      </c>
      <c r="AF25" s="28">
        <f>Допущения!$B$11</f>
        <v>416.66666666666669</v>
      </c>
      <c r="AG25" s="28">
        <f>Допущения!$B$11</f>
        <v>416.66666666666669</v>
      </c>
      <c r="AH25" s="28">
        <f>Допущения!$B$11</f>
        <v>416.66666666666669</v>
      </c>
      <c r="AI25" s="28">
        <f>Допущения!$B$11</f>
        <v>416.66666666666669</v>
      </c>
      <c r="AJ25" s="28">
        <f>Допущения!$B$11</f>
        <v>416.66666666666669</v>
      </c>
      <c r="AK25" s="28">
        <f>Допущения!$B$11</f>
        <v>416.66666666666669</v>
      </c>
      <c r="AL25" s="28">
        <f>Допущения!$B$11</f>
        <v>416.66666666666669</v>
      </c>
      <c r="AM25" s="28">
        <f>Допущения!$B$11</f>
        <v>416.66666666666669</v>
      </c>
      <c r="AN25" s="28">
        <f>Допущения!$B$11</f>
        <v>416.66666666666669</v>
      </c>
      <c r="AO25" s="28">
        <f>Допущения!$B$11</f>
        <v>416.66666666666669</v>
      </c>
    </row>
    <row r="26" spans="1:41" x14ac:dyDescent="0.3">
      <c r="A26" s="31" t="s">
        <v>69</v>
      </c>
      <c r="B26" s="36">
        <f>B22-B24-B25</f>
        <v>22517.16761904761</v>
      </c>
      <c r="C26" s="36">
        <f t="shared" ref="C26:AO26" si="84">C22-C24-C25</f>
        <v>22517.16761904761</v>
      </c>
      <c r="D26" s="36">
        <f t="shared" si="84"/>
        <v>21930.34761904761</v>
      </c>
      <c r="E26" s="36">
        <f t="shared" si="84"/>
        <v>20443.167619047617</v>
      </c>
      <c r="F26" s="36">
        <f t="shared" si="84"/>
        <v>23852.779047619057</v>
      </c>
      <c r="G26" s="36">
        <f t="shared" si="84"/>
        <v>23196.419047619056</v>
      </c>
      <c r="H26" s="36">
        <f t="shared" si="84"/>
        <v>18988.639047619057</v>
      </c>
      <c r="I26" s="36">
        <f t="shared" si="84"/>
        <v>29247.330476190473</v>
      </c>
      <c r="J26" s="36">
        <f t="shared" si="84"/>
        <v>39177.841904761903</v>
      </c>
      <c r="K26" s="36">
        <f t="shared" si="84"/>
        <v>39177.841904761903</v>
      </c>
      <c r="L26" s="36">
        <f t="shared" si="84"/>
        <v>49436.533333333347</v>
      </c>
      <c r="M26" s="36">
        <f t="shared" si="84"/>
        <v>49436.533333333347</v>
      </c>
      <c r="N26" s="36">
        <f t="shared" si="84"/>
        <v>47827.866666666676</v>
      </c>
      <c r="O26" s="36">
        <f t="shared" si="84"/>
        <v>47827.866666666676</v>
      </c>
      <c r="P26" s="36">
        <f t="shared" si="84"/>
        <v>47827.866666666676</v>
      </c>
      <c r="Q26" s="36">
        <f t="shared" si="84"/>
        <v>47827.866666666676</v>
      </c>
      <c r="R26" s="36">
        <f t="shared" si="84"/>
        <v>47827.866666666676</v>
      </c>
      <c r="S26" s="36">
        <f t="shared" si="84"/>
        <v>47827.866666666676</v>
      </c>
      <c r="T26" s="36">
        <f t="shared" si="84"/>
        <v>47827.866666666676</v>
      </c>
      <c r="U26" s="36">
        <f t="shared" si="84"/>
        <v>47827.866666666676</v>
      </c>
      <c r="V26" s="36">
        <f t="shared" si="84"/>
        <v>47827.866666666676</v>
      </c>
      <c r="W26" s="36">
        <f t="shared" si="84"/>
        <v>47827.866666666676</v>
      </c>
      <c r="X26" s="36">
        <f t="shared" si="84"/>
        <v>47827.866666666676</v>
      </c>
      <c r="Y26" s="36">
        <f t="shared" si="84"/>
        <v>46219.200000000019</v>
      </c>
      <c r="Z26" s="36">
        <f t="shared" si="84"/>
        <v>46219.200000000019</v>
      </c>
      <c r="AA26" s="36">
        <f t="shared" si="84"/>
        <v>46219.200000000019</v>
      </c>
      <c r="AB26" s="36">
        <f t="shared" si="84"/>
        <v>46219.200000000019</v>
      </c>
      <c r="AC26" s="36">
        <f t="shared" si="84"/>
        <v>46219.200000000019</v>
      </c>
      <c r="AD26" s="36">
        <f t="shared" si="84"/>
        <v>46219.200000000019</v>
      </c>
      <c r="AE26" s="36">
        <f t="shared" si="84"/>
        <v>46219.200000000019</v>
      </c>
      <c r="AF26" s="36">
        <f t="shared" si="84"/>
        <v>46219.200000000019</v>
      </c>
      <c r="AG26" s="36">
        <f t="shared" si="84"/>
        <v>46219.200000000019</v>
      </c>
      <c r="AH26" s="36">
        <f t="shared" si="84"/>
        <v>46219.200000000019</v>
      </c>
      <c r="AI26" s="36">
        <f t="shared" si="84"/>
        <v>46219.200000000019</v>
      </c>
      <c r="AJ26" s="36">
        <f t="shared" si="84"/>
        <v>46219.200000000019</v>
      </c>
      <c r="AK26" s="36">
        <f t="shared" si="84"/>
        <v>44610.533333333347</v>
      </c>
      <c r="AL26" s="36">
        <f t="shared" si="84"/>
        <v>44610.533333333347</v>
      </c>
      <c r="AM26" s="36">
        <f t="shared" si="84"/>
        <v>44610.533333333347</v>
      </c>
      <c r="AN26" s="36">
        <f t="shared" si="84"/>
        <v>44610.533333333347</v>
      </c>
      <c r="AO26" s="36">
        <f t="shared" si="84"/>
        <v>44610.533333333347</v>
      </c>
    </row>
    <row r="27" spans="1:41" s="50" customFormat="1" x14ac:dyDescent="0.3">
      <c r="A27" t="s">
        <v>92</v>
      </c>
      <c r="B27" s="28">
        <f>$F$27/7*3</f>
        <v>3143.7142857142858</v>
      </c>
      <c r="C27" s="28">
        <f>$F$27/7*3</f>
        <v>3143.7142857142858</v>
      </c>
      <c r="D27" s="28">
        <f>$F$27/7*3</f>
        <v>3143.7142857142858</v>
      </c>
      <c r="E27" s="28">
        <f>$F$27/7*3</f>
        <v>3143.7142857142858</v>
      </c>
      <c r="F27" s="28">
        <f>CAPEX!$C$18/Допущения!$B$13/12</f>
        <v>7335.333333333333</v>
      </c>
      <c r="G27" s="28">
        <f>CAPEX!$C$18/Допущения!$B$13/12</f>
        <v>7335.333333333333</v>
      </c>
      <c r="H27" s="28">
        <f>CAPEX!$C$18/Допущения!$B$13/12</f>
        <v>7335.333333333333</v>
      </c>
      <c r="I27" s="28">
        <f>CAPEX!$C$18/Допущения!$B$13/12</f>
        <v>7335.333333333333</v>
      </c>
      <c r="J27" s="28">
        <f>CAPEX!$C$18/Допущения!$B$13/12</f>
        <v>7335.333333333333</v>
      </c>
      <c r="K27" s="28">
        <f>CAPEX!$C$18/Допущения!$B$13/12</f>
        <v>7335.333333333333</v>
      </c>
      <c r="L27" s="28">
        <f>CAPEX!$C$18/Допущения!$B$13/12</f>
        <v>7335.333333333333</v>
      </c>
      <c r="M27" s="28">
        <f>CAPEX!$C$18/Допущения!$B$13/12</f>
        <v>7335.333333333333</v>
      </c>
      <c r="N27" s="28">
        <f>CAPEX!$C$18/Допущения!$B$13/12</f>
        <v>7335.333333333333</v>
      </c>
      <c r="O27" s="28">
        <f>CAPEX!$C$18/Допущения!$B$13/12</f>
        <v>7335.333333333333</v>
      </c>
      <c r="P27" s="28">
        <f>CAPEX!$C$18/Допущения!$B$13/12</f>
        <v>7335.333333333333</v>
      </c>
      <c r="Q27" s="28">
        <f>CAPEX!$C$18/Допущения!$B$13/12</f>
        <v>7335.333333333333</v>
      </c>
      <c r="R27" s="28">
        <f>CAPEX!$C$18/Допущения!$B$13/12</f>
        <v>7335.333333333333</v>
      </c>
      <c r="S27" s="28">
        <f>CAPEX!$C$18/Допущения!$B$13/12</f>
        <v>7335.333333333333</v>
      </c>
      <c r="T27" s="28">
        <f>CAPEX!$C$18/Допущения!$B$13/12</f>
        <v>7335.333333333333</v>
      </c>
      <c r="U27" s="28">
        <f>CAPEX!$C$18/Допущения!$B$13/12</f>
        <v>7335.333333333333</v>
      </c>
      <c r="V27" s="28">
        <f>CAPEX!$C$18/Допущения!$B$13/12</f>
        <v>7335.333333333333</v>
      </c>
      <c r="W27" s="28">
        <f>CAPEX!$C$18/Допущения!$B$13/12</f>
        <v>7335.333333333333</v>
      </c>
      <c r="X27" s="28">
        <f>CAPEX!$C$18/Допущения!$B$13/12</f>
        <v>7335.333333333333</v>
      </c>
      <c r="Y27" s="28">
        <f>CAPEX!$C$18/Допущения!$B$13/12</f>
        <v>7335.333333333333</v>
      </c>
      <c r="Z27" s="28">
        <f>CAPEX!$C$18/Допущения!$B$13/12</f>
        <v>7335.333333333333</v>
      </c>
      <c r="AA27" s="28">
        <f>CAPEX!$C$18/Допущения!$B$13/12</f>
        <v>7335.333333333333</v>
      </c>
      <c r="AB27" s="28">
        <f>CAPEX!$C$18/Допущения!$B$13/12</f>
        <v>7335.333333333333</v>
      </c>
      <c r="AC27" s="28">
        <f>CAPEX!$C$18/Допущения!$B$13/12</f>
        <v>7335.333333333333</v>
      </c>
      <c r="AD27" s="28">
        <f>CAPEX!$C$18/Допущения!$B$13/12</f>
        <v>7335.333333333333</v>
      </c>
      <c r="AE27" s="28">
        <f>CAPEX!$C$18/Допущения!$B$13/12</f>
        <v>7335.333333333333</v>
      </c>
      <c r="AF27" s="28">
        <f>CAPEX!$C$18/Допущения!$B$13/12</f>
        <v>7335.333333333333</v>
      </c>
      <c r="AG27" s="28">
        <f>CAPEX!$C$18/Допущения!$B$13/12</f>
        <v>7335.333333333333</v>
      </c>
      <c r="AH27" s="28">
        <f>CAPEX!$C$18/Допущения!$B$13/12</f>
        <v>7335.333333333333</v>
      </c>
      <c r="AI27" s="28">
        <f>CAPEX!$C$18/Допущения!$B$13/12</f>
        <v>7335.333333333333</v>
      </c>
      <c r="AJ27" s="28">
        <f>CAPEX!$C$18/Допущения!$B$13/12</f>
        <v>7335.333333333333</v>
      </c>
      <c r="AK27" s="28">
        <f>CAPEX!$C$18/Допущения!$B$13/12</f>
        <v>7335.333333333333</v>
      </c>
      <c r="AL27" s="28">
        <f>CAPEX!$C$18/Допущения!$B$13/12</f>
        <v>7335.333333333333</v>
      </c>
      <c r="AM27" s="28">
        <f>CAPEX!$C$18/Допущения!$B$13/12</f>
        <v>7335.333333333333</v>
      </c>
      <c r="AN27" s="28">
        <f>CAPEX!$C$18/Допущения!$B$13/12</f>
        <v>7335.333333333333</v>
      </c>
      <c r="AO27" s="28">
        <f>CAPEX!$C$18/Допущения!$B$13/12</f>
        <v>7335.333333333333</v>
      </c>
    </row>
    <row r="28" spans="1:41" s="50" customFormat="1" x14ac:dyDescent="0.3">
      <c r="A28" s="31" t="s">
        <v>139</v>
      </c>
      <c r="B28" s="36">
        <f>B26-B27</f>
        <v>19373.453333333324</v>
      </c>
      <c r="C28" s="36">
        <f t="shared" ref="C28:AO28" si="85">C26-C27</f>
        <v>19373.453333333324</v>
      </c>
      <c r="D28" s="36">
        <f t="shared" si="85"/>
        <v>18786.633333333324</v>
      </c>
      <c r="E28" s="36">
        <f t="shared" si="85"/>
        <v>17299.453333333331</v>
      </c>
      <c r="F28" s="36">
        <f t="shared" si="85"/>
        <v>16517.445714285725</v>
      </c>
      <c r="G28" s="36">
        <f t="shared" si="85"/>
        <v>15861.085714285724</v>
      </c>
      <c r="H28" s="36">
        <f t="shared" si="85"/>
        <v>11653.305714285725</v>
      </c>
      <c r="I28" s="36">
        <f t="shared" si="85"/>
        <v>21911.997142857141</v>
      </c>
      <c r="J28" s="36">
        <f t="shared" si="85"/>
        <v>31842.508571428571</v>
      </c>
      <c r="K28" s="36">
        <f t="shared" si="85"/>
        <v>31842.508571428571</v>
      </c>
      <c r="L28" s="36">
        <f t="shared" si="85"/>
        <v>42101.200000000012</v>
      </c>
      <c r="M28" s="36">
        <f t="shared" si="85"/>
        <v>42101.200000000012</v>
      </c>
      <c r="N28" s="36">
        <f t="shared" si="85"/>
        <v>40492.53333333334</v>
      </c>
      <c r="O28" s="36">
        <f t="shared" si="85"/>
        <v>40492.53333333334</v>
      </c>
      <c r="P28" s="36">
        <f t="shared" si="85"/>
        <v>40492.53333333334</v>
      </c>
      <c r="Q28" s="36">
        <f t="shared" si="85"/>
        <v>40492.53333333334</v>
      </c>
      <c r="R28" s="36">
        <f t="shared" si="85"/>
        <v>40492.53333333334</v>
      </c>
      <c r="S28" s="36">
        <f t="shared" si="85"/>
        <v>40492.53333333334</v>
      </c>
      <c r="T28" s="36">
        <f t="shared" si="85"/>
        <v>40492.53333333334</v>
      </c>
      <c r="U28" s="36">
        <f t="shared" si="85"/>
        <v>40492.53333333334</v>
      </c>
      <c r="V28" s="36">
        <f t="shared" si="85"/>
        <v>40492.53333333334</v>
      </c>
      <c r="W28" s="36">
        <f t="shared" si="85"/>
        <v>40492.53333333334</v>
      </c>
      <c r="X28" s="36">
        <f t="shared" si="85"/>
        <v>40492.53333333334</v>
      </c>
      <c r="Y28" s="36">
        <f t="shared" si="85"/>
        <v>38883.866666666683</v>
      </c>
      <c r="Z28" s="36">
        <f t="shared" si="85"/>
        <v>38883.866666666683</v>
      </c>
      <c r="AA28" s="36">
        <f t="shared" si="85"/>
        <v>38883.866666666683</v>
      </c>
      <c r="AB28" s="36">
        <f t="shared" si="85"/>
        <v>38883.866666666683</v>
      </c>
      <c r="AC28" s="36">
        <f t="shared" si="85"/>
        <v>38883.866666666683</v>
      </c>
      <c r="AD28" s="36">
        <f t="shared" si="85"/>
        <v>38883.866666666683</v>
      </c>
      <c r="AE28" s="36">
        <f t="shared" si="85"/>
        <v>38883.866666666683</v>
      </c>
      <c r="AF28" s="36">
        <f t="shared" si="85"/>
        <v>38883.866666666683</v>
      </c>
      <c r="AG28" s="36">
        <f t="shared" si="85"/>
        <v>38883.866666666683</v>
      </c>
      <c r="AH28" s="36">
        <f t="shared" si="85"/>
        <v>38883.866666666683</v>
      </c>
      <c r="AI28" s="36">
        <f t="shared" si="85"/>
        <v>38883.866666666683</v>
      </c>
      <c r="AJ28" s="36">
        <f t="shared" si="85"/>
        <v>38883.866666666683</v>
      </c>
      <c r="AK28" s="36">
        <f t="shared" si="85"/>
        <v>37275.200000000012</v>
      </c>
      <c r="AL28" s="36">
        <f t="shared" si="85"/>
        <v>37275.200000000012</v>
      </c>
      <c r="AM28" s="36">
        <f t="shared" si="85"/>
        <v>37275.200000000012</v>
      </c>
      <c r="AN28" s="36">
        <f t="shared" si="85"/>
        <v>37275.200000000012</v>
      </c>
      <c r="AO28" s="36">
        <f t="shared" si="85"/>
        <v>37275.200000000012</v>
      </c>
    </row>
    <row r="29" spans="1:41" s="50" customFormat="1" x14ac:dyDescent="0.3">
      <c r="A29" t="s">
        <v>131</v>
      </c>
      <c r="B29" s="28">
        <f>B28*0.15</f>
        <v>2906.0179999999987</v>
      </c>
      <c r="C29" s="28">
        <f t="shared" ref="C29:AO29" si="86">C28*0.15</f>
        <v>2906.0179999999987</v>
      </c>
      <c r="D29" s="28">
        <f t="shared" si="86"/>
        <v>2817.9949999999985</v>
      </c>
      <c r="E29" s="28">
        <f t="shared" si="86"/>
        <v>2594.9179999999997</v>
      </c>
      <c r="F29" s="28">
        <f t="shared" si="86"/>
        <v>2477.6168571428584</v>
      </c>
      <c r="G29" s="28">
        <f t="shared" si="86"/>
        <v>2379.1628571428587</v>
      </c>
      <c r="H29" s="28">
        <f t="shared" si="86"/>
        <v>1747.9958571428588</v>
      </c>
      <c r="I29" s="28">
        <f t="shared" si="86"/>
        <v>3286.7995714285712</v>
      </c>
      <c r="J29" s="28">
        <f t="shared" si="86"/>
        <v>4776.3762857142856</v>
      </c>
      <c r="K29" s="28">
        <f t="shared" si="86"/>
        <v>4776.3762857142856</v>
      </c>
      <c r="L29" s="28">
        <f t="shared" si="86"/>
        <v>6315.1800000000012</v>
      </c>
      <c r="M29" s="28">
        <f t="shared" si="86"/>
        <v>6315.1800000000012</v>
      </c>
      <c r="N29" s="28">
        <f t="shared" si="86"/>
        <v>6073.880000000001</v>
      </c>
      <c r="O29" s="28">
        <f t="shared" si="86"/>
        <v>6073.880000000001</v>
      </c>
      <c r="P29" s="28">
        <f t="shared" si="86"/>
        <v>6073.880000000001</v>
      </c>
      <c r="Q29" s="28">
        <f t="shared" si="86"/>
        <v>6073.880000000001</v>
      </c>
      <c r="R29" s="28">
        <f t="shared" si="86"/>
        <v>6073.880000000001</v>
      </c>
      <c r="S29" s="28">
        <f t="shared" si="86"/>
        <v>6073.880000000001</v>
      </c>
      <c r="T29" s="28">
        <f t="shared" si="86"/>
        <v>6073.880000000001</v>
      </c>
      <c r="U29" s="28">
        <f t="shared" si="86"/>
        <v>6073.880000000001</v>
      </c>
      <c r="V29" s="28">
        <f t="shared" si="86"/>
        <v>6073.880000000001</v>
      </c>
      <c r="W29" s="28">
        <f t="shared" si="86"/>
        <v>6073.880000000001</v>
      </c>
      <c r="X29" s="28">
        <f t="shared" si="86"/>
        <v>6073.880000000001</v>
      </c>
      <c r="Y29" s="28">
        <f t="shared" si="86"/>
        <v>5832.5800000000027</v>
      </c>
      <c r="Z29" s="28">
        <f t="shared" si="86"/>
        <v>5832.5800000000027</v>
      </c>
      <c r="AA29" s="28">
        <f t="shared" si="86"/>
        <v>5832.5800000000027</v>
      </c>
      <c r="AB29" s="28">
        <f t="shared" si="86"/>
        <v>5832.5800000000027</v>
      </c>
      <c r="AC29" s="28">
        <f t="shared" si="86"/>
        <v>5832.5800000000027</v>
      </c>
      <c r="AD29" s="28">
        <f t="shared" si="86"/>
        <v>5832.5800000000027</v>
      </c>
      <c r="AE29" s="28">
        <f t="shared" si="86"/>
        <v>5832.5800000000027</v>
      </c>
      <c r="AF29" s="28">
        <f t="shared" si="86"/>
        <v>5832.5800000000027</v>
      </c>
      <c r="AG29" s="28">
        <f t="shared" si="86"/>
        <v>5832.5800000000027</v>
      </c>
      <c r="AH29" s="28">
        <f t="shared" si="86"/>
        <v>5832.5800000000027</v>
      </c>
      <c r="AI29" s="28">
        <f t="shared" si="86"/>
        <v>5832.5800000000027</v>
      </c>
      <c r="AJ29" s="28">
        <f t="shared" si="86"/>
        <v>5832.5800000000027</v>
      </c>
      <c r="AK29" s="28">
        <f t="shared" si="86"/>
        <v>5591.2800000000016</v>
      </c>
      <c r="AL29" s="28">
        <f t="shared" si="86"/>
        <v>5591.2800000000016</v>
      </c>
      <c r="AM29" s="28">
        <f t="shared" si="86"/>
        <v>5591.2800000000016</v>
      </c>
      <c r="AN29" s="28">
        <f t="shared" si="86"/>
        <v>5591.2800000000016</v>
      </c>
      <c r="AO29" s="28">
        <f t="shared" si="86"/>
        <v>5591.2800000000016</v>
      </c>
    </row>
    <row r="30" spans="1:41" s="50" customFormat="1" x14ac:dyDescent="0.3">
      <c r="A30" s="31" t="s">
        <v>140</v>
      </c>
      <c r="B30" s="36">
        <f>B28-B29</f>
        <v>16467.435333333324</v>
      </c>
      <c r="C30" s="36">
        <f t="shared" ref="C30:AO30" si="87">C28-C29</f>
        <v>16467.435333333324</v>
      </c>
      <c r="D30" s="36">
        <f t="shared" si="87"/>
        <v>15968.638333333325</v>
      </c>
      <c r="E30" s="36">
        <f t="shared" si="87"/>
        <v>14704.535333333331</v>
      </c>
      <c r="F30" s="36">
        <f t="shared" si="87"/>
        <v>14039.828857142866</v>
      </c>
      <c r="G30" s="36">
        <f t="shared" si="87"/>
        <v>13481.922857142865</v>
      </c>
      <c r="H30" s="36">
        <f t="shared" si="87"/>
        <v>9905.3098571428673</v>
      </c>
      <c r="I30" s="36">
        <f t="shared" si="87"/>
        <v>18625.197571428569</v>
      </c>
      <c r="J30" s="36">
        <f t="shared" si="87"/>
        <v>27066.132285714284</v>
      </c>
      <c r="K30" s="36">
        <f t="shared" si="87"/>
        <v>27066.132285714284</v>
      </c>
      <c r="L30" s="36">
        <f t="shared" si="87"/>
        <v>35786.020000000011</v>
      </c>
      <c r="M30" s="36">
        <f t="shared" si="87"/>
        <v>35786.020000000011</v>
      </c>
      <c r="N30" s="36">
        <f t="shared" si="87"/>
        <v>34418.653333333335</v>
      </c>
      <c r="O30" s="36">
        <f t="shared" si="87"/>
        <v>34418.653333333335</v>
      </c>
      <c r="P30" s="36">
        <f t="shared" si="87"/>
        <v>34418.653333333335</v>
      </c>
      <c r="Q30" s="36">
        <f t="shared" si="87"/>
        <v>34418.653333333335</v>
      </c>
      <c r="R30" s="36">
        <f t="shared" si="87"/>
        <v>34418.653333333335</v>
      </c>
      <c r="S30" s="36">
        <f t="shared" si="87"/>
        <v>34418.653333333335</v>
      </c>
      <c r="T30" s="36">
        <f t="shared" si="87"/>
        <v>34418.653333333335</v>
      </c>
      <c r="U30" s="36">
        <f t="shared" si="87"/>
        <v>34418.653333333335</v>
      </c>
      <c r="V30" s="36">
        <f t="shared" si="87"/>
        <v>34418.653333333335</v>
      </c>
      <c r="W30" s="36">
        <f t="shared" si="87"/>
        <v>34418.653333333335</v>
      </c>
      <c r="X30" s="36">
        <f t="shared" si="87"/>
        <v>34418.653333333335</v>
      </c>
      <c r="Y30" s="36">
        <f t="shared" si="87"/>
        <v>33051.286666666681</v>
      </c>
      <c r="Z30" s="36">
        <f t="shared" si="87"/>
        <v>33051.286666666681</v>
      </c>
      <c r="AA30" s="36">
        <f t="shared" si="87"/>
        <v>33051.286666666681</v>
      </c>
      <c r="AB30" s="36">
        <f t="shared" si="87"/>
        <v>33051.286666666681</v>
      </c>
      <c r="AC30" s="36">
        <f t="shared" si="87"/>
        <v>33051.286666666681</v>
      </c>
      <c r="AD30" s="36">
        <f t="shared" si="87"/>
        <v>33051.286666666681</v>
      </c>
      <c r="AE30" s="36">
        <f t="shared" si="87"/>
        <v>33051.286666666681</v>
      </c>
      <c r="AF30" s="36">
        <f t="shared" si="87"/>
        <v>33051.286666666681</v>
      </c>
      <c r="AG30" s="36">
        <f t="shared" si="87"/>
        <v>33051.286666666681</v>
      </c>
      <c r="AH30" s="36">
        <f t="shared" si="87"/>
        <v>33051.286666666681</v>
      </c>
      <c r="AI30" s="36">
        <f t="shared" si="87"/>
        <v>33051.286666666681</v>
      </c>
      <c r="AJ30" s="36">
        <f t="shared" si="87"/>
        <v>33051.286666666681</v>
      </c>
      <c r="AK30" s="36">
        <f t="shared" si="87"/>
        <v>31683.920000000009</v>
      </c>
      <c r="AL30" s="36">
        <f t="shared" si="87"/>
        <v>31683.920000000009</v>
      </c>
      <c r="AM30" s="36">
        <f t="shared" si="87"/>
        <v>31683.920000000009</v>
      </c>
      <c r="AN30" s="36">
        <f t="shared" si="87"/>
        <v>31683.920000000009</v>
      </c>
      <c r="AO30" s="36">
        <f t="shared" si="87"/>
        <v>31683.920000000009</v>
      </c>
    </row>
    <row r="31" spans="1:41" s="50" customFormat="1" x14ac:dyDescent="0.3">
      <c r="A31" s="95" t="s">
        <v>142</v>
      </c>
      <c r="B31" s="96">
        <f>B30*Допущения!$B$6</f>
        <v>11762.453809523802</v>
      </c>
      <c r="C31" s="96">
        <f>C30*Допущения!$B$6</f>
        <v>11762.453809523802</v>
      </c>
      <c r="D31" s="96">
        <f>D30*Допущения!$B$6</f>
        <v>11406.170238095232</v>
      </c>
      <c r="E31" s="96">
        <f>E30*Допущения!$B$6</f>
        <v>10503.239523809523</v>
      </c>
      <c r="F31" s="96">
        <f>F30*Допущения!$B$6</f>
        <v>10028.449183673476</v>
      </c>
      <c r="G31" s="96">
        <f>G30*Допущения!$B$6</f>
        <v>9629.9448979591889</v>
      </c>
      <c r="H31" s="96">
        <f>H30*Допущения!$B$6</f>
        <v>7075.22132653062</v>
      </c>
      <c r="I31" s="96">
        <f>I30*Допущения!$B$6</f>
        <v>13303.712551020406</v>
      </c>
      <c r="J31" s="96">
        <f>J30*Допущения!$B$6</f>
        <v>19332.951632653061</v>
      </c>
      <c r="K31" s="96">
        <f>K30*Допущения!$B$6</f>
        <v>19332.951632653061</v>
      </c>
      <c r="L31" s="96">
        <f>L30*Допущения!$B$6</f>
        <v>25561.442857142865</v>
      </c>
      <c r="M31" s="96">
        <f>M30*Допущения!$B$6</f>
        <v>25561.442857142865</v>
      </c>
      <c r="N31" s="96">
        <f>N30*Допущения!$B$6</f>
        <v>24584.752380952385</v>
      </c>
      <c r="O31" s="96">
        <f>O30*Допущения!$B$6</f>
        <v>24584.752380952385</v>
      </c>
      <c r="P31" s="96">
        <f>P30*Допущения!$B$6</f>
        <v>24584.752380952385</v>
      </c>
      <c r="Q31" s="96">
        <f>Q30*Допущения!$B$6</f>
        <v>24584.752380952385</v>
      </c>
      <c r="R31" s="96">
        <f>R30*Допущения!$B$6</f>
        <v>24584.752380952385</v>
      </c>
      <c r="S31" s="96">
        <f>S30*Допущения!$B$6</f>
        <v>24584.752380952385</v>
      </c>
      <c r="T31" s="96">
        <f>T30*Допущения!$B$6</f>
        <v>24584.752380952385</v>
      </c>
      <c r="U31" s="96">
        <f>U30*Допущения!$B$6</f>
        <v>24584.752380952385</v>
      </c>
      <c r="V31" s="96">
        <f>V30*Допущения!$B$6</f>
        <v>24584.752380952385</v>
      </c>
      <c r="W31" s="96">
        <f>W30*Допущения!$B$6</f>
        <v>24584.752380952385</v>
      </c>
      <c r="X31" s="96">
        <f>X30*Допущения!$B$6</f>
        <v>24584.752380952385</v>
      </c>
      <c r="Y31" s="96">
        <f>Y30*Допущения!$B$6</f>
        <v>23608.061904761915</v>
      </c>
      <c r="Z31" s="96">
        <f>Z30*Допущения!$B$6</f>
        <v>23608.061904761915</v>
      </c>
      <c r="AA31" s="96">
        <f>AA30*Допущения!$B$6</f>
        <v>23608.061904761915</v>
      </c>
      <c r="AB31" s="96">
        <f>AB30*Допущения!$B$6</f>
        <v>23608.061904761915</v>
      </c>
      <c r="AC31" s="96">
        <f>AC30*Допущения!$B$6</f>
        <v>23608.061904761915</v>
      </c>
      <c r="AD31" s="96">
        <f>AD30*Допущения!$B$6</f>
        <v>23608.061904761915</v>
      </c>
      <c r="AE31" s="96">
        <f>AE30*Допущения!$B$6</f>
        <v>23608.061904761915</v>
      </c>
      <c r="AF31" s="96">
        <f>AF30*Допущения!$B$6</f>
        <v>23608.061904761915</v>
      </c>
      <c r="AG31" s="96">
        <f>AG30*Допущения!$B$6</f>
        <v>23608.061904761915</v>
      </c>
      <c r="AH31" s="96">
        <f>AH30*Допущения!$B$6</f>
        <v>23608.061904761915</v>
      </c>
      <c r="AI31" s="96">
        <f>AI30*Допущения!$B$6</f>
        <v>23608.061904761915</v>
      </c>
      <c r="AJ31" s="96">
        <f>AJ30*Допущения!$B$6</f>
        <v>23608.061904761915</v>
      </c>
      <c r="AK31" s="96">
        <f>AK30*Допущения!$B$6</f>
        <v>22631.371428571434</v>
      </c>
      <c r="AL31" s="96">
        <f>AL30*Допущения!$B$6</f>
        <v>22631.371428571434</v>
      </c>
      <c r="AM31" s="96">
        <f>AM30*Допущения!$B$6</f>
        <v>22631.371428571434</v>
      </c>
      <c r="AN31" s="96">
        <f>AN30*Допущения!$B$6</f>
        <v>22631.371428571434</v>
      </c>
      <c r="AO31" s="96">
        <f>AO30*Допущения!$B$6</f>
        <v>22631.371428571434</v>
      </c>
    </row>
    <row r="32" spans="1:41" x14ac:dyDescent="0.3">
      <c r="A32" s="40" t="s">
        <v>143</v>
      </c>
      <c r="B32" s="41">
        <f>-CAPEX!$C$18/4*Допущения!B5-Допущения!C4</f>
        <v>-430136.04714285722</v>
      </c>
      <c r="C32" s="41">
        <f>-CAPEX!$C$18/4*Допущения!$B$5</f>
        <v>-176048</v>
      </c>
      <c r="D32" s="41">
        <f>-CAPEX!$C$18/4*Допущения!$B$5</f>
        <v>-176048</v>
      </c>
      <c r="E32" s="41">
        <f>-CAPEX!$C$18/4*Допущения!$B$5</f>
        <v>-176048</v>
      </c>
    </row>
    <row r="33" spans="1:41" x14ac:dyDescent="0.3">
      <c r="A33" s="40" t="s">
        <v>144</v>
      </c>
      <c r="B33" s="97">
        <v>100000</v>
      </c>
      <c r="C33" s="41"/>
      <c r="D33" s="41"/>
      <c r="E33" s="41"/>
    </row>
    <row r="34" spans="1:41" s="50" customFormat="1" ht="28.8" x14ac:dyDescent="0.3">
      <c r="A34" s="58" t="s">
        <v>109</v>
      </c>
      <c r="E34" s="57">
        <f>-$B$6*'Факт Существ бизнес'!$B$12</f>
        <v>-9595.2380952380954</v>
      </c>
      <c r="F34" s="51"/>
      <c r="G34" s="57"/>
      <c r="H34" s="57">
        <f>-$B$6*'Факт Существ бизнес'!$B$12</f>
        <v>-9595.2380952380954</v>
      </c>
      <c r="I34" s="57">
        <f>-$B$6*'Факт Существ бизнес'!$B$12</f>
        <v>-9595.2380952380954</v>
      </c>
      <c r="J34" s="57"/>
      <c r="K34" s="57">
        <f>-$B$6*'Факт Существ бизнес'!$B$12</f>
        <v>-9595.2380952380954</v>
      </c>
      <c r="L34" s="57"/>
    </row>
    <row r="35" spans="1:41" x14ac:dyDescent="0.3">
      <c r="A35" t="s">
        <v>70</v>
      </c>
      <c r="B35" s="29">
        <f>B31+B32+B34+B27+B33</f>
        <v>-315229.87904761918</v>
      </c>
      <c r="C35" s="29">
        <f t="shared" ref="C35:AO35" si="88">C31+C32+C34+C27</f>
        <v>-161141.8319047619</v>
      </c>
      <c r="D35" s="29">
        <f t="shared" si="88"/>
        <v>-161498.11547619049</v>
      </c>
      <c r="E35" s="29">
        <f t="shared" si="88"/>
        <v>-171996.2842857143</v>
      </c>
      <c r="F35" s="29">
        <f t="shared" si="88"/>
        <v>17363.78251700681</v>
      </c>
      <c r="G35" s="29">
        <f t="shared" si="88"/>
        <v>16965.278231292523</v>
      </c>
      <c r="H35" s="29">
        <f t="shared" si="88"/>
        <v>4815.3165646258576</v>
      </c>
      <c r="I35" s="29">
        <f t="shared" si="88"/>
        <v>11043.807789115643</v>
      </c>
      <c r="J35" s="29">
        <f t="shared" si="88"/>
        <v>26668.284965986393</v>
      </c>
      <c r="K35" s="29">
        <f t="shared" si="88"/>
        <v>17073.046870748298</v>
      </c>
      <c r="L35" s="29">
        <f t="shared" si="88"/>
        <v>32896.776190476201</v>
      </c>
      <c r="M35" s="29">
        <f t="shared" si="88"/>
        <v>32896.776190476201</v>
      </c>
      <c r="N35" s="29">
        <f t="shared" si="88"/>
        <v>31920.085714285717</v>
      </c>
      <c r="O35" s="29">
        <f t="shared" si="88"/>
        <v>31920.085714285717</v>
      </c>
      <c r="P35" s="29">
        <f t="shared" si="88"/>
        <v>31920.085714285717</v>
      </c>
      <c r="Q35" s="29">
        <f t="shared" si="88"/>
        <v>31920.085714285717</v>
      </c>
      <c r="R35" s="29">
        <f t="shared" si="88"/>
        <v>31920.085714285717</v>
      </c>
      <c r="S35" s="29">
        <f t="shared" si="88"/>
        <v>31920.085714285717</v>
      </c>
      <c r="T35" s="29">
        <f>T31+T32+T34+T27</f>
        <v>31920.085714285717</v>
      </c>
      <c r="U35" s="29">
        <f t="shared" si="88"/>
        <v>31920.085714285717</v>
      </c>
      <c r="V35" s="29">
        <f t="shared" si="88"/>
        <v>31920.085714285717</v>
      </c>
      <c r="W35" s="29">
        <f t="shared" si="88"/>
        <v>31920.085714285717</v>
      </c>
      <c r="X35" s="29">
        <f t="shared" si="88"/>
        <v>31920.085714285717</v>
      </c>
      <c r="Y35" s="29">
        <f t="shared" si="88"/>
        <v>30943.395238095247</v>
      </c>
      <c r="Z35" s="29">
        <f t="shared" si="88"/>
        <v>30943.395238095247</v>
      </c>
      <c r="AA35" s="29">
        <f t="shared" si="88"/>
        <v>30943.395238095247</v>
      </c>
      <c r="AB35" s="29">
        <f t="shared" si="88"/>
        <v>30943.395238095247</v>
      </c>
      <c r="AC35" s="29">
        <f t="shared" si="88"/>
        <v>30943.395238095247</v>
      </c>
      <c r="AD35" s="29">
        <f t="shared" si="88"/>
        <v>30943.395238095247</v>
      </c>
      <c r="AE35" s="29">
        <f t="shared" si="88"/>
        <v>30943.395238095247</v>
      </c>
      <c r="AF35" s="29">
        <f t="shared" si="88"/>
        <v>30943.395238095247</v>
      </c>
      <c r="AG35" s="29">
        <f t="shared" si="88"/>
        <v>30943.395238095247</v>
      </c>
      <c r="AH35" s="29">
        <f t="shared" si="88"/>
        <v>30943.395238095247</v>
      </c>
      <c r="AI35" s="29">
        <f t="shared" si="88"/>
        <v>30943.395238095247</v>
      </c>
      <c r="AJ35" s="29">
        <f t="shared" si="88"/>
        <v>30943.395238095247</v>
      </c>
      <c r="AK35" s="29">
        <f t="shared" si="88"/>
        <v>29966.704761904766</v>
      </c>
      <c r="AL35" s="29">
        <f t="shared" si="88"/>
        <v>29966.704761904766</v>
      </c>
      <c r="AM35" s="29">
        <f t="shared" si="88"/>
        <v>29966.704761904766</v>
      </c>
      <c r="AN35" s="29">
        <f t="shared" si="88"/>
        <v>29966.704761904766</v>
      </c>
      <c r="AO35" s="29">
        <f t="shared" si="88"/>
        <v>29966.704761904766</v>
      </c>
    </row>
    <row r="36" spans="1:41" x14ac:dyDescent="0.3">
      <c r="A36" t="s">
        <v>71</v>
      </c>
      <c r="B36" s="29">
        <f>B35</f>
        <v>-315229.87904761918</v>
      </c>
      <c r="C36" s="29">
        <f>B36+C35</f>
        <v>-476371.71095238108</v>
      </c>
      <c r="D36" s="29">
        <f t="shared" ref="D36:AO36" si="89">C36+D35</f>
        <v>-637869.8264285716</v>
      </c>
      <c r="E36" s="29">
        <f t="shared" si="89"/>
        <v>-809866.11071428587</v>
      </c>
      <c r="F36" s="29">
        <f t="shared" si="89"/>
        <v>-792502.32819727901</v>
      </c>
      <c r="G36" s="29">
        <f t="shared" si="89"/>
        <v>-775537.04996598652</v>
      </c>
      <c r="H36" s="29">
        <f t="shared" si="89"/>
        <v>-770721.73340136069</v>
      </c>
      <c r="I36" s="29">
        <f t="shared" si="89"/>
        <v>-759677.92561224499</v>
      </c>
      <c r="J36" s="29">
        <f t="shared" si="89"/>
        <v>-733009.6406462586</v>
      </c>
      <c r="K36" s="29">
        <f t="shared" si="89"/>
        <v>-715936.59377551032</v>
      </c>
      <c r="L36" s="29">
        <f t="shared" si="89"/>
        <v>-683039.81758503406</v>
      </c>
      <c r="M36" s="29">
        <f t="shared" si="89"/>
        <v>-650143.0413945578</v>
      </c>
      <c r="N36" s="29">
        <f t="shared" si="89"/>
        <v>-618222.95568027208</v>
      </c>
      <c r="O36" s="29">
        <f t="shared" si="89"/>
        <v>-586302.86996598635</v>
      </c>
      <c r="P36" s="29">
        <f t="shared" si="89"/>
        <v>-554382.78425170062</v>
      </c>
      <c r="Q36" s="29">
        <f t="shared" si="89"/>
        <v>-522462.69853741489</v>
      </c>
      <c r="R36" s="29">
        <f t="shared" si="89"/>
        <v>-490542.61282312917</v>
      </c>
      <c r="S36" s="29">
        <f t="shared" si="89"/>
        <v>-458622.52710884344</v>
      </c>
      <c r="T36" s="29">
        <f>S36+T35</f>
        <v>-426702.44139455771</v>
      </c>
      <c r="U36" s="29">
        <f t="shared" si="89"/>
        <v>-394782.35568027198</v>
      </c>
      <c r="V36" s="29">
        <f t="shared" si="89"/>
        <v>-362862.26996598626</v>
      </c>
      <c r="W36" s="29">
        <f t="shared" si="89"/>
        <v>-330942.18425170053</v>
      </c>
      <c r="X36" s="29">
        <f t="shared" si="89"/>
        <v>-299022.0985374148</v>
      </c>
      <c r="Y36" s="29">
        <f t="shared" si="89"/>
        <v>-268078.70329931955</v>
      </c>
      <c r="Z36" s="29">
        <f t="shared" si="89"/>
        <v>-237135.30806122429</v>
      </c>
      <c r="AA36" s="29">
        <f t="shared" si="89"/>
        <v>-206191.91282312904</v>
      </c>
      <c r="AB36" s="29">
        <f t="shared" si="89"/>
        <v>-175248.51758503378</v>
      </c>
      <c r="AC36" s="29">
        <f t="shared" si="89"/>
        <v>-144305.12234693853</v>
      </c>
      <c r="AD36" s="29">
        <f t="shared" si="89"/>
        <v>-113361.72710884328</v>
      </c>
      <c r="AE36" s="29">
        <f t="shared" si="89"/>
        <v>-82418.331870748021</v>
      </c>
      <c r="AF36" s="29">
        <f t="shared" si="89"/>
        <v>-51474.936632652774</v>
      </c>
      <c r="AG36" s="29">
        <f t="shared" si="89"/>
        <v>-20531.541394557527</v>
      </c>
      <c r="AH36" s="29">
        <f t="shared" si="89"/>
        <v>10411.85384353772</v>
      </c>
      <c r="AI36" s="29">
        <f t="shared" si="89"/>
        <v>41355.249081632966</v>
      </c>
      <c r="AJ36" s="29">
        <f t="shared" si="89"/>
        <v>72298.644319728221</v>
      </c>
      <c r="AK36" s="29">
        <f t="shared" si="89"/>
        <v>102265.34908163299</v>
      </c>
      <c r="AL36" s="29">
        <f t="shared" si="89"/>
        <v>132232.05384353775</v>
      </c>
      <c r="AM36" s="29">
        <f t="shared" si="89"/>
        <v>162198.75860544253</v>
      </c>
      <c r="AN36" s="29">
        <f t="shared" si="89"/>
        <v>192165.46336734731</v>
      </c>
      <c r="AO36" s="29">
        <f t="shared" si="89"/>
        <v>222132.1681292521</v>
      </c>
    </row>
    <row r="37" spans="1:41" x14ac:dyDescent="0.3">
      <c r="A37" s="31" t="s">
        <v>90</v>
      </c>
      <c r="B37" s="37">
        <f>COUNTIF(B36:AO36,"&lt;0")</f>
        <v>32</v>
      </c>
    </row>
  </sheetData>
  <mergeCells count="1">
    <mergeCell ref="C6:C8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"/>
  <sheetViews>
    <sheetView topLeftCell="A7" workbookViewId="0">
      <selection activeCell="C14" sqref="C14"/>
    </sheetView>
  </sheetViews>
  <sheetFormatPr defaultRowHeight="14.4" x14ac:dyDescent="0.3"/>
  <cols>
    <col min="1" max="1" width="57.5546875" customWidth="1"/>
    <col min="2" max="7" width="11.6640625" customWidth="1"/>
    <col min="8" max="25" width="10.6640625" bestFit="1" customWidth="1"/>
  </cols>
  <sheetData>
    <row r="1" spans="1:43" ht="18" x14ac:dyDescent="0.35">
      <c r="A1" s="24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3" spans="1:43" x14ac:dyDescent="0.3">
      <c r="A3" s="30" t="s">
        <v>20</v>
      </c>
    </row>
    <row r="5" spans="1:43" x14ac:dyDescent="0.3">
      <c r="A5" t="s">
        <v>49</v>
      </c>
      <c r="B5" s="1">
        <v>1.5</v>
      </c>
    </row>
    <row r="6" spans="1:43" x14ac:dyDescent="0.3">
      <c r="A6" t="s">
        <v>52</v>
      </c>
      <c r="B6" s="1">
        <v>3</v>
      </c>
    </row>
    <row r="8" spans="1:43" ht="28.8" x14ac:dyDescent="0.3">
      <c r="B8" s="27" t="s">
        <v>50</v>
      </c>
      <c r="C8" s="27" t="s">
        <v>53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  <c r="N8" t="s">
        <v>31</v>
      </c>
      <c r="O8" t="s">
        <v>32</v>
      </c>
      <c r="P8" t="s">
        <v>33</v>
      </c>
      <c r="Q8" t="s">
        <v>34</v>
      </c>
      <c r="R8" t="s">
        <v>35</v>
      </c>
      <c r="S8" t="s">
        <v>36</v>
      </c>
      <c r="T8" t="s">
        <v>37</v>
      </c>
      <c r="U8" t="s">
        <v>38</v>
      </c>
      <c r="V8" t="s">
        <v>72</v>
      </c>
      <c r="W8" t="s">
        <v>73</v>
      </c>
      <c r="X8" t="s">
        <v>74</v>
      </c>
      <c r="Y8" t="s">
        <v>75</v>
      </c>
      <c r="Z8" t="s">
        <v>76</v>
      </c>
      <c r="AA8" t="s">
        <v>77</v>
      </c>
      <c r="AB8" t="s">
        <v>78</v>
      </c>
      <c r="AC8" t="s">
        <v>79</v>
      </c>
      <c r="AD8" t="s">
        <v>80</v>
      </c>
      <c r="AE8" t="s">
        <v>81</v>
      </c>
      <c r="AF8" t="s">
        <v>82</v>
      </c>
      <c r="AG8" t="s">
        <v>83</v>
      </c>
      <c r="AH8" t="s">
        <v>84</v>
      </c>
      <c r="AI8" t="s">
        <v>85</v>
      </c>
      <c r="AJ8" t="s">
        <v>86</v>
      </c>
      <c r="AK8" t="s">
        <v>87</v>
      </c>
      <c r="AL8" t="s">
        <v>88</v>
      </c>
      <c r="AM8" t="s">
        <v>89</v>
      </c>
      <c r="AN8" t="s">
        <v>110</v>
      </c>
      <c r="AO8" t="s">
        <v>111</v>
      </c>
      <c r="AP8" t="s">
        <v>112</v>
      </c>
      <c r="AQ8" t="s">
        <v>113</v>
      </c>
    </row>
    <row r="9" spans="1:43" x14ac:dyDescent="0.3">
      <c r="A9" s="50" t="s">
        <v>114</v>
      </c>
      <c r="B9" s="28">
        <v>346</v>
      </c>
      <c r="C9" s="1">
        <v>1</v>
      </c>
      <c r="D9" s="28">
        <f>$B$9*$C$9</f>
        <v>346</v>
      </c>
      <c r="E9" s="28">
        <f t="shared" ref="E9:G9" si="0">$B$9*$C$9</f>
        <v>346</v>
      </c>
      <c r="F9" s="28">
        <f t="shared" si="0"/>
        <v>346</v>
      </c>
      <c r="G9" s="28">
        <f t="shared" si="0"/>
        <v>346</v>
      </c>
      <c r="H9" s="28">
        <f>$B$9*$C$9</f>
        <v>346</v>
      </c>
      <c r="I9" s="28">
        <f t="shared" ref="I9:AQ9" si="1">$B$9*$C$9</f>
        <v>346</v>
      </c>
      <c r="J9" s="28">
        <f t="shared" si="1"/>
        <v>346</v>
      </c>
      <c r="K9" s="28">
        <f t="shared" si="1"/>
        <v>346</v>
      </c>
      <c r="L9" s="28">
        <f t="shared" si="1"/>
        <v>346</v>
      </c>
      <c r="M9" s="28">
        <f t="shared" si="1"/>
        <v>346</v>
      </c>
      <c r="N9" s="28">
        <f t="shared" si="1"/>
        <v>346</v>
      </c>
      <c r="O9" s="28">
        <f t="shared" si="1"/>
        <v>346</v>
      </c>
      <c r="P9" s="28">
        <f t="shared" si="1"/>
        <v>346</v>
      </c>
      <c r="Q9" s="28">
        <f t="shared" si="1"/>
        <v>346</v>
      </c>
      <c r="R9" s="28">
        <f t="shared" si="1"/>
        <v>346</v>
      </c>
      <c r="S9" s="28">
        <f t="shared" si="1"/>
        <v>346</v>
      </c>
      <c r="T9" s="28">
        <f t="shared" si="1"/>
        <v>346</v>
      </c>
      <c r="U9" s="28">
        <f t="shared" si="1"/>
        <v>346</v>
      </c>
      <c r="V9" s="28">
        <f t="shared" si="1"/>
        <v>346</v>
      </c>
      <c r="W9" s="28">
        <f t="shared" si="1"/>
        <v>346</v>
      </c>
      <c r="X9" s="28">
        <f t="shared" si="1"/>
        <v>346</v>
      </c>
      <c r="Y9" s="28">
        <f t="shared" si="1"/>
        <v>346</v>
      </c>
      <c r="Z9" s="28">
        <f t="shared" si="1"/>
        <v>346</v>
      </c>
      <c r="AA9" s="28">
        <f t="shared" si="1"/>
        <v>346</v>
      </c>
      <c r="AB9" s="28">
        <f t="shared" si="1"/>
        <v>346</v>
      </c>
      <c r="AC9" s="28">
        <f t="shared" si="1"/>
        <v>346</v>
      </c>
      <c r="AD9" s="28">
        <f t="shared" si="1"/>
        <v>346</v>
      </c>
      <c r="AE9" s="28">
        <f t="shared" si="1"/>
        <v>346</v>
      </c>
      <c r="AF9" s="28">
        <f t="shared" si="1"/>
        <v>346</v>
      </c>
      <c r="AG9" s="28">
        <f t="shared" si="1"/>
        <v>346</v>
      </c>
      <c r="AH9" s="28">
        <f t="shared" si="1"/>
        <v>346</v>
      </c>
      <c r="AI9" s="28">
        <f t="shared" si="1"/>
        <v>346</v>
      </c>
      <c r="AJ9" s="28">
        <f t="shared" si="1"/>
        <v>346</v>
      </c>
      <c r="AK9" s="28">
        <f t="shared" si="1"/>
        <v>346</v>
      </c>
      <c r="AL9" s="28">
        <f t="shared" si="1"/>
        <v>346</v>
      </c>
      <c r="AM9" s="28">
        <f t="shared" si="1"/>
        <v>346</v>
      </c>
      <c r="AN9" s="28">
        <f t="shared" si="1"/>
        <v>346</v>
      </c>
      <c r="AO9" s="28">
        <f t="shared" si="1"/>
        <v>346</v>
      </c>
      <c r="AP9" s="28">
        <f t="shared" si="1"/>
        <v>346</v>
      </c>
      <c r="AQ9" s="28">
        <f t="shared" si="1"/>
        <v>346</v>
      </c>
    </row>
    <row r="10" spans="1:43" x14ac:dyDescent="0.3">
      <c r="A10" t="s">
        <v>51</v>
      </c>
      <c r="B10" s="28">
        <v>269</v>
      </c>
      <c r="C10" s="1">
        <v>1</v>
      </c>
      <c r="D10" s="1"/>
      <c r="E10" s="1"/>
      <c r="F10" s="1"/>
      <c r="G10" s="1"/>
      <c r="H10" s="28">
        <f>$B$10*$C$10</f>
        <v>269</v>
      </c>
      <c r="I10" s="28">
        <f t="shared" ref="I10:AQ10" si="2">$B$10*$C$10</f>
        <v>269</v>
      </c>
      <c r="J10" s="28">
        <f t="shared" si="2"/>
        <v>269</v>
      </c>
      <c r="K10" s="28">
        <f t="shared" si="2"/>
        <v>269</v>
      </c>
      <c r="L10" s="28">
        <f t="shared" si="2"/>
        <v>269</v>
      </c>
      <c r="M10" s="28">
        <f t="shared" si="2"/>
        <v>269</v>
      </c>
      <c r="N10" s="28">
        <f t="shared" si="2"/>
        <v>269</v>
      </c>
      <c r="O10" s="28">
        <f t="shared" si="2"/>
        <v>269</v>
      </c>
      <c r="P10" s="28">
        <f t="shared" si="2"/>
        <v>269</v>
      </c>
      <c r="Q10" s="28">
        <f t="shared" si="2"/>
        <v>269</v>
      </c>
      <c r="R10" s="28">
        <f t="shared" si="2"/>
        <v>269</v>
      </c>
      <c r="S10" s="28">
        <f t="shared" si="2"/>
        <v>269</v>
      </c>
      <c r="T10" s="28">
        <f t="shared" si="2"/>
        <v>269</v>
      </c>
      <c r="U10" s="28">
        <f t="shared" si="2"/>
        <v>269</v>
      </c>
      <c r="V10" s="28">
        <f t="shared" si="2"/>
        <v>269</v>
      </c>
      <c r="W10" s="28">
        <f t="shared" si="2"/>
        <v>269</v>
      </c>
      <c r="X10" s="28">
        <f t="shared" si="2"/>
        <v>269</v>
      </c>
      <c r="Y10" s="28">
        <f t="shared" si="2"/>
        <v>269</v>
      </c>
      <c r="Z10" s="28">
        <f t="shared" si="2"/>
        <v>269</v>
      </c>
      <c r="AA10" s="28">
        <f t="shared" si="2"/>
        <v>269</v>
      </c>
      <c r="AB10" s="28">
        <f t="shared" si="2"/>
        <v>269</v>
      </c>
      <c r="AC10" s="28">
        <f t="shared" si="2"/>
        <v>269</v>
      </c>
      <c r="AD10" s="28">
        <f t="shared" si="2"/>
        <v>269</v>
      </c>
      <c r="AE10" s="28">
        <f t="shared" si="2"/>
        <v>269</v>
      </c>
      <c r="AF10" s="28">
        <f t="shared" si="2"/>
        <v>269</v>
      </c>
      <c r="AG10" s="28">
        <f t="shared" si="2"/>
        <v>269</v>
      </c>
      <c r="AH10" s="28">
        <f t="shared" si="2"/>
        <v>269</v>
      </c>
      <c r="AI10" s="28">
        <f t="shared" si="2"/>
        <v>269</v>
      </c>
      <c r="AJ10" s="28">
        <f t="shared" si="2"/>
        <v>269</v>
      </c>
      <c r="AK10" s="28">
        <f t="shared" si="2"/>
        <v>269</v>
      </c>
      <c r="AL10" s="28">
        <f t="shared" si="2"/>
        <v>269</v>
      </c>
      <c r="AM10" s="28">
        <f t="shared" si="2"/>
        <v>269</v>
      </c>
      <c r="AN10" s="28">
        <f t="shared" si="2"/>
        <v>269</v>
      </c>
      <c r="AO10" s="28">
        <f t="shared" si="2"/>
        <v>269</v>
      </c>
      <c r="AP10" s="28">
        <f t="shared" si="2"/>
        <v>269</v>
      </c>
      <c r="AQ10" s="28">
        <f t="shared" si="2"/>
        <v>269</v>
      </c>
    </row>
    <row r="11" spans="1:43" x14ac:dyDescent="0.3">
      <c r="A11" s="26" t="s">
        <v>96</v>
      </c>
      <c r="B11" s="28">
        <v>200</v>
      </c>
      <c r="C11" s="1">
        <v>3</v>
      </c>
      <c r="D11" s="1"/>
      <c r="E11" s="1"/>
      <c r="F11" s="1"/>
      <c r="G11" s="28">
        <f>B11</f>
        <v>200</v>
      </c>
      <c r="H11" s="28">
        <f>$B$11*$C$11*$B$5*'Расчет бизнес кейса'!F15</f>
        <v>3600</v>
      </c>
      <c r="I11" s="28">
        <f>$B$11*$C$11*$B$5*'Расчет бизнес кейса'!G15</f>
        <v>3600</v>
      </c>
      <c r="J11" s="28">
        <f>$B$11*$C$11*$B$5*'Расчет бизнес кейса'!H15</f>
        <v>3600</v>
      </c>
      <c r="K11" s="28">
        <f>$B$11*$C$11*$B$5*'Расчет бизнес кейса'!I15</f>
        <v>4500</v>
      </c>
      <c r="L11" s="28">
        <f>$B$11*$C$11*$B$5*'Расчет бизнес кейса'!J15</f>
        <v>5400</v>
      </c>
      <c r="M11" s="28">
        <f>$B$11*$C$11*$B$5*'Расчет бизнес кейса'!K15</f>
        <v>5400</v>
      </c>
      <c r="N11" s="28">
        <f>$B$11*$C$11*$B$5*'Расчет бизнес кейса'!L15</f>
        <v>6300</v>
      </c>
      <c r="O11" s="28">
        <f>$B$11*$C$11*$B$5*'Расчет бизнес кейса'!M15</f>
        <v>6300</v>
      </c>
      <c r="P11" s="28">
        <f>$B$11*$C$11*$B$5*'Расчет бизнес кейса'!N15</f>
        <v>6300</v>
      </c>
      <c r="Q11" s="28">
        <f>$B$11*$C$11*$B$5*'Расчет бизнес кейса'!O15</f>
        <v>6300</v>
      </c>
      <c r="R11" s="28">
        <f>$B$11*$C$11*$B$5*'Расчет бизнес кейса'!P15</f>
        <v>6300</v>
      </c>
      <c r="S11" s="28">
        <f>$B$11*$C$11*$B$5*'Расчет бизнес кейса'!Q15</f>
        <v>6300</v>
      </c>
      <c r="T11" s="28">
        <f>$B$11*$C$11*$B$5*'Расчет бизнес кейса'!R15</f>
        <v>6300</v>
      </c>
      <c r="U11" s="28">
        <f>$B$11*$C$11*$B$5*'Расчет бизнес кейса'!S15</f>
        <v>6300</v>
      </c>
      <c r="V11" s="28">
        <f>$B$11*$C$11*$B$5*'Расчет бизнес кейса'!T15</f>
        <v>6300</v>
      </c>
      <c r="W11" s="28">
        <f>$B$11*$C$11*$B$5*'Расчет бизнес кейса'!U15</f>
        <v>6300</v>
      </c>
      <c r="X11" s="28">
        <f>$B$11*$C$11*$B$5*'Расчет бизнес кейса'!V15</f>
        <v>6300</v>
      </c>
      <c r="Y11" s="28">
        <f>$B$11*$C$11*$B$5*'Расчет бизнес кейса'!W15</f>
        <v>6300</v>
      </c>
      <c r="Z11" s="28">
        <f>$B$11*$C$11*$B$5*'Расчет бизнес кейса'!X15</f>
        <v>6300</v>
      </c>
      <c r="AA11" s="28">
        <f>$B$11*$C$11*$B$5*'Расчет бизнес кейса'!Y15</f>
        <v>6300</v>
      </c>
      <c r="AB11" s="28">
        <f>$B$11*$C$11*$B$5*'Расчет бизнес кейса'!Z15</f>
        <v>6300</v>
      </c>
      <c r="AC11" s="28">
        <f>$B$11*$C$11*$B$5*'Расчет бизнес кейса'!AA15</f>
        <v>6300</v>
      </c>
      <c r="AD11" s="28">
        <f>$B$11*$C$11*$B$5*'Расчет бизнес кейса'!AB15</f>
        <v>6300</v>
      </c>
      <c r="AE11" s="28">
        <f>$B$11*$C$11*$B$5*'Расчет бизнес кейса'!AC15</f>
        <v>6300</v>
      </c>
      <c r="AF11" s="28">
        <f>$B$11*$C$11*$B$5*'Расчет бизнес кейса'!AD15</f>
        <v>6300</v>
      </c>
      <c r="AG11" s="28">
        <f>$B$11*$C$11*$B$5*'Расчет бизнес кейса'!AE15</f>
        <v>6300</v>
      </c>
      <c r="AH11" s="28">
        <f>$B$11*$C$11*$B$5*'Расчет бизнес кейса'!AF15</f>
        <v>6300</v>
      </c>
      <c r="AI11" s="28">
        <f>$B$11*$C$11*$B$5*'Расчет бизнес кейса'!AG15</f>
        <v>6300</v>
      </c>
      <c r="AJ11" s="28">
        <f>$B$11*$C$11*$B$5*'Расчет бизнес кейса'!AH15</f>
        <v>6300</v>
      </c>
      <c r="AK11" s="28">
        <f>$B$11*$C$11*$B$5*'Расчет бизнес кейса'!AI15</f>
        <v>6300</v>
      </c>
      <c r="AL11" s="28">
        <f>$B$11*$C$11*$B$5*'Расчет бизнес кейса'!AJ15</f>
        <v>6300</v>
      </c>
      <c r="AM11" s="28">
        <f>$B$11*$C$11*$B$5*'Расчет бизнес кейса'!AK15</f>
        <v>6300</v>
      </c>
      <c r="AN11" s="28">
        <f>$B$11*$C$11*$B$5*'Расчет бизнес кейса'!AL15</f>
        <v>6300</v>
      </c>
      <c r="AO11" s="28">
        <f>$B$11*$C$11*$B$5*'Расчет бизнес кейса'!AM15</f>
        <v>6300</v>
      </c>
      <c r="AP11" s="28">
        <f>$B$11*$C$11*$B$5*'Расчет бизнес кейса'!AN15</f>
        <v>6300</v>
      </c>
      <c r="AQ11" s="28">
        <f>$B$11*$C$11*$B$5*'Расчет бизнес кейса'!AO15</f>
        <v>6300</v>
      </c>
    </row>
    <row r="12" spans="1:43" x14ac:dyDescent="0.3">
      <c r="A12" t="s">
        <v>97</v>
      </c>
      <c r="B12" s="28">
        <v>212</v>
      </c>
      <c r="C12" s="1">
        <v>3</v>
      </c>
      <c r="D12" s="1"/>
      <c r="E12" s="1"/>
      <c r="F12" s="59">
        <f>$B$12</f>
        <v>212</v>
      </c>
      <c r="G12" s="59">
        <f>$B$12</f>
        <v>212</v>
      </c>
      <c r="H12" s="28">
        <f>$B$12*$C$12</f>
        <v>636</v>
      </c>
      <c r="I12" s="28">
        <f>$B$12*$C$12</f>
        <v>636</v>
      </c>
      <c r="J12" s="28">
        <f>$B$12*$C$12*$B$5*'Расчет бизнес кейса'!H15</f>
        <v>3816</v>
      </c>
      <c r="K12" s="28">
        <f>$B$12*$C$12*$B$5*'Расчет бизнес кейса'!I15</f>
        <v>4770</v>
      </c>
      <c r="L12" s="28">
        <f>$B$12*$C$12*$B$5*'Расчет бизнес кейса'!J15</f>
        <v>5724</v>
      </c>
      <c r="M12" s="28">
        <f>$B$12*$C$12*$B$5*'Расчет бизнес кейса'!K15</f>
        <v>5724</v>
      </c>
      <c r="N12" s="28">
        <f>$B$12*$C$12*$B$5*'Расчет бизнес кейса'!L15</f>
        <v>6678</v>
      </c>
      <c r="O12" s="28">
        <f>$B$12*$C$12*$B$5*'Расчет бизнес кейса'!M15</f>
        <v>6678</v>
      </c>
      <c r="P12" s="28">
        <f>$B$12*$C$12*$B$5*'Расчет бизнес кейса'!N15</f>
        <v>6678</v>
      </c>
      <c r="Q12" s="28">
        <f>$B$12*$C$12*$B$5*'Расчет бизнес кейса'!O15</f>
        <v>6678</v>
      </c>
      <c r="R12" s="28">
        <f>$B$12*$C$12*$B$5*'Расчет бизнес кейса'!P15</f>
        <v>6678</v>
      </c>
      <c r="S12" s="28">
        <f>$B$12*$C$12*$B$5*'Расчет бизнес кейса'!Q15</f>
        <v>6678</v>
      </c>
      <c r="T12" s="28">
        <f>$B$12*$C$12*$B$5*'Расчет бизнес кейса'!R15</f>
        <v>6678</v>
      </c>
      <c r="U12" s="28">
        <f>$B$12*$C$12*$B$5*'Расчет бизнес кейса'!S15</f>
        <v>6678</v>
      </c>
      <c r="V12" s="28">
        <f>$B$12*$C$12*$B$5*'Расчет бизнес кейса'!T15</f>
        <v>6678</v>
      </c>
      <c r="W12" s="28">
        <f>$B$12*$C$12*$B$5*'Расчет бизнес кейса'!U15</f>
        <v>6678</v>
      </c>
      <c r="X12" s="28">
        <f>$B$12*$C$12*$B$5*'Расчет бизнес кейса'!V15</f>
        <v>6678</v>
      </c>
      <c r="Y12" s="28">
        <f>$B$12*$C$12*$B$5*'Расчет бизнес кейса'!W15</f>
        <v>6678</v>
      </c>
      <c r="Z12" s="28">
        <f>$B$12*$C$12*$B$5*'Расчет бизнес кейса'!X15</f>
        <v>6678</v>
      </c>
      <c r="AA12" s="28">
        <f>$B$12*$C$12*$B$5*'Расчет бизнес кейса'!Y15</f>
        <v>6678</v>
      </c>
      <c r="AB12" s="28">
        <f>$B$12*$C$12*$B$5*'Расчет бизнес кейса'!Z15</f>
        <v>6678</v>
      </c>
      <c r="AC12" s="28">
        <f>$B$12*$C$12*$B$5*'Расчет бизнес кейса'!AA15</f>
        <v>6678</v>
      </c>
      <c r="AD12" s="28">
        <f>$B$12*$C$12*$B$5*'Расчет бизнес кейса'!AB15</f>
        <v>6678</v>
      </c>
      <c r="AE12" s="28">
        <f>$B$12*$C$12*$B$5*'Расчет бизнес кейса'!AC15</f>
        <v>6678</v>
      </c>
      <c r="AF12" s="28">
        <f>$B$12*$C$12*$B$5*'Расчет бизнес кейса'!AD15</f>
        <v>6678</v>
      </c>
      <c r="AG12" s="28">
        <f>$B$12*$C$12*$B$5*'Расчет бизнес кейса'!AE15</f>
        <v>6678</v>
      </c>
      <c r="AH12" s="28">
        <f>$B$12*$C$12*$B$5*'Расчет бизнес кейса'!AF15</f>
        <v>6678</v>
      </c>
      <c r="AI12" s="28">
        <f>$B$12*$C$12*$B$5*'Расчет бизнес кейса'!AG15</f>
        <v>6678</v>
      </c>
      <c r="AJ12" s="28">
        <f>$B$12*$C$12*$B$5*'Расчет бизнес кейса'!AH15</f>
        <v>6678</v>
      </c>
      <c r="AK12" s="28">
        <f>$B$12*$C$12*$B$5*'Расчет бизнес кейса'!AI15</f>
        <v>6678</v>
      </c>
      <c r="AL12" s="28">
        <f>$B$12*$C$12*$B$5*'Расчет бизнес кейса'!AJ15</f>
        <v>6678</v>
      </c>
      <c r="AM12" s="28">
        <f>$B$12*$C$12*$B$5*'Расчет бизнес кейса'!AK15</f>
        <v>6678</v>
      </c>
      <c r="AN12" s="28">
        <f>$B$12*$C$12*$B$5*'Расчет бизнес кейса'!AL15</f>
        <v>6678</v>
      </c>
      <c r="AO12" s="28">
        <f>$B$12*$C$12*$B$5*'Расчет бизнес кейса'!AM15</f>
        <v>6678</v>
      </c>
      <c r="AP12" s="28">
        <f>$B$12*$C$12*$B$5*'Расчет бизнес кейса'!AN15</f>
        <v>6678</v>
      </c>
      <c r="AQ12" s="28">
        <f>$B$12*$C$12*$B$5*'Расчет бизнес кейса'!AO15</f>
        <v>6678</v>
      </c>
    </row>
    <row r="13" spans="1:43" x14ac:dyDescent="0.3">
      <c r="A13" t="s">
        <v>98</v>
      </c>
      <c r="B13" s="28">
        <v>212</v>
      </c>
      <c r="C13" s="1">
        <v>4</v>
      </c>
      <c r="D13" s="1"/>
      <c r="E13" s="1"/>
      <c r="F13" s="1"/>
      <c r="G13" s="59">
        <f>B13</f>
        <v>212</v>
      </c>
      <c r="H13" s="28">
        <f>$B$13*$C$13</f>
        <v>848</v>
      </c>
      <c r="I13" s="28">
        <f t="shared" ref="I13:AQ13" si="3">$B$13*$C$13</f>
        <v>848</v>
      </c>
      <c r="J13" s="28">
        <f t="shared" si="3"/>
        <v>848</v>
      </c>
      <c r="K13" s="28">
        <f t="shared" si="3"/>
        <v>848</v>
      </c>
      <c r="L13" s="28">
        <f t="shared" si="3"/>
        <v>848</v>
      </c>
      <c r="M13" s="28">
        <f t="shared" si="3"/>
        <v>848</v>
      </c>
      <c r="N13" s="28">
        <f t="shared" si="3"/>
        <v>848</v>
      </c>
      <c r="O13" s="28">
        <f t="shared" si="3"/>
        <v>848</v>
      </c>
      <c r="P13" s="28">
        <f t="shared" si="3"/>
        <v>848</v>
      </c>
      <c r="Q13" s="28">
        <f t="shared" si="3"/>
        <v>848</v>
      </c>
      <c r="R13" s="28">
        <f t="shared" si="3"/>
        <v>848</v>
      </c>
      <c r="S13" s="28">
        <f t="shared" si="3"/>
        <v>848</v>
      </c>
      <c r="T13" s="28">
        <f t="shared" si="3"/>
        <v>848</v>
      </c>
      <c r="U13" s="28">
        <f t="shared" si="3"/>
        <v>848</v>
      </c>
      <c r="V13" s="28">
        <f t="shared" si="3"/>
        <v>848</v>
      </c>
      <c r="W13" s="28">
        <f t="shared" si="3"/>
        <v>848</v>
      </c>
      <c r="X13" s="28">
        <f t="shared" si="3"/>
        <v>848</v>
      </c>
      <c r="Y13" s="28">
        <f t="shared" si="3"/>
        <v>848</v>
      </c>
      <c r="Z13" s="28">
        <f t="shared" si="3"/>
        <v>848</v>
      </c>
      <c r="AA13" s="28">
        <f t="shared" si="3"/>
        <v>848</v>
      </c>
      <c r="AB13" s="28">
        <f t="shared" si="3"/>
        <v>848</v>
      </c>
      <c r="AC13" s="28">
        <f t="shared" si="3"/>
        <v>848</v>
      </c>
      <c r="AD13" s="28">
        <f t="shared" si="3"/>
        <v>848</v>
      </c>
      <c r="AE13" s="28">
        <f t="shared" si="3"/>
        <v>848</v>
      </c>
      <c r="AF13" s="28">
        <f t="shared" si="3"/>
        <v>848</v>
      </c>
      <c r="AG13" s="28">
        <f t="shared" si="3"/>
        <v>848</v>
      </c>
      <c r="AH13" s="28">
        <f t="shared" si="3"/>
        <v>848</v>
      </c>
      <c r="AI13" s="28">
        <f t="shared" si="3"/>
        <v>848</v>
      </c>
      <c r="AJ13" s="28">
        <f t="shared" si="3"/>
        <v>848</v>
      </c>
      <c r="AK13" s="28">
        <f t="shared" si="3"/>
        <v>848</v>
      </c>
      <c r="AL13" s="28">
        <f t="shared" si="3"/>
        <v>848</v>
      </c>
      <c r="AM13" s="28">
        <f t="shared" si="3"/>
        <v>848</v>
      </c>
      <c r="AN13" s="28">
        <f t="shared" si="3"/>
        <v>848</v>
      </c>
      <c r="AO13" s="28">
        <f t="shared" si="3"/>
        <v>848</v>
      </c>
      <c r="AP13" s="28">
        <f t="shared" si="3"/>
        <v>848</v>
      </c>
      <c r="AQ13" s="28">
        <f t="shared" si="3"/>
        <v>848</v>
      </c>
    </row>
    <row r="14" spans="1:43" x14ac:dyDescent="0.3">
      <c r="A14" t="s">
        <v>99</v>
      </c>
      <c r="B14" s="28">
        <v>269</v>
      </c>
      <c r="C14" s="1">
        <v>4</v>
      </c>
      <c r="D14" s="1"/>
      <c r="E14" s="1"/>
      <c r="F14" s="1"/>
      <c r="G14" s="59">
        <f>$B$14*2</f>
        <v>538</v>
      </c>
      <c r="H14" s="59">
        <f>$B$14*2</f>
        <v>538</v>
      </c>
      <c r="I14" s="28">
        <f t="shared" ref="I14:AQ14" si="4">$B$14*$C$14</f>
        <v>1076</v>
      </c>
      <c r="J14" s="28">
        <f t="shared" si="4"/>
        <v>1076</v>
      </c>
      <c r="K14" s="28">
        <f t="shared" si="4"/>
        <v>1076</v>
      </c>
      <c r="L14" s="28">
        <f t="shared" si="4"/>
        <v>1076</v>
      </c>
      <c r="M14" s="28">
        <f t="shared" si="4"/>
        <v>1076</v>
      </c>
      <c r="N14" s="28">
        <f t="shared" si="4"/>
        <v>1076</v>
      </c>
      <c r="O14" s="28">
        <f t="shared" si="4"/>
        <v>1076</v>
      </c>
      <c r="P14" s="28">
        <f t="shared" si="4"/>
        <v>1076</v>
      </c>
      <c r="Q14" s="28">
        <f t="shared" si="4"/>
        <v>1076</v>
      </c>
      <c r="R14" s="28">
        <f t="shared" si="4"/>
        <v>1076</v>
      </c>
      <c r="S14" s="28">
        <f t="shared" si="4"/>
        <v>1076</v>
      </c>
      <c r="T14" s="28">
        <f t="shared" si="4"/>
        <v>1076</v>
      </c>
      <c r="U14" s="28">
        <f t="shared" si="4"/>
        <v>1076</v>
      </c>
      <c r="V14" s="28">
        <f t="shared" si="4"/>
        <v>1076</v>
      </c>
      <c r="W14" s="28">
        <f t="shared" si="4"/>
        <v>1076</v>
      </c>
      <c r="X14" s="28">
        <f t="shared" si="4"/>
        <v>1076</v>
      </c>
      <c r="Y14" s="28">
        <f t="shared" si="4"/>
        <v>1076</v>
      </c>
      <c r="Z14" s="28">
        <f t="shared" si="4"/>
        <v>1076</v>
      </c>
      <c r="AA14" s="28">
        <f t="shared" si="4"/>
        <v>1076</v>
      </c>
      <c r="AB14" s="28">
        <f t="shared" si="4"/>
        <v>1076</v>
      </c>
      <c r="AC14" s="28">
        <f t="shared" si="4"/>
        <v>1076</v>
      </c>
      <c r="AD14" s="28">
        <f t="shared" si="4"/>
        <v>1076</v>
      </c>
      <c r="AE14" s="28">
        <f t="shared" si="4"/>
        <v>1076</v>
      </c>
      <c r="AF14" s="28">
        <f t="shared" si="4"/>
        <v>1076</v>
      </c>
      <c r="AG14" s="28">
        <f t="shared" si="4"/>
        <v>1076</v>
      </c>
      <c r="AH14" s="28">
        <f t="shared" si="4"/>
        <v>1076</v>
      </c>
      <c r="AI14" s="28">
        <f t="shared" si="4"/>
        <v>1076</v>
      </c>
      <c r="AJ14" s="28">
        <f t="shared" si="4"/>
        <v>1076</v>
      </c>
      <c r="AK14" s="28">
        <f t="shared" si="4"/>
        <v>1076</v>
      </c>
      <c r="AL14" s="28">
        <f t="shared" si="4"/>
        <v>1076</v>
      </c>
      <c r="AM14" s="28">
        <f t="shared" si="4"/>
        <v>1076</v>
      </c>
      <c r="AN14" s="28">
        <f t="shared" si="4"/>
        <v>1076</v>
      </c>
      <c r="AO14" s="28">
        <f t="shared" si="4"/>
        <v>1076</v>
      </c>
      <c r="AP14" s="28">
        <f t="shared" si="4"/>
        <v>1076</v>
      </c>
      <c r="AQ14" s="28">
        <f t="shared" si="4"/>
        <v>1076</v>
      </c>
    </row>
    <row r="15" spans="1:43" x14ac:dyDescent="0.3">
      <c r="A15" t="s">
        <v>100</v>
      </c>
      <c r="B15" s="28">
        <v>269</v>
      </c>
      <c r="C15" s="1">
        <v>1</v>
      </c>
      <c r="D15" s="1"/>
      <c r="E15" s="1"/>
      <c r="F15" s="1"/>
      <c r="G15" s="59">
        <f>B15</f>
        <v>269</v>
      </c>
      <c r="H15" s="28">
        <f>$B$15*$C$15</f>
        <v>269</v>
      </c>
      <c r="I15" s="28">
        <f t="shared" ref="I15:AQ15" si="5">$B$15*$C$15</f>
        <v>269</v>
      </c>
      <c r="J15" s="28">
        <f t="shared" si="5"/>
        <v>269</v>
      </c>
      <c r="K15" s="28">
        <f t="shared" si="5"/>
        <v>269</v>
      </c>
      <c r="L15" s="28">
        <f t="shared" si="5"/>
        <v>269</v>
      </c>
      <c r="M15" s="28">
        <f t="shared" si="5"/>
        <v>269</v>
      </c>
      <c r="N15" s="28">
        <f t="shared" si="5"/>
        <v>269</v>
      </c>
      <c r="O15" s="28">
        <f t="shared" si="5"/>
        <v>269</v>
      </c>
      <c r="P15" s="28">
        <f t="shared" si="5"/>
        <v>269</v>
      </c>
      <c r="Q15" s="28">
        <f t="shared" si="5"/>
        <v>269</v>
      </c>
      <c r="R15" s="28">
        <f t="shared" si="5"/>
        <v>269</v>
      </c>
      <c r="S15" s="28">
        <f t="shared" si="5"/>
        <v>269</v>
      </c>
      <c r="T15" s="28">
        <f t="shared" si="5"/>
        <v>269</v>
      </c>
      <c r="U15" s="28">
        <f t="shared" si="5"/>
        <v>269</v>
      </c>
      <c r="V15" s="28">
        <f t="shared" si="5"/>
        <v>269</v>
      </c>
      <c r="W15" s="28">
        <f t="shared" si="5"/>
        <v>269</v>
      </c>
      <c r="X15" s="28">
        <f t="shared" si="5"/>
        <v>269</v>
      </c>
      <c r="Y15" s="28">
        <f t="shared" si="5"/>
        <v>269</v>
      </c>
      <c r="Z15" s="28">
        <f t="shared" si="5"/>
        <v>269</v>
      </c>
      <c r="AA15" s="28">
        <f t="shared" si="5"/>
        <v>269</v>
      </c>
      <c r="AB15" s="28">
        <f t="shared" si="5"/>
        <v>269</v>
      </c>
      <c r="AC15" s="28">
        <f t="shared" si="5"/>
        <v>269</v>
      </c>
      <c r="AD15" s="28">
        <f t="shared" si="5"/>
        <v>269</v>
      </c>
      <c r="AE15" s="28">
        <f t="shared" si="5"/>
        <v>269</v>
      </c>
      <c r="AF15" s="28">
        <f t="shared" si="5"/>
        <v>269</v>
      </c>
      <c r="AG15" s="28">
        <f t="shared" si="5"/>
        <v>269</v>
      </c>
      <c r="AH15" s="28">
        <f t="shared" si="5"/>
        <v>269</v>
      </c>
      <c r="AI15" s="28">
        <f t="shared" si="5"/>
        <v>269</v>
      </c>
      <c r="AJ15" s="28">
        <f t="shared" si="5"/>
        <v>269</v>
      </c>
      <c r="AK15" s="28">
        <f t="shared" si="5"/>
        <v>269</v>
      </c>
      <c r="AL15" s="28">
        <f t="shared" si="5"/>
        <v>269</v>
      </c>
      <c r="AM15" s="28">
        <f t="shared" si="5"/>
        <v>269</v>
      </c>
      <c r="AN15" s="28">
        <f t="shared" si="5"/>
        <v>269</v>
      </c>
      <c r="AO15" s="28">
        <f t="shared" si="5"/>
        <v>269</v>
      </c>
      <c r="AP15" s="28">
        <f t="shared" si="5"/>
        <v>269</v>
      </c>
      <c r="AQ15" s="28">
        <f t="shared" si="5"/>
        <v>269</v>
      </c>
    </row>
    <row r="16" spans="1:43" x14ac:dyDescent="0.3">
      <c r="A16" t="s">
        <v>115</v>
      </c>
      <c r="B16" s="28">
        <v>269</v>
      </c>
      <c r="C16" s="1">
        <v>3</v>
      </c>
      <c r="D16" s="1"/>
      <c r="E16" s="1"/>
      <c r="F16" s="59">
        <f>$B$16</f>
        <v>269</v>
      </c>
      <c r="G16" s="59">
        <f>$B$16</f>
        <v>269</v>
      </c>
      <c r="H16" s="59">
        <f t="shared" ref="H16:I16" si="6">$B$16</f>
        <v>269</v>
      </c>
      <c r="I16" s="59">
        <f t="shared" si="6"/>
        <v>269</v>
      </c>
      <c r="J16" s="28">
        <f>$B$16*2</f>
        <v>538</v>
      </c>
      <c r="K16" s="28">
        <f>$B$16*2</f>
        <v>538</v>
      </c>
      <c r="L16" s="28">
        <f t="shared" ref="L16:AQ16" si="7">$B$16*$C$16</f>
        <v>807</v>
      </c>
      <c r="M16" s="28">
        <f t="shared" si="7"/>
        <v>807</v>
      </c>
      <c r="N16" s="28">
        <f t="shared" si="7"/>
        <v>807</v>
      </c>
      <c r="O16" s="28">
        <f t="shared" si="7"/>
        <v>807</v>
      </c>
      <c r="P16" s="28">
        <f t="shared" si="7"/>
        <v>807</v>
      </c>
      <c r="Q16" s="28">
        <f t="shared" si="7"/>
        <v>807</v>
      </c>
      <c r="R16" s="28">
        <f t="shared" si="7"/>
        <v>807</v>
      </c>
      <c r="S16" s="28">
        <f t="shared" si="7"/>
        <v>807</v>
      </c>
      <c r="T16" s="28">
        <f t="shared" si="7"/>
        <v>807</v>
      </c>
      <c r="U16" s="28">
        <f t="shared" si="7"/>
        <v>807</v>
      </c>
      <c r="V16" s="28">
        <f t="shared" si="7"/>
        <v>807</v>
      </c>
      <c r="W16" s="28">
        <f t="shared" si="7"/>
        <v>807</v>
      </c>
      <c r="X16" s="28">
        <f t="shared" si="7"/>
        <v>807</v>
      </c>
      <c r="Y16" s="28">
        <f t="shared" si="7"/>
        <v>807</v>
      </c>
      <c r="Z16" s="28">
        <f t="shared" si="7"/>
        <v>807</v>
      </c>
      <c r="AA16" s="28">
        <f t="shared" si="7"/>
        <v>807</v>
      </c>
      <c r="AB16" s="28">
        <f t="shared" si="7"/>
        <v>807</v>
      </c>
      <c r="AC16" s="28">
        <f t="shared" si="7"/>
        <v>807</v>
      </c>
      <c r="AD16" s="28">
        <f t="shared" si="7"/>
        <v>807</v>
      </c>
      <c r="AE16" s="28">
        <f t="shared" si="7"/>
        <v>807</v>
      </c>
      <c r="AF16" s="28">
        <f t="shared" si="7"/>
        <v>807</v>
      </c>
      <c r="AG16" s="28">
        <f t="shared" si="7"/>
        <v>807</v>
      </c>
      <c r="AH16" s="28">
        <f t="shared" si="7"/>
        <v>807</v>
      </c>
      <c r="AI16" s="28">
        <f t="shared" si="7"/>
        <v>807</v>
      </c>
      <c r="AJ16" s="28">
        <f t="shared" si="7"/>
        <v>807</v>
      </c>
      <c r="AK16" s="28">
        <f t="shared" si="7"/>
        <v>807</v>
      </c>
      <c r="AL16" s="28">
        <f t="shared" si="7"/>
        <v>807</v>
      </c>
      <c r="AM16" s="28">
        <f t="shared" si="7"/>
        <v>807</v>
      </c>
      <c r="AN16" s="28">
        <f t="shared" si="7"/>
        <v>807</v>
      </c>
      <c r="AO16" s="28">
        <f t="shared" si="7"/>
        <v>807</v>
      </c>
      <c r="AP16" s="28">
        <f t="shared" si="7"/>
        <v>807</v>
      </c>
      <c r="AQ16" s="28">
        <f t="shared" si="7"/>
        <v>807</v>
      </c>
    </row>
    <row r="17" spans="1:43" x14ac:dyDescent="0.3">
      <c r="A17" t="s">
        <v>54</v>
      </c>
      <c r="B17" s="43">
        <v>0.22</v>
      </c>
      <c r="C17" s="1"/>
      <c r="D17" s="28">
        <f>SUM(D9:D16)*$B$17</f>
        <v>76.12</v>
      </c>
      <c r="E17" s="28">
        <f>SUM(E9:E16)*$B$17</f>
        <v>76.12</v>
      </c>
      <c r="F17" s="60">
        <f>SUM(F9:F16)*$B$17</f>
        <v>181.94</v>
      </c>
      <c r="G17" s="28">
        <f>SUM(G9:G16)*$B$17</f>
        <v>450.12</v>
      </c>
      <c r="H17" s="28">
        <f>SUM(H9:H16)*$B$17</f>
        <v>1490.5</v>
      </c>
      <c r="I17" s="28">
        <f t="shared" ref="I17:Y17" si="8">SUM(I9:I16)*$B$17</f>
        <v>1608.86</v>
      </c>
      <c r="J17" s="28">
        <f t="shared" si="8"/>
        <v>2367.64</v>
      </c>
      <c r="K17" s="28">
        <f t="shared" si="8"/>
        <v>2775.52</v>
      </c>
      <c r="L17" s="28">
        <f t="shared" si="8"/>
        <v>3242.58</v>
      </c>
      <c r="M17" s="28">
        <f t="shared" si="8"/>
        <v>3242.58</v>
      </c>
      <c r="N17" s="28">
        <f t="shared" si="8"/>
        <v>3650.46</v>
      </c>
      <c r="O17" s="28">
        <f t="shared" si="8"/>
        <v>3650.46</v>
      </c>
      <c r="P17" s="28">
        <f t="shared" si="8"/>
        <v>3650.46</v>
      </c>
      <c r="Q17" s="28">
        <f t="shared" si="8"/>
        <v>3650.46</v>
      </c>
      <c r="R17" s="28">
        <f t="shared" si="8"/>
        <v>3650.46</v>
      </c>
      <c r="S17" s="28">
        <f t="shared" si="8"/>
        <v>3650.46</v>
      </c>
      <c r="T17" s="28">
        <f t="shared" si="8"/>
        <v>3650.46</v>
      </c>
      <c r="U17" s="28">
        <f t="shared" si="8"/>
        <v>3650.46</v>
      </c>
      <c r="V17" s="28">
        <f t="shared" si="8"/>
        <v>3650.46</v>
      </c>
      <c r="W17" s="28">
        <f t="shared" si="8"/>
        <v>3650.46</v>
      </c>
      <c r="X17" s="28">
        <f t="shared" si="8"/>
        <v>3650.46</v>
      </c>
      <c r="Y17" s="28">
        <f t="shared" si="8"/>
        <v>3650.46</v>
      </c>
      <c r="Z17" s="28">
        <f t="shared" ref="Z17:AQ17" si="9">SUM(Z9:Z16)*$B$17</f>
        <v>3650.46</v>
      </c>
      <c r="AA17" s="28">
        <f t="shared" si="9"/>
        <v>3650.46</v>
      </c>
      <c r="AB17" s="28">
        <f t="shared" si="9"/>
        <v>3650.46</v>
      </c>
      <c r="AC17" s="28">
        <f t="shared" si="9"/>
        <v>3650.46</v>
      </c>
      <c r="AD17" s="28">
        <f t="shared" si="9"/>
        <v>3650.46</v>
      </c>
      <c r="AE17" s="28">
        <f t="shared" si="9"/>
        <v>3650.46</v>
      </c>
      <c r="AF17" s="28">
        <f t="shared" si="9"/>
        <v>3650.46</v>
      </c>
      <c r="AG17" s="28">
        <f t="shared" si="9"/>
        <v>3650.46</v>
      </c>
      <c r="AH17" s="28">
        <f t="shared" si="9"/>
        <v>3650.46</v>
      </c>
      <c r="AI17" s="28">
        <f t="shared" si="9"/>
        <v>3650.46</v>
      </c>
      <c r="AJ17" s="28">
        <f t="shared" si="9"/>
        <v>3650.46</v>
      </c>
      <c r="AK17" s="28">
        <f t="shared" si="9"/>
        <v>3650.46</v>
      </c>
      <c r="AL17" s="28">
        <f t="shared" si="9"/>
        <v>3650.46</v>
      </c>
      <c r="AM17" s="28">
        <f t="shared" si="9"/>
        <v>3650.46</v>
      </c>
      <c r="AN17" s="28">
        <f t="shared" si="9"/>
        <v>3650.46</v>
      </c>
      <c r="AO17" s="28">
        <f t="shared" si="9"/>
        <v>3650.46</v>
      </c>
      <c r="AP17" s="28">
        <f t="shared" si="9"/>
        <v>3650.46</v>
      </c>
      <c r="AQ17" s="28">
        <f t="shared" si="9"/>
        <v>3650.46</v>
      </c>
    </row>
    <row r="18" spans="1:43" x14ac:dyDescent="0.3">
      <c r="A18" s="38" t="s">
        <v>55</v>
      </c>
      <c r="B18" s="35"/>
      <c r="C18" s="42"/>
      <c r="D18" s="39">
        <f>SUM(D9:D17)</f>
        <v>422.12</v>
      </c>
      <c r="E18" s="39">
        <f t="shared" ref="E18:G18" si="10">SUM(E9:E17)</f>
        <v>422.12</v>
      </c>
      <c r="F18" s="39">
        <f t="shared" si="10"/>
        <v>1008.94</v>
      </c>
      <c r="G18" s="39">
        <f t="shared" si="10"/>
        <v>2496.12</v>
      </c>
      <c r="H18" s="39">
        <f>SUM(H9:H17)</f>
        <v>8265.5</v>
      </c>
      <c r="I18" s="39">
        <f t="shared" ref="I18:Y18" si="11">SUM(I9:I17)</f>
        <v>8921.86</v>
      </c>
      <c r="J18" s="39">
        <f t="shared" si="11"/>
        <v>13129.64</v>
      </c>
      <c r="K18" s="39">
        <f t="shared" si="11"/>
        <v>15391.52</v>
      </c>
      <c r="L18" s="39">
        <f t="shared" si="11"/>
        <v>17981.580000000002</v>
      </c>
      <c r="M18" s="39">
        <f t="shared" si="11"/>
        <v>17981.580000000002</v>
      </c>
      <c r="N18" s="39">
        <f t="shared" si="11"/>
        <v>20243.46</v>
      </c>
      <c r="O18" s="39">
        <f t="shared" si="11"/>
        <v>20243.46</v>
      </c>
      <c r="P18" s="39">
        <f t="shared" si="11"/>
        <v>20243.46</v>
      </c>
      <c r="Q18" s="39">
        <f t="shared" si="11"/>
        <v>20243.46</v>
      </c>
      <c r="R18" s="39">
        <f t="shared" si="11"/>
        <v>20243.46</v>
      </c>
      <c r="S18" s="39">
        <f t="shared" si="11"/>
        <v>20243.46</v>
      </c>
      <c r="T18" s="39">
        <f t="shared" si="11"/>
        <v>20243.46</v>
      </c>
      <c r="U18" s="39">
        <f t="shared" si="11"/>
        <v>20243.46</v>
      </c>
      <c r="V18" s="39">
        <f t="shared" si="11"/>
        <v>20243.46</v>
      </c>
      <c r="W18" s="39">
        <f t="shared" si="11"/>
        <v>20243.46</v>
      </c>
      <c r="X18" s="39">
        <f t="shared" si="11"/>
        <v>20243.46</v>
      </c>
      <c r="Y18" s="39">
        <f t="shared" si="11"/>
        <v>20243.46</v>
      </c>
      <c r="Z18" s="39">
        <f t="shared" ref="Z18:AQ18" si="12">SUM(Z9:Z17)</f>
        <v>20243.46</v>
      </c>
      <c r="AA18" s="39">
        <f t="shared" si="12"/>
        <v>20243.46</v>
      </c>
      <c r="AB18" s="39">
        <f t="shared" si="12"/>
        <v>20243.46</v>
      </c>
      <c r="AC18" s="39">
        <f t="shared" si="12"/>
        <v>20243.46</v>
      </c>
      <c r="AD18" s="39">
        <f t="shared" si="12"/>
        <v>20243.46</v>
      </c>
      <c r="AE18" s="39">
        <f t="shared" si="12"/>
        <v>20243.46</v>
      </c>
      <c r="AF18" s="39">
        <f t="shared" si="12"/>
        <v>20243.46</v>
      </c>
      <c r="AG18" s="39">
        <f t="shared" si="12"/>
        <v>20243.46</v>
      </c>
      <c r="AH18" s="39">
        <f t="shared" si="12"/>
        <v>20243.46</v>
      </c>
      <c r="AI18" s="39">
        <f t="shared" si="12"/>
        <v>20243.46</v>
      </c>
      <c r="AJ18" s="39">
        <f t="shared" si="12"/>
        <v>20243.46</v>
      </c>
      <c r="AK18" s="39">
        <f t="shared" si="12"/>
        <v>20243.46</v>
      </c>
      <c r="AL18" s="39">
        <f t="shared" si="12"/>
        <v>20243.46</v>
      </c>
      <c r="AM18" s="39">
        <f t="shared" si="12"/>
        <v>20243.46</v>
      </c>
      <c r="AN18" s="39">
        <f t="shared" si="12"/>
        <v>20243.46</v>
      </c>
      <c r="AO18" s="39">
        <f t="shared" si="12"/>
        <v>20243.46</v>
      </c>
      <c r="AP18" s="39">
        <f t="shared" si="12"/>
        <v>20243.46</v>
      </c>
      <c r="AQ18" s="39">
        <f t="shared" si="12"/>
        <v>20243.46</v>
      </c>
    </row>
    <row r="19" spans="1:43" x14ac:dyDescent="0.3">
      <c r="A19" s="50" t="s">
        <v>116</v>
      </c>
      <c r="B19" s="28">
        <v>1000</v>
      </c>
      <c r="C19" s="1">
        <v>1</v>
      </c>
      <c r="D19" s="28">
        <f>$B$19*$C$19</f>
        <v>1000</v>
      </c>
      <c r="E19" s="28">
        <f t="shared" ref="E19:G19" si="13">$B$19*$C$19</f>
        <v>1000</v>
      </c>
      <c r="F19" s="28">
        <f t="shared" si="13"/>
        <v>1000</v>
      </c>
      <c r="G19" s="28">
        <f t="shared" si="13"/>
        <v>1000</v>
      </c>
      <c r="H19" s="28">
        <f>$B$19*$C$19</f>
        <v>1000</v>
      </c>
      <c r="I19" s="28">
        <f t="shared" ref="I19:AQ19" si="14">$B$19*$C$19</f>
        <v>1000</v>
      </c>
      <c r="J19" s="28">
        <f t="shared" si="14"/>
        <v>1000</v>
      </c>
      <c r="K19" s="28">
        <f t="shared" si="14"/>
        <v>1000</v>
      </c>
      <c r="L19" s="28">
        <f t="shared" si="14"/>
        <v>1000</v>
      </c>
      <c r="M19" s="28">
        <f t="shared" si="14"/>
        <v>1000</v>
      </c>
      <c r="N19" s="28">
        <f t="shared" si="14"/>
        <v>1000</v>
      </c>
      <c r="O19" s="28">
        <f t="shared" si="14"/>
        <v>1000</v>
      </c>
      <c r="P19" s="28">
        <f t="shared" si="14"/>
        <v>1000</v>
      </c>
      <c r="Q19" s="28">
        <f t="shared" si="14"/>
        <v>1000</v>
      </c>
      <c r="R19" s="28">
        <f t="shared" si="14"/>
        <v>1000</v>
      </c>
      <c r="S19" s="28">
        <f t="shared" si="14"/>
        <v>1000</v>
      </c>
      <c r="T19" s="28">
        <f t="shared" si="14"/>
        <v>1000</v>
      </c>
      <c r="U19" s="28">
        <f t="shared" si="14"/>
        <v>1000</v>
      </c>
      <c r="V19" s="28">
        <f t="shared" si="14"/>
        <v>1000</v>
      </c>
      <c r="W19" s="28">
        <f t="shared" si="14"/>
        <v>1000</v>
      </c>
      <c r="X19" s="28">
        <f t="shared" si="14"/>
        <v>1000</v>
      </c>
      <c r="Y19" s="28">
        <f t="shared" si="14"/>
        <v>1000</v>
      </c>
      <c r="Z19" s="28">
        <f t="shared" si="14"/>
        <v>1000</v>
      </c>
      <c r="AA19" s="28">
        <f t="shared" si="14"/>
        <v>1000</v>
      </c>
      <c r="AB19" s="28">
        <f t="shared" si="14"/>
        <v>1000</v>
      </c>
      <c r="AC19" s="28">
        <f t="shared" si="14"/>
        <v>1000</v>
      </c>
      <c r="AD19" s="28">
        <f t="shared" si="14"/>
        <v>1000</v>
      </c>
      <c r="AE19" s="28">
        <f t="shared" si="14"/>
        <v>1000</v>
      </c>
      <c r="AF19" s="28">
        <f t="shared" si="14"/>
        <v>1000</v>
      </c>
      <c r="AG19" s="28">
        <f t="shared" si="14"/>
        <v>1000</v>
      </c>
      <c r="AH19" s="28">
        <f t="shared" si="14"/>
        <v>1000</v>
      </c>
      <c r="AI19" s="28">
        <f t="shared" si="14"/>
        <v>1000</v>
      </c>
      <c r="AJ19" s="28">
        <f t="shared" si="14"/>
        <v>1000</v>
      </c>
      <c r="AK19" s="28">
        <f t="shared" si="14"/>
        <v>1000</v>
      </c>
      <c r="AL19" s="28">
        <f t="shared" si="14"/>
        <v>1000</v>
      </c>
      <c r="AM19" s="28">
        <f t="shared" si="14"/>
        <v>1000</v>
      </c>
      <c r="AN19" s="28">
        <f t="shared" si="14"/>
        <v>1000</v>
      </c>
      <c r="AO19" s="28">
        <f t="shared" si="14"/>
        <v>1000</v>
      </c>
      <c r="AP19" s="28">
        <f t="shared" si="14"/>
        <v>1000</v>
      </c>
      <c r="AQ19" s="28">
        <f t="shared" si="14"/>
        <v>1000</v>
      </c>
    </row>
    <row r="20" spans="1:43" x14ac:dyDescent="0.3">
      <c r="A20" s="50" t="s">
        <v>62</v>
      </c>
      <c r="B20" s="28">
        <v>577</v>
      </c>
      <c r="C20" s="1">
        <v>1</v>
      </c>
      <c r="D20" s="1"/>
      <c r="E20" s="1"/>
      <c r="F20" s="1"/>
      <c r="G20" s="1"/>
      <c r="H20" s="28">
        <f>$B$20*$C$20</f>
        <v>577</v>
      </c>
      <c r="I20" s="28">
        <f t="shared" ref="I20:AQ20" si="15">$B$20*$C$20</f>
        <v>577</v>
      </c>
      <c r="J20" s="28">
        <f t="shared" si="15"/>
        <v>577</v>
      </c>
      <c r="K20" s="28">
        <f t="shared" si="15"/>
        <v>577</v>
      </c>
      <c r="L20" s="28">
        <f t="shared" si="15"/>
        <v>577</v>
      </c>
      <c r="M20" s="28">
        <f t="shared" si="15"/>
        <v>577</v>
      </c>
      <c r="N20" s="28">
        <f t="shared" si="15"/>
        <v>577</v>
      </c>
      <c r="O20" s="28">
        <f t="shared" si="15"/>
        <v>577</v>
      </c>
      <c r="P20" s="28">
        <f t="shared" si="15"/>
        <v>577</v>
      </c>
      <c r="Q20" s="28">
        <f t="shared" si="15"/>
        <v>577</v>
      </c>
      <c r="R20" s="28">
        <f t="shared" si="15"/>
        <v>577</v>
      </c>
      <c r="S20" s="28">
        <f t="shared" si="15"/>
        <v>577</v>
      </c>
      <c r="T20" s="28">
        <f t="shared" si="15"/>
        <v>577</v>
      </c>
      <c r="U20" s="28">
        <f t="shared" si="15"/>
        <v>577</v>
      </c>
      <c r="V20" s="28">
        <f t="shared" si="15"/>
        <v>577</v>
      </c>
      <c r="W20" s="28">
        <f t="shared" si="15"/>
        <v>577</v>
      </c>
      <c r="X20" s="28">
        <f t="shared" si="15"/>
        <v>577</v>
      </c>
      <c r="Y20" s="28">
        <f t="shared" si="15"/>
        <v>577</v>
      </c>
      <c r="Z20" s="28">
        <f t="shared" si="15"/>
        <v>577</v>
      </c>
      <c r="AA20" s="28">
        <f t="shared" si="15"/>
        <v>577</v>
      </c>
      <c r="AB20" s="28">
        <f t="shared" si="15"/>
        <v>577</v>
      </c>
      <c r="AC20" s="28">
        <f t="shared" si="15"/>
        <v>577</v>
      </c>
      <c r="AD20" s="28">
        <f t="shared" si="15"/>
        <v>577</v>
      </c>
      <c r="AE20" s="28">
        <f t="shared" si="15"/>
        <v>577</v>
      </c>
      <c r="AF20" s="28">
        <f t="shared" si="15"/>
        <v>577</v>
      </c>
      <c r="AG20" s="28">
        <f t="shared" si="15"/>
        <v>577</v>
      </c>
      <c r="AH20" s="28">
        <f t="shared" si="15"/>
        <v>577</v>
      </c>
      <c r="AI20" s="28">
        <f t="shared" si="15"/>
        <v>577</v>
      </c>
      <c r="AJ20" s="28">
        <f t="shared" si="15"/>
        <v>577</v>
      </c>
      <c r="AK20" s="28">
        <f t="shared" si="15"/>
        <v>577</v>
      </c>
      <c r="AL20" s="28">
        <f t="shared" si="15"/>
        <v>577</v>
      </c>
      <c r="AM20" s="28">
        <f t="shared" si="15"/>
        <v>577</v>
      </c>
      <c r="AN20" s="28">
        <f t="shared" si="15"/>
        <v>577</v>
      </c>
      <c r="AO20" s="28">
        <f t="shared" si="15"/>
        <v>577</v>
      </c>
      <c r="AP20" s="28">
        <f t="shared" si="15"/>
        <v>577</v>
      </c>
      <c r="AQ20" s="28">
        <f t="shared" si="15"/>
        <v>577</v>
      </c>
    </row>
    <row r="21" spans="1:43" x14ac:dyDescent="0.3">
      <c r="A21" s="50" t="s">
        <v>117</v>
      </c>
      <c r="B21" s="28">
        <v>500</v>
      </c>
      <c r="C21" s="1">
        <v>1</v>
      </c>
      <c r="D21" s="28">
        <f>$B$21*$C$21</f>
        <v>500</v>
      </c>
      <c r="E21" s="28">
        <f t="shared" ref="E21:G21" si="16">$B$21*$C$21</f>
        <v>500</v>
      </c>
      <c r="F21" s="28">
        <f t="shared" si="16"/>
        <v>500</v>
      </c>
      <c r="G21" s="28">
        <f t="shared" si="16"/>
        <v>500</v>
      </c>
      <c r="H21" s="28">
        <f>$B$21*$C$21</f>
        <v>500</v>
      </c>
      <c r="I21" s="28">
        <f t="shared" ref="I21:AQ21" si="17">$B$21*$C$21</f>
        <v>500</v>
      </c>
      <c r="J21" s="28">
        <f t="shared" si="17"/>
        <v>500</v>
      </c>
      <c r="K21" s="28">
        <f t="shared" si="17"/>
        <v>500</v>
      </c>
      <c r="L21" s="28">
        <f t="shared" si="17"/>
        <v>500</v>
      </c>
      <c r="M21" s="28">
        <f t="shared" si="17"/>
        <v>500</v>
      </c>
      <c r="N21" s="28">
        <f t="shared" si="17"/>
        <v>500</v>
      </c>
      <c r="O21" s="28">
        <f t="shared" si="17"/>
        <v>500</v>
      </c>
      <c r="P21" s="28">
        <f t="shared" si="17"/>
        <v>500</v>
      </c>
      <c r="Q21" s="28">
        <f t="shared" si="17"/>
        <v>500</v>
      </c>
      <c r="R21" s="28">
        <f t="shared" si="17"/>
        <v>500</v>
      </c>
      <c r="S21" s="28">
        <f t="shared" si="17"/>
        <v>500</v>
      </c>
      <c r="T21" s="28">
        <f t="shared" si="17"/>
        <v>500</v>
      </c>
      <c r="U21" s="28">
        <f t="shared" si="17"/>
        <v>500</v>
      </c>
      <c r="V21" s="28">
        <f t="shared" si="17"/>
        <v>500</v>
      </c>
      <c r="W21" s="28">
        <f t="shared" si="17"/>
        <v>500</v>
      </c>
      <c r="X21" s="28">
        <f t="shared" si="17"/>
        <v>500</v>
      </c>
      <c r="Y21" s="28">
        <f t="shared" si="17"/>
        <v>500</v>
      </c>
      <c r="Z21" s="28">
        <f t="shared" si="17"/>
        <v>500</v>
      </c>
      <c r="AA21" s="28">
        <f t="shared" si="17"/>
        <v>500</v>
      </c>
      <c r="AB21" s="28">
        <f t="shared" si="17"/>
        <v>500</v>
      </c>
      <c r="AC21" s="28">
        <f t="shared" si="17"/>
        <v>500</v>
      </c>
      <c r="AD21" s="28">
        <f t="shared" si="17"/>
        <v>500</v>
      </c>
      <c r="AE21" s="28">
        <f t="shared" si="17"/>
        <v>500</v>
      </c>
      <c r="AF21" s="28">
        <f t="shared" si="17"/>
        <v>500</v>
      </c>
      <c r="AG21" s="28">
        <f t="shared" si="17"/>
        <v>500</v>
      </c>
      <c r="AH21" s="28">
        <f t="shared" si="17"/>
        <v>500</v>
      </c>
      <c r="AI21" s="28">
        <f t="shared" si="17"/>
        <v>500</v>
      </c>
      <c r="AJ21" s="28">
        <f t="shared" si="17"/>
        <v>500</v>
      </c>
      <c r="AK21" s="28">
        <f t="shared" si="17"/>
        <v>500</v>
      </c>
      <c r="AL21" s="28">
        <f t="shared" si="17"/>
        <v>500</v>
      </c>
      <c r="AM21" s="28">
        <f t="shared" si="17"/>
        <v>500</v>
      </c>
      <c r="AN21" s="28">
        <f t="shared" si="17"/>
        <v>500</v>
      </c>
      <c r="AO21" s="28">
        <f t="shared" si="17"/>
        <v>500</v>
      </c>
      <c r="AP21" s="28">
        <f t="shared" si="17"/>
        <v>500</v>
      </c>
      <c r="AQ21" s="28">
        <f t="shared" si="17"/>
        <v>500</v>
      </c>
    </row>
    <row r="22" spans="1:43" x14ac:dyDescent="0.3">
      <c r="A22" s="50" t="s">
        <v>63</v>
      </c>
      <c r="B22" s="28">
        <v>346</v>
      </c>
      <c r="C22" s="1">
        <v>1</v>
      </c>
      <c r="D22" s="1"/>
      <c r="E22" s="1"/>
      <c r="F22" s="1"/>
      <c r="G22" s="1"/>
      <c r="H22" s="28">
        <f>$B$22*$C$22</f>
        <v>346</v>
      </c>
      <c r="I22" s="28">
        <f t="shared" ref="I22:AQ22" si="18">$B$22*$C$22</f>
        <v>346</v>
      </c>
      <c r="J22" s="28">
        <f t="shared" si="18"/>
        <v>346</v>
      </c>
      <c r="K22" s="28">
        <f t="shared" si="18"/>
        <v>346</v>
      </c>
      <c r="L22" s="28">
        <f t="shared" si="18"/>
        <v>346</v>
      </c>
      <c r="M22" s="28">
        <f t="shared" si="18"/>
        <v>346</v>
      </c>
      <c r="N22" s="28">
        <f t="shared" si="18"/>
        <v>346</v>
      </c>
      <c r="O22" s="28">
        <f t="shared" si="18"/>
        <v>346</v>
      </c>
      <c r="P22" s="28">
        <f t="shared" si="18"/>
        <v>346</v>
      </c>
      <c r="Q22" s="28">
        <f t="shared" si="18"/>
        <v>346</v>
      </c>
      <c r="R22" s="28">
        <f t="shared" si="18"/>
        <v>346</v>
      </c>
      <c r="S22" s="28">
        <f t="shared" si="18"/>
        <v>346</v>
      </c>
      <c r="T22" s="28">
        <f t="shared" si="18"/>
        <v>346</v>
      </c>
      <c r="U22" s="28">
        <f t="shared" si="18"/>
        <v>346</v>
      </c>
      <c r="V22" s="28">
        <f t="shared" si="18"/>
        <v>346</v>
      </c>
      <c r="W22" s="28">
        <f t="shared" si="18"/>
        <v>346</v>
      </c>
      <c r="X22" s="28">
        <f t="shared" si="18"/>
        <v>346</v>
      </c>
      <c r="Y22" s="28">
        <f t="shared" si="18"/>
        <v>346</v>
      </c>
      <c r="Z22" s="28">
        <f t="shared" si="18"/>
        <v>346</v>
      </c>
      <c r="AA22" s="28">
        <f t="shared" si="18"/>
        <v>346</v>
      </c>
      <c r="AB22" s="28">
        <f t="shared" si="18"/>
        <v>346</v>
      </c>
      <c r="AC22" s="28">
        <f t="shared" si="18"/>
        <v>346</v>
      </c>
      <c r="AD22" s="28">
        <f t="shared" si="18"/>
        <v>346</v>
      </c>
      <c r="AE22" s="28">
        <f t="shared" si="18"/>
        <v>346</v>
      </c>
      <c r="AF22" s="28">
        <f t="shared" si="18"/>
        <v>346</v>
      </c>
      <c r="AG22" s="28">
        <f t="shared" si="18"/>
        <v>346</v>
      </c>
      <c r="AH22" s="28">
        <f t="shared" si="18"/>
        <v>346</v>
      </c>
      <c r="AI22" s="28">
        <f t="shared" si="18"/>
        <v>346</v>
      </c>
      <c r="AJ22" s="28">
        <f t="shared" si="18"/>
        <v>346</v>
      </c>
      <c r="AK22" s="28">
        <f t="shared" si="18"/>
        <v>346</v>
      </c>
      <c r="AL22" s="28">
        <f t="shared" si="18"/>
        <v>346</v>
      </c>
      <c r="AM22" s="28">
        <f t="shared" si="18"/>
        <v>346</v>
      </c>
      <c r="AN22" s="28">
        <f t="shared" si="18"/>
        <v>346</v>
      </c>
      <c r="AO22" s="28">
        <f t="shared" si="18"/>
        <v>346</v>
      </c>
      <c r="AP22" s="28">
        <f t="shared" si="18"/>
        <v>346</v>
      </c>
      <c r="AQ22" s="28">
        <f t="shared" si="18"/>
        <v>346</v>
      </c>
    </row>
    <row r="23" spans="1:43" x14ac:dyDescent="0.3">
      <c r="A23" s="50" t="s">
        <v>64</v>
      </c>
      <c r="B23" s="28">
        <v>308</v>
      </c>
      <c r="C23" s="1">
        <v>1</v>
      </c>
      <c r="D23" s="1"/>
      <c r="E23" s="1"/>
      <c r="F23" s="1"/>
      <c r="G23" s="1"/>
      <c r="H23" s="28">
        <f>$B$23*$C$23</f>
        <v>308</v>
      </c>
      <c r="I23" s="28">
        <f t="shared" ref="I23:AQ23" si="19">$B$23*$C$23</f>
        <v>308</v>
      </c>
      <c r="J23" s="28">
        <f t="shared" si="19"/>
        <v>308</v>
      </c>
      <c r="K23" s="28">
        <f t="shared" si="19"/>
        <v>308</v>
      </c>
      <c r="L23" s="28">
        <f t="shared" si="19"/>
        <v>308</v>
      </c>
      <c r="M23" s="28">
        <f t="shared" si="19"/>
        <v>308</v>
      </c>
      <c r="N23" s="28">
        <f t="shared" si="19"/>
        <v>308</v>
      </c>
      <c r="O23" s="28">
        <f t="shared" si="19"/>
        <v>308</v>
      </c>
      <c r="P23" s="28">
        <f t="shared" si="19"/>
        <v>308</v>
      </c>
      <c r="Q23" s="28">
        <f t="shared" si="19"/>
        <v>308</v>
      </c>
      <c r="R23" s="28">
        <f t="shared" si="19"/>
        <v>308</v>
      </c>
      <c r="S23" s="28">
        <f t="shared" si="19"/>
        <v>308</v>
      </c>
      <c r="T23" s="28">
        <f t="shared" si="19"/>
        <v>308</v>
      </c>
      <c r="U23" s="28">
        <f t="shared" si="19"/>
        <v>308</v>
      </c>
      <c r="V23" s="28">
        <f t="shared" si="19"/>
        <v>308</v>
      </c>
      <c r="W23" s="28">
        <f t="shared" si="19"/>
        <v>308</v>
      </c>
      <c r="X23" s="28">
        <f t="shared" si="19"/>
        <v>308</v>
      </c>
      <c r="Y23" s="28">
        <f t="shared" si="19"/>
        <v>308</v>
      </c>
      <c r="Z23" s="28">
        <f t="shared" si="19"/>
        <v>308</v>
      </c>
      <c r="AA23" s="28">
        <f t="shared" si="19"/>
        <v>308</v>
      </c>
      <c r="AB23" s="28">
        <f t="shared" si="19"/>
        <v>308</v>
      </c>
      <c r="AC23" s="28">
        <f t="shared" si="19"/>
        <v>308</v>
      </c>
      <c r="AD23" s="28">
        <f t="shared" si="19"/>
        <v>308</v>
      </c>
      <c r="AE23" s="28">
        <f t="shared" si="19"/>
        <v>308</v>
      </c>
      <c r="AF23" s="28">
        <f t="shared" si="19"/>
        <v>308</v>
      </c>
      <c r="AG23" s="28">
        <f t="shared" si="19"/>
        <v>308</v>
      </c>
      <c r="AH23" s="28">
        <f t="shared" si="19"/>
        <v>308</v>
      </c>
      <c r="AI23" s="28">
        <f t="shared" si="19"/>
        <v>308</v>
      </c>
      <c r="AJ23" s="28">
        <f t="shared" si="19"/>
        <v>308</v>
      </c>
      <c r="AK23" s="28">
        <f t="shared" si="19"/>
        <v>308</v>
      </c>
      <c r="AL23" s="28">
        <f t="shared" si="19"/>
        <v>308</v>
      </c>
      <c r="AM23" s="28">
        <f t="shared" si="19"/>
        <v>308</v>
      </c>
      <c r="AN23" s="28">
        <f t="shared" si="19"/>
        <v>308</v>
      </c>
      <c r="AO23" s="28">
        <f t="shared" si="19"/>
        <v>308</v>
      </c>
      <c r="AP23" s="28">
        <f t="shared" si="19"/>
        <v>308</v>
      </c>
      <c r="AQ23" s="28">
        <f t="shared" si="19"/>
        <v>308</v>
      </c>
    </row>
    <row r="24" spans="1:43" x14ac:dyDescent="0.3">
      <c r="A24" s="50" t="s">
        <v>65</v>
      </c>
      <c r="B24" s="28">
        <v>308</v>
      </c>
      <c r="C24" s="1">
        <v>1</v>
      </c>
      <c r="D24" s="1"/>
      <c r="E24" s="1"/>
      <c r="F24" s="1"/>
      <c r="G24" s="1"/>
      <c r="H24" s="28">
        <f>$B$24*$C$24</f>
        <v>308</v>
      </c>
      <c r="I24" s="28">
        <f t="shared" ref="I24:AQ24" si="20">$B$24*$C$24</f>
        <v>308</v>
      </c>
      <c r="J24" s="28">
        <f t="shared" si="20"/>
        <v>308</v>
      </c>
      <c r="K24" s="28">
        <f t="shared" si="20"/>
        <v>308</v>
      </c>
      <c r="L24" s="28">
        <f t="shared" si="20"/>
        <v>308</v>
      </c>
      <c r="M24" s="28">
        <f t="shared" si="20"/>
        <v>308</v>
      </c>
      <c r="N24" s="28">
        <f t="shared" si="20"/>
        <v>308</v>
      </c>
      <c r="O24" s="28">
        <f t="shared" si="20"/>
        <v>308</v>
      </c>
      <c r="P24" s="28">
        <f t="shared" si="20"/>
        <v>308</v>
      </c>
      <c r="Q24" s="28">
        <f t="shared" si="20"/>
        <v>308</v>
      </c>
      <c r="R24" s="28">
        <f t="shared" si="20"/>
        <v>308</v>
      </c>
      <c r="S24" s="28">
        <f t="shared" si="20"/>
        <v>308</v>
      </c>
      <c r="T24" s="28">
        <f t="shared" si="20"/>
        <v>308</v>
      </c>
      <c r="U24" s="28">
        <f t="shared" si="20"/>
        <v>308</v>
      </c>
      <c r="V24" s="28">
        <f t="shared" si="20"/>
        <v>308</v>
      </c>
      <c r="W24" s="28">
        <f t="shared" si="20"/>
        <v>308</v>
      </c>
      <c r="X24" s="28">
        <f t="shared" si="20"/>
        <v>308</v>
      </c>
      <c r="Y24" s="28">
        <f t="shared" si="20"/>
        <v>308</v>
      </c>
      <c r="Z24" s="28">
        <f t="shared" si="20"/>
        <v>308</v>
      </c>
      <c r="AA24" s="28">
        <f t="shared" si="20"/>
        <v>308</v>
      </c>
      <c r="AB24" s="28">
        <f t="shared" si="20"/>
        <v>308</v>
      </c>
      <c r="AC24" s="28">
        <f t="shared" si="20"/>
        <v>308</v>
      </c>
      <c r="AD24" s="28">
        <f t="shared" si="20"/>
        <v>308</v>
      </c>
      <c r="AE24" s="28">
        <f t="shared" si="20"/>
        <v>308</v>
      </c>
      <c r="AF24" s="28">
        <f t="shared" si="20"/>
        <v>308</v>
      </c>
      <c r="AG24" s="28">
        <f t="shared" si="20"/>
        <v>308</v>
      </c>
      <c r="AH24" s="28">
        <f t="shared" si="20"/>
        <v>308</v>
      </c>
      <c r="AI24" s="28">
        <f t="shared" si="20"/>
        <v>308</v>
      </c>
      <c r="AJ24" s="28">
        <f t="shared" si="20"/>
        <v>308</v>
      </c>
      <c r="AK24" s="28">
        <f t="shared" si="20"/>
        <v>308</v>
      </c>
      <c r="AL24" s="28">
        <f t="shared" si="20"/>
        <v>308</v>
      </c>
      <c r="AM24" s="28">
        <f t="shared" si="20"/>
        <v>308</v>
      </c>
      <c r="AN24" s="28">
        <f t="shared" si="20"/>
        <v>308</v>
      </c>
      <c r="AO24" s="28">
        <f t="shared" si="20"/>
        <v>308</v>
      </c>
      <c r="AP24" s="28">
        <f t="shared" si="20"/>
        <v>308</v>
      </c>
      <c r="AQ24" s="28">
        <f t="shared" si="20"/>
        <v>308</v>
      </c>
    </row>
    <row r="25" spans="1:43" x14ac:dyDescent="0.3">
      <c r="A25" s="50" t="s">
        <v>101</v>
      </c>
      <c r="B25" s="28">
        <v>308</v>
      </c>
      <c r="C25" s="1">
        <v>1</v>
      </c>
      <c r="D25" s="28">
        <f>$B$25*$C$25</f>
        <v>308</v>
      </c>
      <c r="E25" s="28">
        <f t="shared" ref="E25:G25" si="21">$B$25*$C$25</f>
        <v>308</v>
      </c>
      <c r="F25" s="28">
        <f t="shared" si="21"/>
        <v>308</v>
      </c>
      <c r="G25" s="28">
        <f t="shared" si="21"/>
        <v>308</v>
      </c>
      <c r="H25" s="28">
        <f>$B$25*$C$25</f>
        <v>308</v>
      </c>
      <c r="I25" s="28">
        <f t="shared" ref="I25:AQ25" si="22">$B$25*$C$25</f>
        <v>308</v>
      </c>
      <c r="J25" s="28">
        <f t="shared" si="22"/>
        <v>308</v>
      </c>
      <c r="K25" s="28">
        <f t="shared" si="22"/>
        <v>308</v>
      </c>
      <c r="L25" s="28">
        <f t="shared" si="22"/>
        <v>308</v>
      </c>
      <c r="M25" s="28">
        <f t="shared" si="22"/>
        <v>308</v>
      </c>
      <c r="N25" s="28">
        <f t="shared" si="22"/>
        <v>308</v>
      </c>
      <c r="O25" s="28">
        <f t="shared" si="22"/>
        <v>308</v>
      </c>
      <c r="P25" s="28">
        <f t="shared" si="22"/>
        <v>308</v>
      </c>
      <c r="Q25" s="28">
        <f t="shared" si="22"/>
        <v>308</v>
      </c>
      <c r="R25" s="28">
        <f t="shared" si="22"/>
        <v>308</v>
      </c>
      <c r="S25" s="28">
        <f t="shared" si="22"/>
        <v>308</v>
      </c>
      <c r="T25" s="28">
        <f t="shared" si="22"/>
        <v>308</v>
      </c>
      <c r="U25" s="28">
        <f t="shared" si="22"/>
        <v>308</v>
      </c>
      <c r="V25" s="28">
        <f t="shared" si="22"/>
        <v>308</v>
      </c>
      <c r="W25" s="28">
        <f t="shared" si="22"/>
        <v>308</v>
      </c>
      <c r="X25" s="28">
        <f t="shared" si="22"/>
        <v>308</v>
      </c>
      <c r="Y25" s="28">
        <f t="shared" si="22"/>
        <v>308</v>
      </c>
      <c r="Z25" s="28">
        <f t="shared" si="22"/>
        <v>308</v>
      </c>
      <c r="AA25" s="28">
        <f t="shared" si="22"/>
        <v>308</v>
      </c>
      <c r="AB25" s="28">
        <f t="shared" si="22"/>
        <v>308</v>
      </c>
      <c r="AC25" s="28">
        <f t="shared" si="22"/>
        <v>308</v>
      </c>
      <c r="AD25" s="28">
        <f t="shared" si="22"/>
        <v>308</v>
      </c>
      <c r="AE25" s="28">
        <f t="shared" si="22"/>
        <v>308</v>
      </c>
      <c r="AF25" s="28">
        <f t="shared" si="22"/>
        <v>308</v>
      </c>
      <c r="AG25" s="28">
        <f t="shared" si="22"/>
        <v>308</v>
      </c>
      <c r="AH25" s="28">
        <f t="shared" si="22"/>
        <v>308</v>
      </c>
      <c r="AI25" s="28">
        <f t="shared" si="22"/>
        <v>308</v>
      </c>
      <c r="AJ25" s="28">
        <f t="shared" si="22"/>
        <v>308</v>
      </c>
      <c r="AK25" s="28">
        <f t="shared" si="22"/>
        <v>308</v>
      </c>
      <c r="AL25" s="28">
        <f t="shared" si="22"/>
        <v>308</v>
      </c>
      <c r="AM25" s="28">
        <f t="shared" si="22"/>
        <v>308</v>
      </c>
      <c r="AN25" s="28">
        <f t="shared" si="22"/>
        <v>308</v>
      </c>
      <c r="AO25" s="28">
        <f t="shared" si="22"/>
        <v>308</v>
      </c>
      <c r="AP25" s="28">
        <f t="shared" si="22"/>
        <v>308</v>
      </c>
      <c r="AQ25" s="28">
        <f t="shared" si="22"/>
        <v>308</v>
      </c>
    </row>
    <row r="26" spans="1:43" x14ac:dyDescent="0.3">
      <c r="A26" t="s">
        <v>66</v>
      </c>
      <c r="B26" s="28">
        <v>700</v>
      </c>
      <c r="C26" s="1">
        <v>1</v>
      </c>
      <c r="D26" s="1"/>
      <c r="E26" s="1"/>
      <c r="F26" s="1"/>
      <c r="G26" s="1"/>
      <c r="H26" s="28">
        <f>$B$26*$C$26</f>
        <v>700</v>
      </c>
      <c r="I26" s="28">
        <f t="shared" ref="I26:AQ26" si="23">$B$26*$C$26</f>
        <v>700</v>
      </c>
      <c r="J26" s="28">
        <f t="shared" si="23"/>
        <v>700</v>
      </c>
      <c r="K26" s="28">
        <f t="shared" si="23"/>
        <v>700</v>
      </c>
      <c r="L26" s="28">
        <f t="shared" si="23"/>
        <v>700</v>
      </c>
      <c r="M26" s="28">
        <f t="shared" si="23"/>
        <v>700</v>
      </c>
      <c r="N26" s="28">
        <f t="shared" si="23"/>
        <v>700</v>
      </c>
      <c r="O26" s="28">
        <f t="shared" si="23"/>
        <v>700</v>
      </c>
      <c r="P26" s="28">
        <f t="shared" si="23"/>
        <v>700</v>
      </c>
      <c r="Q26" s="28">
        <f t="shared" si="23"/>
        <v>700</v>
      </c>
      <c r="R26" s="28">
        <f t="shared" si="23"/>
        <v>700</v>
      </c>
      <c r="S26" s="28">
        <f t="shared" si="23"/>
        <v>700</v>
      </c>
      <c r="T26" s="28">
        <f t="shared" si="23"/>
        <v>700</v>
      </c>
      <c r="U26" s="28">
        <f t="shared" si="23"/>
        <v>700</v>
      </c>
      <c r="V26" s="28">
        <f t="shared" si="23"/>
        <v>700</v>
      </c>
      <c r="W26" s="28">
        <f t="shared" si="23"/>
        <v>700</v>
      </c>
      <c r="X26" s="28">
        <f t="shared" si="23"/>
        <v>700</v>
      </c>
      <c r="Y26" s="28">
        <f t="shared" si="23"/>
        <v>700</v>
      </c>
      <c r="Z26" s="28">
        <f t="shared" si="23"/>
        <v>700</v>
      </c>
      <c r="AA26" s="28">
        <f t="shared" si="23"/>
        <v>700</v>
      </c>
      <c r="AB26" s="28">
        <f t="shared" si="23"/>
        <v>700</v>
      </c>
      <c r="AC26" s="28">
        <f t="shared" si="23"/>
        <v>700</v>
      </c>
      <c r="AD26" s="28">
        <f t="shared" si="23"/>
        <v>700</v>
      </c>
      <c r="AE26" s="28">
        <f t="shared" si="23"/>
        <v>700</v>
      </c>
      <c r="AF26" s="28">
        <f t="shared" si="23"/>
        <v>700</v>
      </c>
      <c r="AG26" s="28">
        <f t="shared" si="23"/>
        <v>700</v>
      </c>
      <c r="AH26" s="28">
        <f t="shared" si="23"/>
        <v>700</v>
      </c>
      <c r="AI26" s="28">
        <f t="shared" si="23"/>
        <v>700</v>
      </c>
      <c r="AJ26" s="28">
        <f t="shared" si="23"/>
        <v>700</v>
      </c>
      <c r="AK26" s="28">
        <f t="shared" si="23"/>
        <v>700</v>
      </c>
      <c r="AL26" s="28">
        <f t="shared" si="23"/>
        <v>700</v>
      </c>
      <c r="AM26" s="28">
        <f t="shared" si="23"/>
        <v>700</v>
      </c>
      <c r="AN26" s="28">
        <f t="shared" si="23"/>
        <v>700</v>
      </c>
      <c r="AO26" s="28">
        <f t="shared" si="23"/>
        <v>700</v>
      </c>
      <c r="AP26" s="28">
        <f t="shared" si="23"/>
        <v>700</v>
      </c>
      <c r="AQ26" s="28">
        <f t="shared" si="23"/>
        <v>700</v>
      </c>
    </row>
    <row r="27" spans="1:43" x14ac:dyDescent="0.3">
      <c r="A27" t="s">
        <v>102</v>
      </c>
      <c r="B27" s="28">
        <v>500</v>
      </c>
      <c r="C27" s="1">
        <v>1</v>
      </c>
      <c r="D27" s="1"/>
      <c r="E27" s="1"/>
      <c r="F27" s="1"/>
      <c r="G27" s="1"/>
      <c r="H27" s="28">
        <f>$B$27*$C$27</f>
        <v>500</v>
      </c>
      <c r="I27" s="28">
        <f t="shared" ref="I27:AQ27" si="24">$B$27*$C$27</f>
        <v>500</v>
      </c>
      <c r="J27" s="28">
        <f t="shared" si="24"/>
        <v>500</v>
      </c>
      <c r="K27" s="28">
        <f t="shared" si="24"/>
        <v>500</v>
      </c>
      <c r="L27" s="28">
        <f t="shared" si="24"/>
        <v>500</v>
      </c>
      <c r="M27" s="28">
        <f t="shared" si="24"/>
        <v>500</v>
      </c>
      <c r="N27" s="28">
        <f t="shared" si="24"/>
        <v>500</v>
      </c>
      <c r="O27" s="28">
        <f t="shared" si="24"/>
        <v>500</v>
      </c>
      <c r="P27" s="28">
        <f t="shared" si="24"/>
        <v>500</v>
      </c>
      <c r="Q27" s="28">
        <f t="shared" si="24"/>
        <v>500</v>
      </c>
      <c r="R27" s="28">
        <f t="shared" si="24"/>
        <v>500</v>
      </c>
      <c r="S27" s="28">
        <f t="shared" si="24"/>
        <v>500</v>
      </c>
      <c r="T27" s="28">
        <f t="shared" si="24"/>
        <v>500</v>
      </c>
      <c r="U27" s="28">
        <f t="shared" si="24"/>
        <v>500</v>
      </c>
      <c r="V27" s="28">
        <f t="shared" si="24"/>
        <v>500</v>
      </c>
      <c r="W27" s="28">
        <f t="shared" si="24"/>
        <v>500</v>
      </c>
      <c r="X27" s="28">
        <f t="shared" si="24"/>
        <v>500</v>
      </c>
      <c r="Y27" s="28">
        <f t="shared" si="24"/>
        <v>500</v>
      </c>
      <c r="Z27" s="28">
        <f t="shared" si="24"/>
        <v>500</v>
      </c>
      <c r="AA27" s="28">
        <f t="shared" si="24"/>
        <v>500</v>
      </c>
      <c r="AB27" s="28">
        <f t="shared" si="24"/>
        <v>500</v>
      </c>
      <c r="AC27" s="28">
        <f t="shared" si="24"/>
        <v>500</v>
      </c>
      <c r="AD27" s="28">
        <f t="shared" si="24"/>
        <v>500</v>
      </c>
      <c r="AE27" s="28">
        <f t="shared" si="24"/>
        <v>500</v>
      </c>
      <c r="AF27" s="28">
        <f t="shared" si="24"/>
        <v>500</v>
      </c>
      <c r="AG27" s="28">
        <f t="shared" si="24"/>
        <v>500</v>
      </c>
      <c r="AH27" s="28">
        <f t="shared" si="24"/>
        <v>500</v>
      </c>
      <c r="AI27" s="28">
        <f t="shared" si="24"/>
        <v>500</v>
      </c>
      <c r="AJ27" s="28">
        <f t="shared" si="24"/>
        <v>500</v>
      </c>
      <c r="AK27" s="28">
        <f t="shared" si="24"/>
        <v>500</v>
      </c>
      <c r="AL27" s="28">
        <f t="shared" si="24"/>
        <v>500</v>
      </c>
      <c r="AM27" s="28">
        <f t="shared" si="24"/>
        <v>500</v>
      </c>
      <c r="AN27" s="28">
        <f t="shared" si="24"/>
        <v>500</v>
      </c>
      <c r="AO27" s="28">
        <f t="shared" si="24"/>
        <v>500</v>
      </c>
      <c r="AP27" s="28">
        <f t="shared" si="24"/>
        <v>500</v>
      </c>
      <c r="AQ27" s="28">
        <f t="shared" si="24"/>
        <v>500</v>
      </c>
    </row>
    <row r="28" spans="1:43" x14ac:dyDescent="0.3">
      <c r="A28" t="s">
        <v>54</v>
      </c>
      <c r="B28" s="43">
        <v>0.22</v>
      </c>
      <c r="D28" s="28">
        <f t="shared" ref="D28:G28" si="25">SUM(D19:D27)*$B$28</f>
        <v>397.76</v>
      </c>
      <c r="E28" s="28">
        <f t="shared" si="25"/>
        <v>397.76</v>
      </c>
      <c r="F28" s="28">
        <f t="shared" si="25"/>
        <v>397.76</v>
      </c>
      <c r="G28" s="28">
        <f t="shared" si="25"/>
        <v>397.76</v>
      </c>
      <c r="H28" s="28">
        <f t="shared" ref="H28:Y28" si="26">SUM(H19:H27)*$B$28</f>
        <v>1000.34</v>
      </c>
      <c r="I28" s="28">
        <f t="shared" si="26"/>
        <v>1000.34</v>
      </c>
      <c r="J28" s="28">
        <f t="shared" si="26"/>
        <v>1000.34</v>
      </c>
      <c r="K28" s="28">
        <f t="shared" si="26"/>
        <v>1000.34</v>
      </c>
      <c r="L28" s="28">
        <f t="shared" si="26"/>
        <v>1000.34</v>
      </c>
      <c r="M28" s="28">
        <f t="shared" si="26"/>
        <v>1000.34</v>
      </c>
      <c r="N28" s="28">
        <f t="shared" si="26"/>
        <v>1000.34</v>
      </c>
      <c r="O28" s="28">
        <f t="shared" si="26"/>
        <v>1000.34</v>
      </c>
      <c r="P28" s="28">
        <f t="shared" si="26"/>
        <v>1000.34</v>
      </c>
      <c r="Q28" s="28">
        <f t="shared" si="26"/>
        <v>1000.34</v>
      </c>
      <c r="R28" s="28">
        <f t="shared" si="26"/>
        <v>1000.34</v>
      </c>
      <c r="S28" s="28">
        <f t="shared" si="26"/>
        <v>1000.34</v>
      </c>
      <c r="T28" s="28">
        <f t="shared" si="26"/>
        <v>1000.34</v>
      </c>
      <c r="U28" s="28">
        <f t="shared" si="26"/>
        <v>1000.34</v>
      </c>
      <c r="V28" s="28">
        <f t="shared" si="26"/>
        <v>1000.34</v>
      </c>
      <c r="W28" s="28">
        <f t="shared" si="26"/>
        <v>1000.34</v>
      </c>
      <c r="X28" s="28">
        <f t="shared" si="26"/>
        <v>1000.34</v>
      </c>
      <c r="Y28" s="28">
        <f t="shared" si="26"/>
        <v>1000.34</v>
      </c>
      <c r="Z28" s="28">
        <f t="shared" ref="Z28:AQ28" si="27">SUM(Z19:Z27)*$B$28</f>
        <v>1000.34</v>
      </c>
      <c r="AA28" s="28">
        <f t="shared" si="27"/>
        <v>1000.34</v>
      </c>
      <c r="AB28" s="28">
        <f t="shared" si="27"/>
        <v>1000.34</v>
      </c>
      <c r="AC28" s="28">
        <f t="shared" si="27"/>
        <v>1000.34</v>
      </c>
      <c r="AD28" s="28">
        <f t="shared" si="27"/>
        <v>1000.34</v>
      </c>
      <c r="AE28" s="28">
        <f t="shared" si="27"/>
        <v>1000.34</v>
      </c>
      <c r="AF28" s="28">
        <f t="shared" si="27"/>
        <v>1000.34</v>
      </c>
      <c r="AG28" s="28">
        <f t="shared" si="27"/>
        <v>1000.34</v>
      </c>
      <c r="AH28" s="28">
        <f t="shared" si="27"/>
        <v>1000.34</v>
      </c>
      <c r="AI28" s="28">
        <f t="shared" si="27"/>
        <v>1000.34</v>
      </c>
      <c r="AJ28" s="28">
        <f t="shared" si="27"/>
        <v>1000.34</v>
      </c>
      <c r="AK28" s="28">
        <f t="shared" si="27"/>
        <v>1000.34</v>
      </c>
      <c r="AL28" s="28">
        <f t="shared" si="27"/>
        <v>1000.34</v>
      </c>
      <c r="AM28" s="28">
        <f t="shared" si="27"/>
        <v>1000.34</v>
      </c>
      <c r="AN28" s="28">
        <f t="shared" si="27"/>
        <v>1000.34</v>
      </c>
      <c r="AO28" s="28">
        <f t="shared" si="27"/>
        <v>1000.34</v>
      </c>
      <c r="AP28" s="28">
        <f t="shared" si="27"/>
        <v>1000.34</v>
      </c>
      <c r="AQ28" s="28">
        <f t="shared" si="27"/>
        <v>1000.34</v>
      </c>
    </row>
    <row r="29" spans="1:43" x14ac:dyDescent="0.3">
      <c r="A29" s="38" t="s">
        <v>67</v>
      </c>
      <c r="B29" s="35"/>
      <c r="C29" s="35"/>
      <c r="D29" s="39">
        <f>SUM(D19:D28)</f>
        <v>2205.7600000000002</v>
      </c>
      <c r="E29" s="39">
        <f t="shared" ref="E29:G29" si="28">SUM(E19:E28)</f>
        <v>2205.7600000000002</v>
      </c>
      <c r="F29" s="39">
        <f t="shared" si="28"/>
        <v>2205.7600000000002</v>
      </c>
      <c r="G29" s="39">
        <f t="shared" si="28"/>
        <v>2205.7600000000002</v>
      </c>
      <c r="H29" s="39">
        <f t="shared" ref="H29:Y29" si="29">SUM(H19:H28)</f>
        <v>5547.34</v>
      </c>
      <c r="I29" s="39">
        <f t="shared" si="29"/>
        <v>5547.34</v>
      </c>
      <c r="J29" s="39">
        <f t="shared" si="29"/>
        <v>5547.34</v>
      </c>
      <c r="K29" s="39">
        <f t="shared" si="29"/>
        <v>5547.34</v>
      </c>
      <c r="L29" s="39">
        <f t="shared" si="29"/>
        <v>5547.34</v>
      </c>
      <c r="M29" s="39">
        <f t="shared" si="29"/>
        <v>5547.34</v>
      </c>
      <c r="N29" s="39">
        <f t="shared" si="29"/>
        <v>5547.34</v>
      </c>
      <c r="O29" s="39">
        <f t="shared" si="29"/>
        <v>5547.34</v>
      </c>
      <c r="P29" s="39">
        <f t="shared" si="29"/>
        <v>5547.34</v>
      </c>
      <c r="Q29" s="39">
        <f t="shared" si="29"/>
        <v>5547.34</v>
      </c>
      <c r="R29" s="39">
        <f t="shared" si="29"/>
        <v>5547.34</v>
      </c>
      <c r="S29" s="39">
        <f t="shared" si="29"/>
        <v>5547.34</v>
      </c>
      <c r="T29" s="39">
        <f t="shared" si="29"/>
        <v>5547.34</v>
      </c>
      <c r="U29" s="39">
        <f t="shared" si="29"/>
        <v>5547.34</v>
      </c>
      <c r="V29" s="39">
        <f t="shared" si="29"/>
        <v>5547.34</v>
      </c>
      <c r="W29" s="39">
        <f t="shared" si="29"/>
        <v>5547.34</v>
      </c>
      <c r="X29" s="39">
        <f t="shared" si="29"/>
        <v>5547.34</v>
      </c>
      <c r="Y29" s="39">
        <f t="shared" si="29"/>
        <v>5547.34</v>
      </c>
      <c r="Z29" s="39">
        <f t="shared" ref="Z29:AQ29" si="30">SUM(Z19:Z28)</f>
        <v>5547.34</v>
      </c>
      <c r="AA29" s="39">
        <f t="shared" si="30"/>
        <v>5547.34</v>
      </c>
      <c r="AB29" s="39">
        <f t="shared" si="30"/>
        <v>5547.34</v>
      </c>
      <c r="AC29" s="39">
        <f t="shared" si="30"/>
        <v>5547.34</v>
      </c>
      <c r="AD29" s="39">
        <f t="shared" si="30"/>
        <v>5547.34</v>
      </c>
      <c r="AE29" s="39">
        <f t="shared" si="30"/>
        <v>5547.34</v>
      </c>
      <c r="AF29" s="39">
        <f t="shared" si="30"/>
        <v>5547.34</v>
      </c>
      <c r="AG29" s="39">
        <f t="shared" si="30"/>
        <v>5547.34</v>
      </c>
      <c r="AH29" s="39">
        <f t="shared" si="30"/>
        <v>5547.34</v>
      </c>
      <c r="AI29" s="39">
        <f t="shared" si="30"/>
        <v>5547.34</v>
      </c>
      <c r="AJ29" s="39">
        <f t="shared" si="30"/>
        <v>5547.34</v>
      </c>
      <c r="AK29" s="39">
        <f t="shared" si="30"/>
        <v>5547.34</v>
      </c>
      <c r="AL29" s="39">
        <f t="shared" si="30"/>
        <v>5547.34</v>
      </c>
      <c r="AM29" s="39">
        <f t="shared" si="30"/>
        <v>5547.34</v>
      </c>
      <c r="AN29" s="39">
        <f t="shared" si="30"/>
        <v>5547.34</v>
      </c>
      <c r="AO29" s="39">
        <f t="shared" si="30"/>
        <v>5547.34</v>
      </c>
      <c r="AP29" s="39">
        <f t="shared" si="30"/>
        <v>5547.34</v>
      </c>
      <c r="AQ29" s="39">
        <f t="shared" si="30"/>
        <v>5547.34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Допущения</vt:lpstr>
      <vt:lpstr>Суммарно</vt:lpstr>
      <vt:lpstr>CAPEX</vt:lpstr>
      <vt:lpstr>Факт Существ бизнес</vt:lpstr>
      <vt:lpstr>Расчет бизнес кейса</vt:lpstr>
      <vt:lpstr>Рабочая сила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Onishenko</dc:creator>
  <cp:lastModifiedBy>Anna Onishenko</cp:lastModifiedBy>
  <cp:lastPrinted>2019-07-24T19:28:29Z</cp:lastPrinted>
  <dcterms:created xsi:type="dcterms:W3CDTF">2019-05-08T11:03:51Z</dcterms:created>
  <dcterms:modified xsi:type="dcterms:W3CDTF">2020-02-14T11:08:31Z</dcterms:modified>
</cp:coreProperties>
</file>