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OneDrive\Cicoresky\Clients\Bay leaf\"/>
    </mc:Choice>
  </mc:AlternateContent>
  <xr:revisionPtr revIDLastSave="1" documentId="11_37ABE0ED4C1F1500B1F489434FA4A6AC0075F87A" xr6:coauthVersionLast="40" xr6:coauthVersionMax="40" xr10:uidLastSave="{9AE3AF23-B3BD-49F0-BB94-34B5BAD4D129}"/>
  <bookViews>
    <workbookView xWindow="0" yWindow="0" windowWidth="20490" windowHeight="7530" activeTab="6" xr2:uid="{00000000-000D-0000-FFFF-FFFF00000000}"/>
  </bookViews>
  <sheets>
    <sheet name="input" sheetId="1" r:id="rId1"/>
    <sheet name="calc" sheetId="10" r:id="rId2"/>
    <sheet name="prod" sheetId="5" r:id="rId3"/>
    <sheet name="staff" sheetId="6" r:id="rId4"/>
    <sheet name="CAPEX" sheetId="7" r:id="rId5"/>
    <sheet name="OPEX" sheetId="8" r:id="rId6"/>
    <sheet name="PL-CF-B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7" l="1"/>
  <c r="H10" i="7" s="1"/>
  <c r="F7" i="7" l="1"/>
  <c r="H7" i="7" s="1"/>
  <c r="K5" i="8" l="1"/>
  <c r="L5" i="8"/>
  <c r="M5" i="8"/>
  <c r="N5" i="8"/>
  <c r="K6" i="8"/>
  <c r="L6" i="8"/>
  <c r="M6" i="8"/>
  <c r="N6" i="8"/>
  <c r="K7" i="8"/>
  <c r="L7" i="8"/>
  <c r="M7" i="8"/>
  <c r="N7" i="8"/>
  <c r="K8" i="8"/>
  <c r="L8" i="8"/>
  <c r="M8" i="8"/>
  <c r="N8" i="8"/>
  <c r="K9" i="8"/>
  <c r="L9" i="8"/>
  <c r="M9" i="8"/>
  <c r="N9" i="8"/>
  <c r="J13" i="8"/>
  <c r="K13" i="8"/>
  <c r="J14" i="8"/>
  <c r="K14" i="8"/>
  <c r="J15" i="8"/>
  <c r="K15" i="8"/>
  <c r="F28" i="2"/>
  <c r="C19" i="10" l="1"/>
  <c r="C20" i="10"/>
  <c r="B20" i="10"/>
  <c r="B19" i="10"/>
  <c r="B21" i="10" s="1"/>
  <c r="C21" i="10" l="1"/>
  <c r="C12" i="10"/>
  <c r="D12" i="10"/>
  <c r="E12" i="10"/>
  <c r="F12" i="10"/>
  <c r="B12" i="10"/>
  <c r="B53" i="2"/>
  <c r="B11" i="2" s="1"/>
  <c r="B28" i="2" s="1"/>
  <c r="B49" i="2"/>
  <c r="C49" i="2" s="1"/>
  <c r="D49" i="2" s="1"/>
  <c r="E49" i="2" s="1"/>
  <c r="F49" i="2" s="1"/>
  <c r="C29" i="2"/>
  <c r="D29" i="2"/>
  <c r="E29" i="2"/>
  <c r="F29" i="2"/>
  <c r="B32" i="2"/>
  <c r="C32" i="2"/>
  <c r="D32" i="2"/>
  <c r="E32" i="2"/>
  <c r="F32" i="2"/>
  <c r="B5" i="10"/>
  <c r="B4" i="10"/>
  <c r="F2" i="7"/>
  <c r="F9" i="7"/>
  <c r="H9" i="7" s="1"/>
  <c r="F8" i="7"/>
  <c r="H8" i="7" s="1"/>
  <c r="C53" i="2" l="1"/>
  <c r="C11" i="2" s="1"/>
  <c r="C28" i="2" s="1"/>
  <c r="C13" i="10"/>
  <c r="D13" i="10"/>
  <c r="D54" i="2" s="1"/>
  <c r="F13" i="10"/>
  <c r="E13" i="10"/>
  <c r="B13" i="10"/>
  <c r="D53" i="2" l="1"/>
  <c r="D11" i="2" s="1"/>
  <c r="D28" i="2" s="1"/>
  <c r="C14" i="10"/>
  <c r="C15" i="10" s="1"/>
  <c r="C22" i="2" s="1"/>
  <c r="C54" i="2"/>
  <c r="C52" i="2" s="1"/>
  <c r="D14" i="10"/>
  <c r="D15" i="10" s="1"/>
  <c r="D22" i="2" s="1"/>
  <c r="B54" i="2"/>
  <c r="B52" i="2" s="1"/>
  <c r="B14" i="10"/>
  <c r="B15" i="10" s="1"/>
  <c r="B22" i="2" s="1"/>
  <c r="E14" i="10"/>
  <c r="E15" i="10" s="1"/>
  <c r="E22" i="2" s="1"/>
  <c r="E54" i="2"/>
  <c r="F14" i="10"/>
  <c r="F15" i="10" s="1"/>
  <c r="F22" i="2" s="1"/>
  <c r="F54" i="2"/>
  <c r="D52" i="2" l="1"/>
  <c r="E53" i="2"/>
  <c r="E11" i="2" s="1"/>
  <c r="E28" i="2" s="1"/>
  <c r="E52" i="2" l="1"/>
  <c r="F53" i="2"/>
  <c r="F52" i="2" s="1"/>
  <c r="B25" i="1"/>
  <c r="D31" i="8"/>
  <c r="E31" i="8"/>
  <c r="F31" i="8"/>
  <c r="G31" i="8"/>
  <c r="C31" i="8"/>
  <c r="B13" i="1" l="1"/>
  <c r="B14" i="1" s="1"/>
  <c r="B15" i="1" l="1"/>
  <c r="C30" i="1" s="1"/>
  <c r="B21" i="1"/>
  <c r="B26" i="1" s="1"/>
  <c r="F4" i="7"/>
  <c r="F5" i="7"/>
  <c r="H5" i="7" s="1"/>
  <c r="F6" i="7"/>
  <c r="H6" i="7" s="1"/>
  <c r="C3" i="5"/>
  <c r="C8" i="5" s="1"/>
  <c r="C7" i="5" s="1"/>
  <c r="B3" i="5"/>
  <c r="B8" i="5" s="1"/>
  <c r="B7" i="5" s="1"/>
  <c r="C12" i="8"/>
  <c r="D12" i="8"/>
  <c r="D4" i="8"/>
  <c r="E4" i="8"/>
  <c r="F4" i="8"/>
  <c r="G4" i="8"/>
  <c r="M13" i="8"/>
  <c r="N13" i="8"/>
  <c r="M14" i="8"/>
  <c r="N14" i="8"/>
  <c r="M15" i="8"/>
  <c r="N15" i="8"/>
  <c r="L14" i="8"/>
  <c r="L15" i="8"/>
  <c r="L13" i="8"/>
  <c r="B12" i="8"/>
  <c r="B10" i="8"/>
  <c r="B4" i="8"/>
  <c r="J6" i="8"/>
  <c r="J7" i="8"/>
  <c r="J8" i="8"/>
  <c r="J9" i="8"/>
  <c r="J5" i="8"/>
  <c r="H4" i="7" l="1"/>
  <c r="B30" i="2"/>
  <c r="F3" i="7"/>
  <c r="D32" i="8"/>
  <c r="K12" i="8"/>
  <c r="C32" i="8"/>
  <c r="J12" i="8"/>
  <c r="F16" i="10"/>
  <c r="N4" i="8"/>
  <c r="E16" i="10"/>
  <c r="M4" i="8"/>
  <c r="D16" i="10"/>
  <c r="L4" i="8"/>
  <c r="C16" i="10"/>
  <c r="K4" i="8"/>
  <c r="G10" i="8"/>
  <c r="N11" i="8"/>
  <c r="C31" i="1"/>
  <c r="E10" i="8"/>
  <c r="L11" i="8"/>
  <c r="F10" i="8"/>
  <c r="M11" i="8"/>
  <c r="C10" i="8"/>
  <c r="J11" i="8"/>
  <c r="D10" i="8"/>
  <c r="D3" i="8" s="1"/>
  <c r="K11" i="8"/>
  <c r="C3" i="2"/>
  <c r="C8" i="2" s="1"/>
  <c r="C26" i="2" s="1"/>
  <c r="B3" i="2"/>
  <c r="B8" i="2" s="1"/>
  <c r="B26" i="2" s="1"/>
  <c r="B3" i="8"/>
  <c r="E12" i="8"/>
  <c r="L12" i="8" s="1"/>
  <c r="C4" i="8"/>
  <c r="G12" i="8"/>
  <c r="N12" i="8" s="1"/>
  <c r="F12" i="8"/>
  <c r="M12" i="8" s="1"/>
  <c r="F11" i="7" l="1"/>
  <c r="B31" i="2"/>
  <c r="B29" i="2" s="1"/>
  <c r="E30" i="8"/>
  <c r="D20" i="10" s="1"/>
  <c r="C23" i="2"/>
  <c r="K3" i="8"/>
  <c r="B17" i="10"/>
  <c r="J10" i="8"/>
  <c r="D17" i="10"/>
  <c r="D18" i="10" s="1"/>
  <c r="L10" i="8"/>
  <c r="G30" i="8"/>
  <c r="F20" i="10" s="1"/>
  <c r="C17" i="10"/>
  <c r="C18" i="10" s="1"/>
  <c r="K10" i="8"/>
  <c r="E17" i="10"/>
  <c r="E18" i="10" s="1"/>
  <c r="M10" i="8"/>
  <c r="B16" i="10"/>
  <c r="J4" i="8"/>
  <c r="F30" i="8"/>
  <c r="E20" i="10" s="1"/>
  <c r="F17" i="10"/>
  <c r="F18" i="10" s="1"/>
  <c r="N10" i="8"/>
  <c r="H3" i="7"/>
  <c r="F29" i="8"/>
  <c r="E19" i="10" s="1"/>
  <c r="G29" i="8"/>
  <c r="F19" i="10" s="1"/>
  <c r="E29" i="8"/>
  <c r="D19" i="10" s="1"/>
  <c r="D21" i="10" s="1"/>
  <c r="B8" i="10"/>
  <c r="B9" i="10" s="1"/>
  <c r="B44" i="2" s="1"/>
  <c r="C8" i="10"/>
  <c r="C9" i="10" s="1"/>
  <c r="C44" i="2" s="1"/>
  <c r="E3" i="8"/>
  <c r="E32" i="8"/>
  <c r="F3" i="8"/>
  <c r="F32" i="8"/>
  <c r="G3" i="8"/>
  <c r="G32" i="8"/>
  <c r="C3" i="8"/>
  <c r="D3" i="5"/>
  <c r="D8" i="5" s="1"/>
  <c r="D7" i="5" s="1"/>
  <c r="E21" i="10" l="1"/>
  <c r="B12" i="2"/>
  <c r="B46" i="2" s="1"/>
  <c r="H11" i="7"/>
  <c r="F21" i="10"/>
  <c r="B18" i="10"/>
  <c r="B22" i="10" s="1"/>
  <c r="B45" i="2" s="1"/>
  <c r="B23" i="2"/>
  <c r="J3" i="8"/>
  <c r="E23" i="2"/>
  <c r="M3" i="8"/>
  <c r="F23" i="2"/>
  <c r="N3" i="8"/>
  <c r="D23" i="2"/>
  <c r="L3" i="8"/>
  <c r="F12" i="2"/>
  <c r="D12" i="2"/>
  <c r="C12" i="2"/>
  <c r="E12" i="2"/>
  <c r="B10" i="10"/>
  <c r="B11" i="10" s="1"/>
  <c r="C10" i="10"/>
  <c r="C11" i="10" s="1"/>
  <c r="D3" i="2"/>
  <c r="D8" i="2" s="1"/>
  <c r="D26" i="2" s="1"/>
  <c r="G56" i="6"/>
  <c r="N56" i="6" s="1"/>
  <c r="F56" i="6"/>
  <c r="M56" i="6" s="1"/>
  <c r="E56" i="6"/>
  <c r="L56" i="6" s="1"/>
  <c r="D56" i="6"/>
  <c r="K56" i="6" s="1"/>
  <c r="C56" i="6"/>
  <c r="J56" i="6" s="1"/>
  <c r="G55" i="6"/>
  <c r="N55" i="6" s="1"/>
  <c r="F55" i="6"/>
  <c r="M55" i="6" s="1"/>
  <c r="E55" i="6"/>
  <c r="L55" i="6" s="1"/>
  <c r="D55" i="6"/>
  <c r="K55" i="6" s="1"/>
  <c r="C55" i="6"/>
  <c r="J55" i="6" s="1"/>
  <c r="G54" i="6"/>
  <c r="N54" i="6" s="1"/>
  <c r="F54" i="6"/>
  <c r="M54" i="6" s="1"/>
  <c r="E54" i="6"/>
  <c r="L54" i="6" s="1"/>
  <c r="D54" i="6"/>
  <c r="K54" i="6" s="1"/>
  <c r="C54" i="6"/>
  <c r="J54" i="6" s="1"/>
  <c r="G53" i="6"/>
  <c r="N53" i="6" s="1"/>
  <c r="F53" i="6"/>
  <c r="M53" i="6" s="1"/>
  <c r="E53" i="6"/>
  <c r="L53" i="6" s="1"/>
  <c r="D53" i="6"/>
  <c r="K53" i="6" s="1"/>
  <c r="C53" i="6"/>
  <c r="J53" i="6" s="1"/>
  <c r="G52" i="6"/>
  <c r="N52" i="6" s="1"/>
  <c r="F52" i="6"/>
  <c r="M52" i="6" s="1"/>
  <c r="E52" i="6"/>
  <c r="L52" i="6" s="1"/>
  <c r="D52" i="6"/>
  <c r="K52" i="6" s="1"/>
  <c r="C52" i="6"/>
  <c r="J52" i="6" s="1"/>
  <c r="G51" i="6"/>
  <c r="N51" i="6" s="1"/>
  <c r="F51" i="6"/>
  <c r="M51" i="6" s="1"/>
  <c r="E51" i="6"/>
  <c r="L51" i="6" s="1"/>
  <c r="D51" i="6"/>
  <c r="K51" i="6" s="1"/>
  <c r="C51" i="6"/>
  <c r="J51" i="6" s="1"/>
  <c r="G50" i="6"/>
  <c r="N50" i="6" s="1"/>
  <c r="F50" i="6"/>
  <c r="M50" i="6" s="1"/>
  <c r="E50" i="6"/>
  <c r="L50" i="6" s="1"/>
  <c r="D50" i="6"/>
  <c r="K50" i="6" s="1"/>
  <c r="C50" i="6"/>
  <c r="J50" i="6" s="1"/>
  <c r="G49" i="6"/>
  <c r="N49" i="6" s="1"/>
  <c r="F49" i="6"/>
  <c r="M49" i="6" s="1"/>
  <c r="E49" i="6"/>
  <c r="L49" i="6" s="1"/>
  <c r="D49" i="6"/>
  <c r="K49" i="6" s="1"/>
  <c r="C49" i="6"/>
  <c r="J49" i="6" s="1"/>
  <c r="G48" i="6"/>
  <c r="N48" i="6" s="1"/>
  <c r="F48" i="6"/>
  <c r="M48" i="6" s="1"/>
  <c r="E48" i="6"/>
  <c r="L48" i="6" s="1"/>
  <c r="D48" i="6"/>
  <c r="K48" i="6" s="1"/>
  <c r="C48" i="6"/>
  <c r="J48" i="6" s="1"/>
  <c r="C44" i="6"/>
  <c r="J44" i="6" s="1"/>
  <c r="D44" i="6"/>
  <c r="K44" i="6" s="1"/>
  <c r="E44" i="6"/>
  <c r="L44" i="6" s="1"/>
  <c r="F44" i="6"/>
  <c r="M44" i="6" s="1"/>
  <c r="G44" i="6"/>
  <c r="N44" i="6" s="1"/>
  <c r="C45" i="6"/>
  <c r="J45" i="6" s="1"/>
  <c r="D45" i="6"/>
  <c r="K45" i="6" s="1"/>
  <c r="E45" i="6"/>
  <c r="L45" i="6" s="1"/>
  <c r="F45" i="6"/>
  <c r="M45" i="6" s="1"/>
  <c r="G45" i="6"/>
  <c r="N45" i="6" s="1"/>
  <c r="C46" i="6"/>
  <c r="J46" i="6" s="1"/>
  <c r="D46" i="6"/>
  <c r="K46" i="6" s="1"/>
  <c r="E46" i="6"/>
  <c r="L46" i="6" s="1"/>
  <c r="F46" i="6"/>
  <c r="M46" i="6" s="1"/>
  <c r="G46" i="6"/>
  <c r="N46" i="6" s="1"/>
  <c r="D43" i="6"/>
  <c r="K43" i="6" s="1"/>
  <c r="E43" i="6"/>
  <c r="L43" i="6" s="1"/>
  <c r="F43" i="6"/>
  <c r="M43" i="6" s="1"/>
  <c r="G43" i="6"/>
  <c r="N43" i="6" s="1"/>
  <c r="C43" i="6"/>
  <c r="J43" i="6" s="1"/>
  <c r="D9" i="6"/>
  <c r="E9" i="6"/>
  <c r="F9" i="6"/>
  <c r="G9" i="6"/>
  <c r="C9" i="6"/>
  <c r="D4" i="6"/>
  <c r="E4" i="6"/>
  <c r="F4" i="6"/>
  <c r="G4" i="6"/>
  <c r="C4" i="6"/>
  <c r="C46" i="2" l="1"/>
  <c r="D46" i="2" s="1"/>
  <c r="E46" i="2" s="1"/>
  <c r="F46" i="2" s="1"/>
  <c r="C22" i="10"/>
  <c r="C21" i="2"/>
  <c r="B21" i="2"/>
  <c r="D8" i="10"/>
  <c r="D9" i="10" s="1"/>
  <c r="D44" i="2" s="1"/>
  <c r="F47" i="6"/>
  <c r="E3" i="6"/>
  <c r="E3" i="5"/>
  <c r="E8" i="5" s="1"/>
  <c r="E7" i="5" s="1"/>
  <c r="F42" i="6"/>
  <c r="M42" i="6" s="1"/>
  <c r="C3" i="6"/>
  <c r="D3" i="6"/>
  <c r="E47" i="6"/>
  <c r="G42" i="6"/>
  <c r="N42" i="6" s="1"/>
  <c r="D47" i="6"/>
  <c r="G47" i="6"/>
  <c r="C47" i="6"/>
  <c r="C42" i="6"/>
  <c r="J42" i="6" s="1"/>
  <c r="E42" i="6"/>
  <c r="L42" i="6" s="1"/>
  <c r="D42" i="6"/>
  <c r="K42" i="6" s="1"/>
  <c r="G3" i="6"/>
  <c r="F3" i="6"/>
  <c r="C25" i="8" l="1"/>
  <c r="C34" i="8" s="1"/>
  <c r="J47" i="6"/>
  <c r="G25" i="8"/>
  <c r="G34" i="8" s="1"/>
  <c r="N47" i="6"/>
  <c r="D25" i="8"/>
  <c r="D34" i="8" s="1"/>
  <c r="K47" i="6"/>
  <c r="F25" i="8"/>
  <c r="F34" i="8" s="1"/>
  <c r="M47" i="6"/>
  <c r="E25" i="8"/>
  <c r="E34" i="8" s="1"/>
  <c r="L47" i="6"/>
  <c r="D22" i="10"/>
  <c r="C45" i="2"/>
  <c r="D10" i="10"/>
  <c r="D11" i="10" s="1"/>
  <c r="C7" i="2"/>
  <c r="D24" i="8"/>
  <c r="D7" i="2"/>
  <c r="E24" i="8"/>
  <c r="C24" i="8"/>
  <c r="B7" i="2"/>
  <c r="F24" i="8"/>
  <c r="E7" i="2"/>
  <c r="G24" i="8"/>
  <c r="F7" i="2"/>
  <c r="E3" i="2"/>
  <c r="E8" i="2" s="1"/>
  <c r="E26" i="2" s="1"/>
  <c r="F41" i="6"/>
  <c r="F3" i="5"/>
  <c r="F8" i="5" s="1"/>
  <c r="F7" i="5" s="1"/>
  <c r="E41" i="6"/>
  <c r="D41" i="6"/>
  <c r="G41" i="6"/>
  <c r="N41" i="6" s="1"/>
  <c r="C41" i="6"/>
  <c r="C25" i="2" l="1"/>
  <c r="K41" i="6"/>
  <c r="D25" i="2"/>
  <c r="L41" i="6"/>
  <c r="B25" i="2"/>
  <c r="J41" i="6"/>
  <c r="E25" i="2"/>
  <c r="M41" i="6"/>
  <c r="E22" i="10"/>
  <c r="D45" i="2"/>
  <c r="C32" i="1"/>
  <c r="C33" i="1" s="1"/>
  <c r="F25" i="2"/>
  <c r="D21" i="2"/>
  <c r="E8" i="10"/>
  <c r="E9" i="10" s="1"/>
  <c r="E44" i="2" s="1"/>
  <c r="E20" i="8"/>
  <c r="G20" i="8"/>
  <c r="F3" i="2"/>
  <c r="F8" i="2" s="1"/>
  <c r="F26" i="2" s="1"/>
  <c r="C20" i="8"/>
  <c r="D20" i="8"/>
  <c r="F20" i="8"/>
  <c r="C3" i="1"/>
  <c r="D3" i="1" s="1"/>
  <c r="E3" i="1" s="1"/>
  <c r="F3" i="1" s="1"/>
  <c r="C2" i="1"/>
  <c r="D2" i="1" s="1"/>
  <c r="E2" i="1" s="1"/>
  <c r="F2" i="1" s="1"/>
  <c r="F22" i="10" l="1"/>
  <c r="F45" i="2" s="1"/>
  <c r="E45" i="2"/>
  <c r="F8" i="10"/>
  <c r="F9" i="10" s="1"/>
  <c r="F44" i="2" s="1"/>
  <c r="E10" i="10"/>
  <c r="E11" i="10" s="1"/>
  <c r="D19" i="8"/>
  <c r="C24" i="2" s="1"/>
  <c r="E19" i="8"/>
  <c r="D24" i="2" s="1"/>
  <c r="F19" i="8"/>
  <c r="E24" i="2" s="1"/>
  <c r="G19" i="8"/>
  <c r="F24" i="2" s="1"/>
  <c r="C19" i="8"/>
  <c r="B24" i="2" s="1"/>
  <c r="E21" i="2" l="1"/>
  <c r="F10" i="10"/>
  <c r="F11" i="10" s="1"/>
  <c r="C33" i="8"/>
  <c r="E33" i="8"/>
  <c r="E35" i="8" s="1"/>
  <c r="E36" i="8" s="1"/>
  <c r="D4" i="2" s="1"/>
  <c r="D5" i="2" s="1"/>
  <c r="G33" i="8"/>
  <c r="G35" i="8" s="1"/>
  <c r="G36" i="8" s="1"/>
  <c r="F4" i="2" s="1"/>
  <c r="F5" i="2" s="1"/>
  <c r="F33" i="8"/>
  <c r="F35" i="8" s="1"/>
  <c r="F36" i="8" s="1"/>
  <c r="E4" i="2" s="1"/>
  <c r="E5" i="2" s="1"/>
  <c r="D33" i="8"/>
  <c r="D35" i="8" s="1"/>
  <c r="D36" i="8" s="1"/>
  <c r="C4" i="2" s="1"/>
  <c r="C5" i="2" s="1"/>
  <c r="C35" i="8" l="1"/>
  <c r="C36" i="8" s="1"/>
  <c r="B4" i="2" s="1"/>
  <c r="B5" i="2" s="1"/>
  <c r="C6" i="2"/>
  <c r="C9" i="2"/>
  <c r="C13" i="2" s="1"/>
  <c r="C14" i="2" s="1"/>
  <c r="C27" i="2" s="1"/>
  <c r="C20" i="2" s="1"/>
  <c r="D6" i="2"/>
  <c r="D9" i="2"/>
  <c r="D13" i="2" s="1"/>
  <c r="D14" i="2" s="1"/>
  <c r="D27" i="2" s="1"/>
  <c r="D20" i="2" s="1"/>
  <c r="E9" i="2"/>
  <c r="E13" i="2" s="1"/>
  <c r="F9" i="2"/>
  <c r="F13" i="2" s="1"/>
  <c r="F14" i="2" s="1"/>
  <c r="F27" i="2" s="1"/>
  <c r="F21" i="2"/>
  <c r="E6" i="2"/>
  <c r="F6" i="2"/>
  <c r="F10" i="2" l="1"/>
  <c r="B9" i="2"/>
  <c r="B13" i="2" s="1"/>
  <c r="B14" i="2" s="1"/>
  <c r="B27" i="2" s="1"/>
  <c r="B20" i="2" s="1"/>
  <c r="H20" i="2" s="1"/>
  <c r="B6" i="2"/>
  <c r="E10" i="2"/>
  <c r="E14" i="2"/>
  <c r="E27" i="2" s="1"/>
  <c r="E20" i="2" s="1"/>
  <c r="E36" i="2" s="1"/>
  <c r="F15" i="2"/>
  <c r="F16" i="2" s="1"/>
  <c r="F20" i="2"/>
  <c r="L20" i="2" s="1"/>
  <c r="L29" i="2" s="1"/>
  <c r="C36" i="2"/>
  <c r="I20" i="2"/>
  <c r="I29" i="2" s="1"/>
  <c r="D36" i="2"/>
  <c r="J20" i="2"/>
  <c r="J29" i="2" s="1"/>
  <c r="C10" i="2"/>
  <c r="C15" i="2"/>
  <c r="C16" i="2" s="1"/>
  <c r="D15" i="2"/>
  <c r="D16" i="2" s="1"/>
  <c r="D10" i="2"/>
  <c r="B15" i="2" l="1"/>
  <c r="B16" i="2" s="1"/>
  <c r="B10" i="2"/>
  <c r="K20" i="2"/>
  <c r="K29" i="2" s="1"/>
  <c r="F36" i="2"/>
  <c r="E15" i="2"/>
  <c r="E16" i="2" s="1"/>
  <c r="B36" i="2"/>
  <c r="B38" i="2" s="1"/>
  <c r="I22" i="2" l="1"/>
  <c r="B50" i="2"/>
  <c r="H29" i="2"/>
  <c r="H30" i="2" s="1"/>
  <c r="H31" i="2" s="1"/>
  <c r="I21" i="2"/>
  <c r="C37" i="2"/>
  <c r="C38" i="2" s="1"/>
  <c r="B43" i="2"/>
  <c r="B42" i="2" s="1"/>
  <c r="C50" i="2" l="1"/>
  <c r="B48" i="2"/>
  <c r="B56" i="2" s="1"/>
  <c r="I30" i="2"/>
  <c r="J30" i="2" s="1"/>
  <c r="K30" i="2" s="1"/>
  <c r="L30" i="2" s="1"/>
  <c r="L31" i="2" s="1"/>
  <c r="C43" i="2"/>
  <c r="C42" i="2" s="1"/>
  <c r="D37" i="2"/>
  <c r="D38" i="2" s="1"/>
  <c r="D50" i="2" l="1"/>
  <c r="C48" i="2"/>
  <c r="C56" i="2" s="1"/>
  <c r="I31" i="2"/>
  <c r="J31" i="2"/>
  <c r="K31" i="2"/>
  <c r="D43" i="2"/>
  <c r="D42" i="2" s="1"/>
  <c r="E37" i="2"/>
  <c r="E38" i="2" s="1"/>
  <c r="I23" i="2" l="1"/>
  <c r="E50" i="2"/>
  <c r="D48" i="2"/>
  <c r="D56" i="2" s="1"/>
  <c r="F37" i="2"/>
  <c r="F38" i="2" s="1"/>
  <c r="F43" i="2" s="1"/>
  <c r="E43" i="2"/>
  <c r="E42" i="2" s="1"/>
  <c r="F50" i="2" l="1"/>
  <c r="F48" i="2" s="1"/>
  <c r="E48" i="2"/>
  <c r="E56" i="2" s="1"/>
  <c r="F42" i="2"/>
  <c r="F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Dmytro Stashchuk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Dmytro Stashchuk:</t>
        </r>
        <r>
          <rPr>
            <sz val="9"/>
            <color indexed="81"/>
            <rFont val="Tahoma"/>
            <family val="2"/>
            <charset val="204"/>
          </rPr>
          <t xml:space="preserve">
Время, требуемое для сушения</t>
        </r>
      </text>
    </comment>
    <comment ref="A1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Info:</t>
        </r>
        <r>
          <rPr>
            <sz val="9"/>
            <color indexed="81"/>
            <rFont val="Tahoma"/>
            <family val="2"/>
            <charset val="204"/>
          </rPr>
          <t xml:space="preserve">
Объем сырого листа, который может быть принят на сушку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Dmytro Stashchuk</author>
  </authors>
  <commentList>
    <comment ref="A1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Info:</t>
        </r>
        <r>
          <rPr>
            <sz val="9"/>
            <color indexed="81"/>
            <rFont val="Tahoma"/>
            <family val="2"/>
            <charset val="204"/>
          </rPr>
          <t xml:space="preserve">
Кроме зарплаты</t>
        </r>
      </text>
    </comment>
    <comment ref="A29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04"/>
          </rPr>
          <t>Info:</t>
        </r>
        <r>
          <rPr>
            <sz val="9"/>
            <color indexed="81"/>
            <rFont val="Tahoma"/>
            <family val="2"/>
            <charset val="204"/>
          </rPr>
          <t xml:space="preserve">
"амортизация" с 3-го года</t>
        </r>
      </text>
    </comment>
    <comment ref="A30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04"/>
          </rPr>
          <t>Info:</t>
        </r>
        <r>
          <rPr>
            <sz val="9"/>
            <color indexed="81"/>
            <rFont val="Tahoma"/>
            <family val="2"/>
            <charset val="204"/>
          </rPr>
          <t xml:space="preserve">
"амортизация" с 3-го года</t>
        </r>
      </text>
    </comment>
  </commentList>
</comments>
</file>

<file path=xl/sharedStrings.xml><?xml version="1.0" encoding="utf-8"?>
<sst xmlns="http://schemas.openxmlformats.org/spreadsheetml/2006/main" count="281" uniqueCount="174">
  <si>
    <t>Финансовый год</t>
  </si>
  <si>
    <t>Начало</t>
  </si>
  <si>
    <t>Конец</t>
  </si>
  <si>
    <t>Позиция</t>
  </si>
  <si>
    <t>Ставка, $</t>
  </si>
  <si>
    <t>Директор</t>
  </si>
  <si>
    <t>Менеджер по маркетингу</t>
  </si>
  <si>
    <t>Директор по производству</t>
  </si>
  <si>
    <t>Инженер</t>
  </si>
  <si>
    <t>Главный бухгалтер</t>
  </si>
  <si>
    <t>Бухгалтер</t>
  </si>
  <si>
    <t>Лаборант</t>
  </si>
  <si>
    <t>Водитель</t>
  </si>
  <si>
    <t>Производственный персонал</t>
  </si>
  <si>
    <t>Охрана</t>
  </si>
  <si>
    <t>Всего</t>
  </si>
  <si>
    <t>-</t>
  </si>
  <si>
    <t>Административный персонал</t>
  </si>
  <si>
    <t>Рабочие</t>
  </si>
  <si>
    <t>Механик</t>
  </si>
  <si>
    <t>Зав. лабораторией</t>
  </si>
  <si>
    <t>Зав. производством</t>
  </si>
  <si>
    <t>Фонд оплаты труда</t>
  </si>
  <si>
    <t>т/т</t>
  </si>
  <si>
    <t>сухого из сырого</t>
  </si>
  <si>
    <t>Длительность такта</t>
  </si>
  <si>
    <t>Емкость такта</t>
  </si>
  <si>
    <t>т</t>
  </si>
  <si>
    <t>мес.</t>
  </si>
  <si>
    <t>Затраты</t>
  </si>
  <si>
    <t>Обработка почвы</t>
  </si>
  <si>
    <t>Нитраты (33%)</t>
  </si>
  <si>
    <t>Фосфаты (26%)</t>
  </si>
  <si>
    <t>Калиевое удобрение (43%)</t>
  </si>
  <si>
    <t>Удаление корней</t>
  </si>
  <si>
    <t>Защита растений</t>
  </si>
  <si>
    <t>Средства защиты растений</t>
  </si>
  <si>
    <t>Сбор урожая</t>
  </si>
  <si>
    <t>Срезание листьев</t>
  </si>
  <si>
    <t>Транспортировка</t>
  </si>
  <si>
    <t>Ручная сортировка</t>
  </si>
  <si>
    <t>$ на 1 га</t>
  </si>
  <si>
    <t>Транспортировка удобрений</t>
  </si>
  <si>
    <t>Закупка у населения</t>
  </si>
  <si>
    <t>Затраты, $</t>
  </si>
  <si>
    <t>зарплата</t>
  </si>
  <si>
    <t>э/э и другие затраты</t>
  </si>
  <si>
    <t>Агрохозяйство</t>
  </si>
  <si>
    <t>Завод</t>
  </si>
  <si>
    <t>Всего инвестиции</t>
  </si>
  <si>
    <t>Структура продаж</t>
  </si>
  <si>
    <t>$/кг</t>
  </si>
  <si>
    <t>дня</t>
  </si>
  <si>
    <t>Сезон работы завода</t>
  </si>
  <si>
    <t>Рабочих дней в мес.</t>
  </si>
  <si>
    <t>Всего рабочих дней</t>
  </si>
  <si>
    <t>дн./мес.</t>
  </si>
  <si>
    <t>дн.</t>
  </si>
  <si>
    <t>Расчет количества сушилок</t>
  </si>
  <si>
    <t>Кол-во сушилок</t>
  </si>
  <si>
    <t>т/сезон</t>
  </si>
  <si>
    <t>шт.</t>
  </si>
  <si>
    <t>Производительность 1 сушилки</t>
  </si>
  <si>
    <t>дн./сезон</t>
  </si>
  <si>
    <t>Показатель, k$</t>
  </si>
  <si>
    <t>Количество персонала</t>
  </si>
  <si>
    <t>Потребность в персонале - месяцев в год</t>
  </si>
  <si>
    <t>Персонал</t>
  </si>
  <si>
    <t>Коэффициент загрузки мощностей</t>
  </si>
  <si>
    <t>Цена закупки у населения</t>
  </si>
  <si>
    <t>Средняя цена продажи</t>
  </si>
  <si>
    <t>Закупка сырья</t>
  </si>
  <si>
    <t>Затраты завода</t>
  </si>
  <si>
    <t>Себестоимость производства</t>
  </si>
  <si>
    <t>Себестоимость ед.</t>
  </si>
  <si>
    <t>Средняя цена закупки сырого</t>
  </si>
  <si>
    <t>Маржинальность</t>
  </si>
  <si>
    <t>Бенчмарк</t>
  </si>
  <si>
    <t>Текущий</t>
  </si>
  <si>
    <t>Расчет зарат завода</t>
  </si>
  <si>
    <t>Себестоимость реализации</t>
  </si>
  <si>
    <t>Выручка от продаж</t>
  </si>
  <si>
    <t>Валовая прибыль</t>
  </si>
  <si>
    <t>Расчет себестоимости</t>
  </si>
  <si>
    <t>Административные расходы</t>
  </si>
  <si>
    <t>Проценты по кредитам</t>
  </si>
  <si>
    <t>EBITDA</t>
  </si>
  <si>
    <t>EBITDA, %</t>
  </si>
  <si>
    <t>Валовая маржа, %</t>
  </si>
  <si>
    <t>Прибыль до налогов</t>
  </si>
  <si>
    <t>Налог</t>
  </si>
  <si>
    <t>Чистая прибыль</t>
  </si>
  <si>
    <t>Ставка налога на прибыль</t>
  </si>
  <si>
    <t>Амортизация</t>
  </si>
  <si>
    <t>Aygen Mekatronik Sanayi ve Ticaret Ltd. Sti.</t>
  </si>
  <si>
    <t>Koreli Makina Tasarim</t>
  </si>
  <si>
    <t xml:space="preserve">Сушилки электрические </t>
  </si>
  <si>
    <t xml:space="preserve">Устройство пневматической сортировки </t>
  </si>
  <si>
    <t>Линия производственная</t>
  </si>
  <si>
    <t>Производственные помещения (2,500 м2)</t>
  </si>
  <si>
    <t>Ангар (500 м2)</t>
  </si>
  <si>
    <t>Погрузчик электро</t>
  </si>
  <si>
    <t>Проектирование, сертификация, строительство</t>
  </si>
  <si>
    <t>Детали</t>
  </si>
  <si>
    <t>Цена, k$</t>
  </si>
  <si>
    <t>Кол-во</t>
  </si>
  <si>
    <t>Сумма, k$</t>
  </si>
  <si>
    <t>Срок</t>
  </si>
  <si>
    <t>Рентабельность, %</t>
  </si>
  <si>
    <t>Период оплаты покупателей</t>
  </si>
  <si>
    <t>Период отсрочки поставщиков</t>
  </si>
  <si>
    <t>Операционный поток</t>
  </si>
  <si>
    <t>Поступление от покупателей</t>
  </si>
  <si>
    <t>Оплата поставщикам</t>
  </si>
  <si>
    <t>Расходы агрохозяйства</t>
  </si>
  <si>
    <t>Расходы завода</t>
  </si>
  <si>
    <t>Зарплата</t>
  </si>
  <si>
    <t>Инвестиционный поток</t>
  </si>
  <si>
    <t>Финансовый поток</t>
  </si>
  <si>
    <t>Чистый денежный поток</t>
  </si>
  <si>
    <t>Остаток на начало</t>
  </si>
  <si>
    <t>Остаток на конец</t>
  </si>
  <si>
    <t>Покупка оборудования</t>
  </si>
  <si>
    <t>Вложения в строительство</t>
  </si>
  <si>
    <t>Проценты по кредиту</t>
  </si>
  <si>
    <t>Расчет платежей</t>
  </si>
  <si>
    <t>Параметры расчетов с контрагентами</t>
  </si>
  <si>
    <t>Оборачиваемость</t>
  </si>
  <si>
    <t>Дебиторской задолженности</t>
  </si>
  <si>
    <t>Кредиторской задолженности</t>
  </si>
  <si>
    <t>Дебиторская задолженность</t>
  </si>
  <si>
    <t>Прирост</t>
  </si>
  <si>
    <t>Инвестиции собственника</t>
  </si>
  <si>
    <t>Получение кредита</t>
  </si>
  <si>
    <t>Возврат кредита</t>
  </si>
  <si>
    <t>Бюджет прибыли и убытков</t>
  </si>
  <si>
    <t>Бюджет денежных средств</t>
  </si>
  <si>
    <t>Прогнозный баланс</t>
  </si>
  <si>
    <t>Активы</t>
  </si>
  <si>
    <t>Денежные средства</t>
  </si>
  <si>
    <t>Основные средства</t>
  </si>
  <si>
    <t>Капитал</t>
  </si>
  <si>
    <t>Обязательства</t>
  </si>
  <si>
    <t>Кредит</t>
  </si>
  <si>
    <t>Кредиторская задолженность</t>
  </si>
  <si>
    <t>Нераспределенная прибыль</t>
  </si>
  <si>
    <t>Проверка</t>
  </si>
  <si>
    <t>Поступление денег</t>
  </si>
  <si>
    <t>Уставной капитал</t>
  </si>
  <si>
    <t>Налог на прибыль</t>
  </si>
  <si>
    <t>Запасы</t>
  </si>
  <si>
    <t>Показатель, тыс.т</t>
  </si>
  <si>
    <t>Потрачено</t>
  </si>
  <si>
    <t>Отражено</t>
  </si>
  <si>
    <t>Процентная ставка</t>
  </si>
  <si>
    <t>Затраты, k$</t>
  </si>
  <si>
    <t>NPV =</t>
  </si>
  <si>
    <t>IRR =</t>
  </si>
  <si>
    <t>Free Cash Flow</t>
  </si>
  <si>
    <t>Расчетная цена закупки сухого</t>
  </si>
  <si>
    <t>Выход листа</t>
  </si>
  <si>
    <t>Ставка дисконтирования</t>
  </si>
  <si>
    <t>года</t>
  </si>
  <si>
    <t>Коммерческие расходы</t>
  </si>
  <si>
    <t>Процент от выручки</t>
  </si>
  <si>
    <t>Окупаемость</t>
  </si>
  <si>
    <t>Линия по фасовке готовой продукции</t>
  </si>
  <si>
    <t>Raytec Spray мод. S-250 Blueight</t>
  </si>
  <si>
    <t>Закупка сырого листа</t>
  </si>
  <si>
    <t>Поставка сухого листа</t>
  </si>
  <si>
    <t>Земельный участок</t>
  </si>
  <si>
    <t>Лазерная сортировочная машина серии</t>
  </si>
  <si>
    <t> ???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</si>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</sst>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1" formatCode="_(* #,##0_);_(* \(#,##0\);_(* &quot;-&quot;_);_(@_)"/>
    <numFmt numFmtId="164" formatCode="[$-409]mmmm\ d\,\ yyyy;@"/>
    <numFmt numFmtId="165" formatCode="_(* #,##0_);_(* \(#,##0\);_(* &quot;-&quot;??_);_(@_)"/>
    <numFmt numFmtId="166" formatCode="#,##0.0"/>
    <numFmt numFmtId="167" formatCode="_(* #,##0.0_);_(* \(#,##0.0\);_(* &quot;-&quot;_);_(@_)"/>
    <numFmt numFmtId="168" formatCode="0.0"/>
  </numFmts>
  <fonts count="16" x14ac:knownFonts="1">
    <font>
      <sz val="10"/>
      <color theme="1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0"/>
      <name val="Tahoma"/>
      <family val="2"/>
      <charset val="204"/>
    </font>
    <font>
      <i/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color theme="9"/>
      <name val="Tahoma"/>
      <family val="2"/>
      <charset val="204"/>
    </font>
    <font>
      <i/>
      <sz val="10"/>
      <name val="Tahoma"/>
      <family val="2"/>
      <charset val="204"/>
    </font>
    <font>
      <b/>
      <sz val="10"/>
      <color theme="0" tint="-0.14999847407452621"/>
      <name val="Tahoma"/>
      <family val="2"/>
      <charset val="204"/>
    </font>
    <font>
      <sz val="10"/>
      <color theme="0" tint="-0.14999847407452621"/>
      <name val="Tahoma"/>
      <family val="2"/>
      <charset val="204"/>
    </font>
    <font>
      <sz val="10"/>
      <color theme="0" tint="-0.14999847407452621"/>
      <name val="Tahoma"/>
      <family val="2"/>
    </font>
    <font>
      <sz val="8"/>
      <color theme="0" tint="-0.1499984740745262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slantDashDot">
        <color theme="9" tint="-0.24994659260841701"/>
      </top>
      <bottom/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right"/>
    </xf>
    <xf numFmtId="12" fontId="0" fillId="0" borderId="0" xfId="0" applyNumberFormat="1" applyAlignment="1">
      <alignment horizontal="center"/>
    </xf>
    <xf numFmtId="0" fontId="4" fillId="0" borderId="0" xfId="0" applyFont="1" applyAlignment="1">
      <alignment horizontal="left" indent="1"/>
    </xf>
    <xf numFmtId="3" fontId="0" fillId="0" borderId="0" xfId="0" applyNumberFormat="1"/>
    <xf numFmtId="2" fontId="0" fillId="0" borderId="0" xfId="0" applyNumberFormat="1"/>
    <xf numFmtId="9" fontId="0" fillId="0" borderId="0" xfId="0" applyNumberFormat="1"/>
    <xf numFmtId="0" fontId="0" fillId="0" borderId="4" xfId="0" applyBorder="1"/>
    <xf numFmtId="3" fontId="0" fillId="0" borderId="4" xfId="0" applyNumberFormat="1" applyBorder="1"/>
    <xf numFmtId="0" fontId="1" fillId="0" borderId="5" xfId="0" applyFont="1" applyBorder="1"/>
    <xf numFmtId="0" fontId="0" fillId="0" borderId="5" xfId="0" applyBorder="1"/>
    <xf numFmtId="0" fontId="1" fillId="0" borderId="4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applyFill="1" applyBorder="1"/>
    <xf numFmtId="4" fontId="0" fillId="0" borderId="0" xfId="0" applyNumberFormat="1"/>
    <xf numFmtId="9" fontId="0" fillId="0" borderId="0" xfId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1" fontId="0" fillId="0" borderId="0" xfId="0" applyNumberFormat="1"/>
    <xf numFmtId="1" fontId="0" fillId="0" borderId="0" xfId="0" applyNumberFormat="1"/>
    <xf numFmtId="0" fontId="10" fillId="0" borderId="0" xfId="0" applyFont="1"/>
    <xf numFmtId="0" fontId="1" fillId="0" borderId="6" xfId="0" applyFont="1" applyBorder="1"/>
    <xf numFmtId="0" fontId="0" fillId="2" borderId="0" xfId="0" applyFill="1" applyBorder="1"/>
    <xf numFmtId="3" fontId="0" fillId="2" borderId="0" xfId="0" applyNumberFormat="1" applyFill="1"/>
    <xf numFmtId="0" fontId="0" fillId="4" borderId="7" xfId="0" applyFill="1" applyBorder="1"/>
    <xf numFmtId="3" fontId="0" fillId="4" borderId="7" xfId="0" applyNumberFormat="1" applyFill="1" applyBorder="1"/>
    <xf numFmtId="0" fontId="0" fillId="4" borderId="0" xfId="0" applyFill="1"/>
    <xf numFmtId="3" fontId="0" fillId="4" borderId="0" xfId="0" applyNumberFormat="1" applyFill="1"/>
    <xf numFmtId="0" fontId="0" fillId="6" borderId="0" xfId="0" applyFill="1"/>
    <xf numFmtId="3" fontId="0" fillId="6" borderId="0" xfId="0" applyNumberFormat="1" applyFill="1"/>
    <xf numFmtId="0" fontId="4" fillId="6" borderId="0" xfId="0" applyFont="1" applyFill="1" applyAlignment="1">
      <alignment horizontal="left" indent="1"/>
    </xf>
    <xf numFmtId="0" fontId="4" fillId="6" borderId="4" xfId="0" applyFont="1" applyFill="1" applyBorder="1" applyAlignment="1">
      <alignment horizontal="left" indent="1"/>
    </xf>
    <xf numFmtId="0" fontId="0" fillId="6" borderId="4" xfId="0" applyFill="1" applyBorder="1"/>
    <xf numFmtId="3" fontId="0" fillId="6" borderId="4" xfId="0" applyNumberFormat="1" applyFill="1" applyBorder="1"/>
    <xf numFmtId="0" fontId="0" fillId="0" borderId="1" xfId="0" applyFill="1" applyBorder="1"/>
    <xf numFmtId="9" fontId="0" fillId="0" borderId="1" xfId="1" applyFont="1" applyBorder="1"/>
    <xf numFmtId="0" fontId="1" fillId="2" borderId="8" xfId="0" applyFont="1" applyFill="1" applyBorder="1"/>
    <xf numFmtId="41" fontId="1" fillId="2" borderId="8" xfId="0" applyNumberFormat="1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41" fontId="1" fillId="2" borderId="1" xfId="0" applyNumberFormat="1" applyFont="1" applyFill="1" applyBorder="1" applyAlignment="1">
      <alignment horizontal="center"/>
    </xf>
    <xf numFmtId="41" fontId="0" fillId="0" borderId="1" xfId="0" applyNumberFormat="1" applyBorder="1"/>
    <xf numFmtId="0" fontId="0" fillId="0" borderId="9" xfId="0" applyFill="1" applyBorder="1"/>
    <xf numFmtId="9" fontId="0" fillId="0" borderId="9" xfId="1" applyFont="1" applyBorder="1"/>
    <xf numFmtId="0" fontId="0" fillId="0" borderId="1" xfId="0" applyBorder="1" applyAlignment="1">
      <alignment horizontal="left" indent="1"/>
    </xf>
    <xf numFmtId="41" fontId="0" fillId="0" borderId="1" xfId="0" applyNumberFormat="1" applyFill="1" applyBorder="1"/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6" fontId="1" fillId="2" borderId="8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41" fontId="1" fillId="0" borderId="4" xfId="0" applyNumberFormat="1" applyFont="1" applyBorder="1"/>
    <xf numFmtId="0" fontId="0" fillId="0" borderId="4" xfId="0" applyBorder="1" applyAlignment="1">
      <alignment horizontal="right"/>
    </xf>
    <xf numFmtId="6" fontId="0" fillId="0" borderId="4" xfId="0" applyNumberFormat="1" applyBorder="1"/>
    <xf numFmtId="9" fontId="0" fillId="0" borderId="4" xfId="0" applyNumberFormat="1" applyBorder="1"/>
    <xf numFmtId="0" fontId="6" fillId="0" borderId="0" xfId="0" applyFont="1"/>
    <xf numFmtId="0" fontId="11" fillId="0" borderId="0" xfId="0" applyFont="1" applyAlignment="1">
      <alignment horizontal="left" indent="1"/>
    </xf>
    <xf numFmtId="0" fontId="13" fillId="0" borderId="0" xfId="0" applyFont="1"/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right"/>
    </xf>
    <xf numFmtId="167" fontId="12" fillId="2" borderId="2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167" fontId="13" fillId="2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left" indent="1"/>
    </xf>
    <xf numFmtId="3" fontId="13" fillId="0" borderId="0" xfId="0" applyNumberFormat="1" applyFont="1"/>
    <xf numFmtId="0" fontId="13" fillId="0" borderId="1" xfId="0" applyFont="1" applyBorder="1" applyAlignment="1">
      <alignment horizontal="left" indent="1"/>
    </xf>
    <xf numFmtId="167" fontId="13" fillId="0" borderId="1" xfId="0" applyNumberFormat="1" applyFont="1" applyBorder="1"/>
    <xf numFmtId="0" fontId="14" fillId="2" borderId="7" xfId="0" applyFont="1" applyFill="1" applyBorder="1"/>
    <xf numFmtId="3" fontId="14" fillId="2" borderId="7" xfId="0" applyNumberFormat="1" applyFont="1" applyFill="1" applyBorder="1"/>
    <xf numFmtId="0" fontId="14" fillId="2" borderId="0" xfId="0" applyFont="1" applyFill="1"/>
    <xf numFmtId="3" fontId="14" fillId="2" borderId="0" xfId="0" applyNumberFormat="1" applyFont="1" applyFill="1"/>
    <xf numFmtId="0" fontId="14" fillId="4" borderId="7" xfId="0" applyFont="1" applyFill="1" applyBorder="1"/>
    <xf numFmtId="3" fontId="14" fillId="4" borderId="7" xfId="0" applyNumberFormat="1" applyFont="1" applyFill="1" applyBorder="1"/>
    <xf numFmtId="0" fontId="14" fillId="4" borderId="0" xfId="0" applyFont="1" applyFill="1"/>
    <xf numFmtId="3" fontId="14" fillId="4" borderId="0" xfId="0" applyNumberFormat="1" applyFont="1" applyFill="1"/>
    <xf numFmtId="0" fontId="14" fillId="5" borderId="7" xfId="0" applyFont="1" applyFill="1" applyBorder="1"/>
    <xf numFmtId="3" fontId="14" fillId="5" borderId="7" xfId="0" applyNumberFormat="1" applyFont="1" applyFill="1" applyBorder="1"/>
    <xf numFmtId="168" fontId="0" fillId="0" borderId="0" xfId="0" applyNumberFormat="1"/>
    <xf numFmtId="168" fontId="1" fillId="0" borderId="0" xfId="0" applyNumberFormat="1" applyFont="1"/>
    <xf numFmtId="10" fontId="0" fillId="0" borderId="0" xfId="0" applyNumberFormat="1"/>
    <xf numFmtId="0" fontId="0" fillId="0" borderId="1" xfId="0" applyFill="1" applyBorder="1" applyAlignment="1">
      <alignment horizontal="left" indent="1"/>
    </xf>
    <xf numFmtId="0" fontId="14" fillId="0" borderId="0" xfId="0" applyFont="1" applyAlignment="1">
      <alignment horizontal="right"/>
    </xf>
    <xf numFmtId="164" fontId="1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8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activeCell="A17" sqref="A17:B21"/>
    </sheetView>
  </sheetViews>
  <sheetFormatPr defaultRowHeight="12.75" x14ac:dyDescent="0.2"/>
  <cols>
    <col min="1" max="1" width="28.7109375" bestFit="1" customWidth="1"/>
    <col min="2" max="2" width="10.42578125" bestFit="1" customWidth="1"/>
    <col min="3" max="6" width="11" customWidth="1"/>
  </cols>
  <sheetData>
    <row r="1" spans="1:6" x14ac:dyDescent="0.2">
      <c r="A1" s="2" t="s">
        <v>0</v>
      </c>
      <c r="B1" s="2">
        <v>2019</v>
      </c>
      <c r="C1" s="2">
        <v>2020</v>
      </c>
      <c r="D1" s="2">
        <v>2021</v>
      </c>
      <c r="E1" s="2">
        <v>2022</v>
      </c>
      <c r="F1" s="2">
        <v>2023</v>
      </c>
    </row>
    <row r="2" spans="1:6" x14ac:dyDescent="0.2">
      <c r="A2" s="110" t="s">
        <v>1</v>
      </c>
      <c r="B2" s="111">
        <v>43617</v>
      </c>
      <c r="C2" s="111">
        <f>B2+366</f>
        <v>43983</v>
      </c>
      <c r="D2" s="111">
        <f t="shared" ref="D2:F3" si="0">C2+365</f>
        <v>44348</v>
      </c>
      <c r="E2" s="111">
        <f t="shared" si="0"/>
        <v>44713</v>
      </c>
      <c r="F2" s="111">
        <f t="shared" si="0"/>
        <v>45078</v>
      </c>
    </row>
    <row r="3" spans="1:6" x14ac:dyDescent="0.2">
      <c r="A3" s="110" t="s">
        <v>2</v>
      </c>
      <c r="B3" s="111">
        <v>43982</v>
      </c>
      <c r="C3" s="111">
        <f>B3+366</f>
        <v>44348</v>
      </c>
      <c r="D3" s="111">
        <f t="shared" si="0"/>
        <v>44713</v>
      </c>
      <c r="E3" s="111">
        <f t="shared" si="0"/>
        <v>45078</v>
      </c>
      <c r="F3" s="111">
        <f t="shared" si="0"/>
        <v>45443</v>
      </c>
    </row>
    <row r="5" spans="1:6" ht="13.5" thickBot="1" x14ac:dyDescent="0.25">
      <c r="A5" s="23" t="s">
        <v>160</v>
      </c>
      <c r="B5" s="24"/>
      <c r="C5" s="24"/>
    </row>
    <row r="6" spans="1:6" x14ac:dyDescent="0.2">
      <c r="A6" s="83" t="s">
        <v>24</v>
      </c>
      <c r="B6" s="82">
        <v>0.2</v>
      </c>
      <c r="C6" s="82" t="s">
        <v>23</v>
      </c>
    </row>
    <row r="8" spans="1:6" ht="13.5" thickBot="1" x14ac:dyDescent="0.25">
      <c r="A8" s="23" t="s">
        <v>58</v>
      </c>
      <c r="B8" s="24"/>
      <c r="C8" s="24"/>
    </row>
    <row r="9" spans="1:6" x14ac:dyDescent="0.2">
      <c r="A9" t="s">
        <v>25</v>
      </c>
      <c r="B9">
        <v>2</v>
      </c>
      <c r="C9" t="s">
        <v>52</v>
      </c>
    </row>
    <row r="10" spans="1:6" x14ac:dyDescent="0.2">
      <c r="A10" t="s">
        <v>26</v>
      </c>
      <c r="B10">
        <v>5</v>
      </c>
      <c r="C10" t="s">
        <v>27</v>
      </c>
    </row>
    <row r="11" spans="1:6" x14ac:dyDescent="0.2">
      <c r="A11" t="s">
        <v>53</v>
      </c>
      <c r="B11">
        <v>8</v>
      </c>
      <c r="C11" t="s">
        <v>28</v>
      </c>
    </row>
    <row r="12" spans="1:6" x14ac:dyDescent="0.2">
      <c r="A12" t="s">
        <v>54</v>
      </c>
      <c r="B12">
        <v>25</v>
      </c>
      <c r="C12" t="s">
        <v>56</v>
      </c>
    </row>
    <row r="13" spans="1:6" x14ac:dyDescent="0.2">
      <c r="A13" t="s">
        <v>55</v>
      </c>
      <c r="B13">
        <f>B11*B12</f>
        <v>200</v>
      </c>
      <c r="C13" t="s">
        <v>63</v>
      </c>
    </row>
    <row r="14" spans="1:6" x14ac:dyDescent="0.2">
      <c r="A14" t="s">
        <v>62</v>
      </c>
      <c r="B14">
        <f>B13/B9*B10</f>
        <v>500</v>
      </c>
      <c r="C14" t="s">
        <v>60</v>
      </c>
    </row>
    <row r="15" spans="1:6" x14ac:dyDescent="0.2">
      <c r="A15" s="21" t="s">
        <v>59</v>
      </c>
      <c r="B15" s="22">
        <f>MAX(prod!B2:F2)/B6/B14</f>
        <v>10</v>
      </c>
      <c r="C15" s="21" t="s">
        <v>61</v>
      </c>
    </row>
    <row r="17" spans="1:3" ht="13.5" thickBot="1" x14ac:dyDescent="0.25">
      <c r="A17" s="23" t="s">
        <v>50</v>
      </c>
      <c r="B17" s="24"/>
      <c r="C17" s="24"/>
    </row>
    <row r="18" spans="1:3" x14ac:dyDescent="0.2">
      <c r="A18" s="20">
        <v>0.4</v>
      </c>
      <c r="B18" s="19">
        <v>5.5</v>
      </c>
      <c r="C18" t="s">
        <v>51</v>
      </c>
    </row>
    <row r="19" spans="1:3" x14ac:dyDescent="0.2">
      <c r="A19" s="20">
        <v>0.2</v>
      </c>
      <c r="B19" s="19">
        <v>6.5</v>
      </c>
      <c r="C19" t="s">
        <v>51</v>
      </c>
    </row>
    <row r="20" spans="1:3" x14ac:dyDescent="0.2">
      <c r="A20" s="20">
        <v>0.4</v>
      </c>
      <c r="B20" s="19">
        <v>2.5</v>
      </c>
      <c r="C20" t="s">
        <v>51</v>
      </c>
    </row>
    <row r="21" spans="1:3" x14ac:dyDescent="0.2">
      <c r="A21" s="21" t="s">
        <v>70</v>
      </c>
      <c r="B21" s="21">
        <f>SUMPRODUCT(A18:A20,B18:B20)</f>
        <v>4.5</v>
      </c>
      <c r="C21" s="21" t="s">
        <v>51</v>
      </c>
    </row>
    <row r="23" spans="1:3" ht="13.5" thickBot="1" x14ac:dyDescent="0.25">
      <c r="A23" s="23" t="s">
        <v>69</v>
      </c>
      <c r="B23" s="24"/>
      <c r="C23" s="24"/>
    </row>
    <row r="24" spans="1:3" x14ac:dyDescent="0.2">
      <c r="A24" t="s">
        <v>75</v>
      </c>
      <c r="B24">
        <v>0.5</v>
      </c>
      <c r="C24" s="29" t="s">
        <v>51</v>
      </c>
    </row>
    <row r="25" spans="1:3" x14ac:dyDescent="0.2">
      <c r="A25" s="17" t="s">
        <v>159</v>
      </c>
      <c r="B25">
        <f>B24/B6</f>
        <v>2.5</v>
      </c>
      <c r="C25" s="29" t="s">
        <v>51</v>
      </c>
    </row>
    <row r="26" spans="1:3" x14ac:dyDescent="0.2">
      <c r="A26" t="s">
        <v>76</v>
      </c>
      <c r="B26" s="31">
        <f>(B21-B25)/B21</f>
        <v>0.44444444444444442</v>
      </c>
    </row>
    <row r="28" spans="1:3" ht="13.5" thickBot="1" x14ac:dyDescent="0.25">
      <c r="A28" s="23" t="s">
        <v>79</v>
      </c>
      <c r="B28" s="24"/>
      <c r="C28" s="24"/>
    </row>
    <row r="29" spans="1:3" x14ac:dyDescent="0.2">
      <c r="B29" t="s">
        <v>77</v>
      </c>
      <c r="C29" t="s">
        <v>78</v>
      </c>
    </row>
    <row r="30" spans="1:3" x14ac:dyDescent="0.2">
      <c r="A30" s="46" t="s">
        <v>59</v>
      </c>
      <c r="B30" s="47">
        <v>7</v>
      </c>
      <c r="C30" s="47">
        <f>B15</f>
        <v>10</v>
      </c>
    </row>
    <row r="31" spans="1:3" x14ac:dyDescent="0.2">
      <c r="A31" s="46" t="s">
        <v>44</v>
      </c>
      <c r="B31" s="47">
        <v>120000</v>
      </c>
      <c r="C31" s="47">
        <f>C30/B30*B31</f>
        <v>171428.57142857142</v>
      </c>
    </row>
    <row r="32" spans="1:3" x14ac:dyDescent="0.2">
      <c r="A32" s="48" t="s">
        <v>45</v>
      </c>
      <c r="B32" s="47"/>
      <c r="C32" s="47">
        <f>staff!G41</f>
        <v>124380</v>
      </c>
    </row>
    <row r="33" spans="1:3" x14ac:dyDescent="0.2">
      <c r="A33" s="49" t="s">
        <v>46</v>
      </c>
      <c r="B33" s="50"/>
      <c r="C33" s="51">
        <f>C31-C32</f>
        <v>47048.57142857142</v>
      </c>
    </row>
    <row r="35" spans="1:3" x14ac:dyDescent="0.2">
      <c r="A35" t="s">
        <v>92</v>
      </c>
      <c r="B35" s="20">
        <v>0.15</v>
      </c>
    </row>
    <row r="36" spans="1:3" x14ac:dyDescent="0.2">
      <c r="A36" t="s">
        <v>154</v>
      </c>
      <c r="B36" s="20">
        <v>0.2</v>
      </c>
    </row>
    <row r="38" spans="1:3" ht="13.5" thickBot="1" x14ac:dyDescent="0.25">
      <c r="A38" s="23" t="s">
        <v>126</v>
      </c>
      <c r="B38" s="24"/>
      <c r="C38" s="24"/>
    </row>
    <row r="39" spans="1:3" x14ac:dyDescent="0.2">
      <c r="A39" t="s">
        <v>109</v>
      </c>
      <c r="B39">
        <v>15</v>
      </c>
      <c r="C39" t="s">
        <v>57</v>
      </c>
    </row>
    <row r="40" spans="1:3" x14ac:dyDescent="0.2">
      <c r="A40" t="s">
        <v>110</v>
      </c>
      <c r="B40">
        <v>21</v>
      </c>
      <c r="C40" t="s">
        <v>57</v>
      </c>
    </row>
    <row r="42" spans="1:3" ht="13.5" thickBot="1" x14ac:dyDescent="0.25">
      <c r="A42" s="23" t="s">
        <v>163</v>
      </c>
      <c r="B42" s="24"/>
      <c r="C42" s="24"/>
    </row>
    <row r="43" spans="1:3" x14ac:dyDescent="0.2">
      <c r="A43" t="s">
        <v>164</v>
      </c>
      <c r="B43" s="108">
        <v>0.04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E8" sqref="E8"/>
    </sheetView>
  </sheetViews>
  <sheetFormatPr defaultRowHeight="12.75" x14ac:dyDescent="0.2"/>
  <cols>
    <col min="1" max="1" width="26.7109375" bestFit="1" customWidth="1"/>
  </cols>
  <sheetData>
    <row r="1" spans="1:6" x14ac:dyDescent="0.2">
      <c r="A1" s="3" t="s">
        <v>125</v>
      </c>
    </row>
    <row r="3" spans="1:6" x14ac:dyDescent="0.2">
      <c r="A3" s="39" t="s">
        <v>127</v>
      </c>
      <c r="B3" s="39"/>
    </row>
    <row r="4" spans="1:6" x14ac:dyDescent="0.2">
      <c r="A4" t="s">
        <v>128</v>
      </c>
      <c r="B4" s="37">
        <f>365/input!B39</f>
        <v>24.333333333333332</v>
      </c>
    </row>
    <row r="5" spans="1:6" x14ac:dyDescent="0.2">
      <c r="A5" t="s">
        <v>129</v>
      </c>
      <c r="B5" s="37">
        <f>365/input!B40</f>
        <v>17.38095238095238</v>
      </c>
    </row>
    <row r="6" spans="1:6" ht="13.5" thickBot="1" x14ac:dyDescent="0.25"/>
    <row r="7" spans="1:6" ht="13.5" thickBot="1" x14ac:dyDescent="0.25">
      <c r="A7" s="13" t="s">
        <v>64</v>
      </c>
      <c r="B7" s="14">
        <v>2019</v>
      </c>
      <c r="C7" s="14">
        <v>2020</v>
      </c>
      <c r="D7" s="14">
        <v>2021</v>
      </c>
      <c r="E7" s="14">
        <v>2022</v>
      </c>
      <c r="F7" s="14">
        <v>2023</v>
      </c>
    </row>
    <row r="8" spans="1:6" x14ac:dyDescent="0.2">
      <c r="A8" s="40" t="s">
        <v>81</v>
      </c>
      <c r="B8" s="41">
        <f>'PL-CF-BS'!B3</f>
        <v>3150</v>
      </c>
      <c r="C8" s="41">
        <f>'PL-CF-BS'!C3</f>
        <v>4500</v>
      </c>
      <c r="D8" s="41">
        <f>'PL-CF-BS'!D3</f>
        <v>4500</v>
      </c>
      <c r="E8" s="41">
        <f>'PL-CF-BS'!E3</f>
        <v>4500</v>
      </c>
      <c r="F8" s="41">
        <f>'PL-CF-BS'!F3</f>
        <v>4500</v>
      </c>
    </row>
    <row r="9" spans="1:6" x14ac:dyDescent="0.2">
      <c r="A9" s="40" t="s">
        <v>130</v>
      </c>
      <c r="B9" s="41">
        <f>B8/$B$4</f>
        <v>129.45205479452056</v>
      </c>
      <c r="C9" s="41">
        <f>C8/$B$4</f>
        <v>184.93150684931507</v>
      </c>
      <c r="D9" s="41">
        <f t="shared" ref="D9:F9" si="0">D8/$B$4</f>
        <v>184.93150684931507</v>
      </c>
      <c r="E9" s="41">
        <f t="shared" si="0"/>
        <v>184.93150684931507</v>
      </c>
      <c r="F9" s="41">
        <f t="shared" si="0"/>
        <v>184.93150684931507</v>
      </c>
    </row>
    <row r="10" spans="1:6" x14ac:dyDescent="0.2">
      <c r="A10" s="40" t="s">
        <v>131</v>
      </c>
      <c r="B10" s="41">
        <f>B9</f>
        <v>129.45205479452056</v>
      </c>
      <c r="C10" s="41">
        <f>C9-B9</f>
        <v>55.479452054794507</v>
      </c>
      <c r="D10" s="41">
        <f t="shared" ref="D10:F10" si="1">D9-C9</f>
        <v>0</v>
      </c>
      <c r="E10" s="41">
        <f t="shared" si="1"/>
        <v>0</v>
      </c>
      <c r="F10" s="41">
        <f t="shared" si="1"/>
        <v>0</v>
      </c>
    </row>
    <row r="11" spans="1:6" ht="13.5" thickBot="1" x14ac:dyDescent="0.25">
      <c r="A11" s="40" t="s">
        <v>147</v>
      </c>
      <c r="B11" s="41">
        <f>B8-B10</f>
        <v>3020.5479452054797</v>
      </c>
      <c r="C11" s="41">
        <f t="shared" ref="C11:F11" si="2">C8-C10</f>
        <v>4444.5205479452052</v>
      </c>
      <c r="D11" s="41">
        <f t="shared" si="2"/>
        <v>4500</v>
      </c>
      <c r="E11" s="41">
        <f t="shared" si="2"/>
        <v>4500</v>
      </c>
      <c r="F11" s="41">
        <f t="shared" si="2"/>
        <v>4500</v>
      </c>
    </row>
    <row r="12" spans="1:6" x14ac:dyDescent="0.2">
      <c r="A12" s="42" t="s">
        <v>43</v>
      </c>
      <c r="B12" s="43">
        <f>prod!B2/input!$B$6*input!$B$24</f>
        <v>1750</v>
      </c>
      <c r="C12" s="43">
        <f>prod!C2/input!$B$6*input!$B$24</f>
        <v>2500</v>
      </c>
      <c r="D12" s="43">
        <f>prod!D2/input!$B$6*input!$B$24</f>
        <v>2500</v>
      </c>
      <c r="E12" s="43">
        <f>prod!E2/input!$B$6*input!$B$24</f>
        <v>2500</v>
      </c>
      <c r="F12" s="43">
        <f>prod!F2/input!$B$6*input!$B$24</f>
        <v>2500</v>
      </c>
    </row>
    <row r="13" spans="1:6" x14ac:dyDescent="0.2">
      <c r="A13" s="44" t="s">
        <v>144</v>
      </c>
      <c r="B13" s="45">
        <f>B12/$B$5</f>
        <v>100.68493150684932</v>
      </c>
      <c r="C13" s="45">
        <f t="shared" ref="C13:F13" si="3">C12/$B$5</f>
        <v>143.83561643835617</v>
      </c>
      <c r="D13" s="45">
        <f t="shared" si="3"/>
        <v>143.83561643835617</v>
      </c>
      <c r="E13" s="45">
        <f t="shared" si="3"/>
        <v>143.83561643835617</v>
      </c>
      <c r="F13" s="45">
        <f t="shared" si="3"/>
        <v>143.83561643835617</v>
      </c>
    </row>
    <row r="14" spans="1:6" x14ac:dyDescent="0.2">
      <c r="A14" s="44" t="s">
        <v>131</v>
      </c>
      <c r="B14" s="45">
        <f>B13</f>
        <v>100.68493150684932</v>
      </c>
      <c r="C14" s="45">
        <f>C13-B13</f>
        <v>43.150684931506845</v>
      </c>
      <c r="D14" s="45">
        <f t="shared" ref="D14" si="4">D13-C13</f>
        <v>0</v>
      </c>
      <c r="E14" s="45">
        <f t="shared" ref="E14" si="5">E13-D13</f>
        <v>0</v>
      </c>
      <c r="F14" s="45">
        <f t="shared" ref="F14" si="6">F13-E13</f>
        <v>0</v>
      </c>
    </row>
    <row r="15" spans="1:6" ht="13.5" thickBot="1" x14ac:dyDescent="0.25">
      <c r="A15" s="44" t="s">
        <v>113</v>
      </c>
      <c r="B15" s="45">
        <f>B12-B14</f>
        <v>1649.3150684931506</v>
      </c>
      <c r="C15" s="45">
        <f t="shared" ref="C15:F15" si="7">C12-C14</f>
        <v>2456.8493150684931</v>
      </c>
      <c r="D15" s="45">
        <f t="shared" si="7"/>
        <v>2500</v>
      </c>
      <c r="E15" s="45">
        <f t="shared" si="7"/>
        <v>2500</v>
      </c>
      <c r="F15" s="45">
        <f t="shared" si="7"/>
        <v>2500</v>
      </c>
    </row>
    <row r="16" spans="1:6" x14ac:dyDescent="0.2">
      <c r="A16" s="96" t="s">
        <v>30</v>
      </c>
      <c r="B16" s="97">
        <f>OPEX!C4/1000</f>
        <v>0</v>
      </c>
      <c r="C16" s="97">
        <f>OPEX!D4/1000</f>
        <v>0</v>
      </c>
      <c r="D16" s="97">
        <f>OPEX!E4/1000</f>
        <v>0</v>
      </c>
      <c r="E16" s="97">
        <f>OPEX!F4/1000</f>
        <v>0</v>
      </c>
      <c r="F16" s="97">
        <f>OPEX!G4/1000</f>
        <v>0</v>
      </c>
    </row>
    <row r="17" spans="1:6" x14ac:dyDescent="0.2">
      <c r="A17" s="98" t="s">
        <v>35</v>
      </c>
      <c r="B17" s="99">
        <f>OPEX!C10/1000</f>
        <v>0</v>
      </c>
      <c r="C17" s="99">
        <f>OPEX!D10/1000</f>
        <v>0</v>
      </c>
      <c r="D17" s="99">
        <f>OPEX!E10/1000</f>
        <v>0</v>
      </c>
      <c r="E17" s="99">
        <f>OPEX!F10/1000</f>
        <v>0</v>
      </c>
      <c r="F17" s="99">
        <f>OPEX!G10/1000</f>
        <v>0</v>
      </c>
    </row>
    <row r="18" spans="1:6" ht="13.5" thickBot="1" x14ac:dyDescent="0.25">
      <c r="A18" s="98" t="s">
        <v>152</v>
      </c>
      <c r="B18" s="99">
        <f>SUM(B16:B17)</f>
        <v>0</v>
      </c>
      <c r="C18" s="99">
        <f t="shared" ref="C18:F18" si="8">SUM(C16:C17)</f>
        <v>0</v>
      </c>
      <c r="D18" s="99">
        <f t="shared" si="8"/>
        <v>0</v>
      </c>
      <c r="E18" s="99">
        <f t="shared" si="8"/>
        <v>0</v>
      </c>
      <c r="F18" s="99">
        <f t="shared" si="8"/>
        <v>0</v>
      </c>
    </row>
    <row r="19" spans="1:6" x14ac:dyDescent="0.2">
      <c r="A19" s="100" t="s">
        <v>30</v>
      </c>
      <c r="B19" s="101">
        <f>OPEX!C29/1000</f>
        <v>0</v>
      </c>
      <c r="C19" s="101">
        <f>OPEX!D29/1000</f>
        <v>0</v>
      </c>
      <c r="D19" s="101">
        <f>OPEX!E29/1000</f>
        <v>0</v>
      </c>
      <c r="E19" s="101">
        <f>OPEX!F29/1000</f>
        <v>0</v>
      </c>
      <c r="F19" s="101">
        <f>OPEX!G29/1000</f>
        <v>0</v>
      </c>
    </row>
    <row r="20" spans="1:6" x14ac:dyDescent="0.2">
      <c r="A20" s="102" t="s">
        <v>35</v>
      </c>
      <c r="B20" s="103">
        <f>OPEX!C30/1000</f>
        <v>0</v>
      </c>
      <c r="C20" s="103">
        <f>OPEX!D30/1000</f>
        <v>0</v>
      </c>
      <c r="D20" s="103">
        <f>OPEX!E30/1000</f>
        <v>0</v>
      </c>
      <c r="E20" s="103">
        <f>OPEX!F30/1000</f>
        <v>0</v>
      </c>
      <c r="F20" s="103">
        <f>OPEX!G30/1000</f>
        <v>0</v>
      </c>
    </row>
    <row r="21" spans="1:6" ht="13.5" thickBot="1" x14ac:dyDescent="0.25">
      <c r="A21" s="102" t="s">
        <v>153</v>
      </c>
      <c r="B21" s="103">
        <f>SUM(B19:B20)</f>
        <v>0</v>
      </c>
      <c r="C21" s="103">
        <f t="shared" ref="C21:F21" si="9">SUM(C19:C20)</f>
        <v>0</v>
      </c>
      <c r="D21" s="103">
        <f t="shared" si="9"/>
        <v>0</v>
      </c>
      <c r="E21" s="103">
        <f t="shared" si="9"/>
        <v>0</v>
      </c>
      <c r="F21" s="103">
        <f t="shared" si="9"/>
        <v>0</v>
      </c>
    </row>
    <row r="22" spans="1:6" x14ac:dyDescent="0.2">
      <c r="A22" s="104" t="s">
        <v>150</v>
      </c>
      <c r="B22" s="105">
        <f>B18</f>
        <v>0</v>
      </c>
      <c r="C22" s="105">
        <f>B22+C18-C21</f>
        <v>0</v>
      </c>
      <c r="D22" s="105">
        <f>C22+D18-D21</f>
        <v>0</v>
      </c>
      <c r="E22" s="105">
        <f>D22+E18-E21</f>
        <v>0</v>
      </c>
      <c r="F22" s="105">
        <f>E22+F18-F21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C18" sqref="C18"/>
    </sheetView>
  </sheetViews>
  <sheetFormatPr defaultRowHeight="12.75" x14ac:dyDescent="0.2"/>
  <cols>
    <col min="1" max="1" width="19.42578125" customWidth="1"/>
  </cols>
  <sheetData>
    <row r="1" spans="1:6" ht="13.5" thickBot="1" x14ac:dyDescent="0.25">
      <c r="A1" s="13" t="s">
        <v>151</v>
      </c>
      <c r="B1" s="14">
        <v>2019</v>
      </c>
      <c r="C1" s="14">
        <v>2020</v>
      </c>
      <c r="D1" s="14">
        <v>2021</v>
      </c>
      <c r="E1" s="14">
        <v>2022</v>
      </c>
      <c r="F1" s="14">
        <v>2023</v>
      </c>
    </row>
    <row r="2" spans="1:6" x14ac:dyDescent="0.2">
      <c r="A2" t="s">
        <v>169</v>
      </c>
      <c r="B2" s="36">
        <v>700</v>
      </c>
      <c r="C2" s="36">
        <v>1000</v>
      </c>
      <c r="D2" s="36">
        <v>1000</v>
      </c>
      <c r="E2" s="36">
        <v>1000</v>
      </c>
      <c r="F2" s="36">
        <v>1000</v>
      </c>
    </row>
    <row r="3" spans="1:6" x14ac:dyDescent="0.2">
      <c r="A3" s="25" t="s">
        <v>15</v>
      </c>
      <c r="B3" s="78">
        <f>SUM(B2:B2)</f>
        <v>700</v>
      </c>
      <c r="C3" s="78">
        <f>SUM(C2:C2)</f>
        <v>1000</v>
      </c>
      <c r="D3" s="78">
        <f>SUM(D2:D2)</f>
        <v>1000</v>
      </c>
      <c r="E3" s="78">
        <f>SUM(E2:E2)</f>
        <v>1000</v>
      </c>
      <c r="F3" s="78">
        <f>SUM(F2:F2)</f>
        <v>1000</v>
      </c>
    </row>
    <row r="7" spans="1:6" x14ac:dyDescent="0.2">
      <c r="A7" t="s">
        <v>168</v>
      </c>
      <c r="B7" s="36">
        <f>B8/input!$B$6</f>
        <v>3500</v>
      </c>
      <c r="C7" s="36">
        <f>C8/input!$B$6</f>
        <v>5000</v>
      </c>
      <c r="D7" s="36">
        <f>D8/input!$B$6</f>
        <v>5000</v>
      </c>
      <c r="E7" s="36">
        <f>E8/input!$B$6</f>
        <v>5000</v>
      </c>
      <c r="F7" s="36">
        <f>F8/input!$B$6</f>
        <v>5000</v>
      </c>
    </row>
    <row r="8" spans="1:6" x14ac:dyDescent="0.2">
      <c r="A8" t="s">
        <v>169</v>
      </c>
      <c r="B8" s="36">
        <f>B3</f>
        <v>700</v>
      </c>
      <c r="C8" s="36">
        <f t="shared" ref="C8:F8" si="0">C3</f>
        <v>1000</v>
      </c>
      <c r="D8" s="36">
        <f t="shared" si="0"/>
        <v>1000</v>
      </c>
      <c r="E8" s="36">
        <f t="shared" si="0"/>
        <v>1000</v>
      </c>
      <c r="F8" s="36">
        <f t="shared" si="0"/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N58"/>
  <sheetViews>
    <sheetView topLeftCell="A19" workbookViewId="0">
      <selection activeCell="J41" sqref="J41:N56"/>
    </sheetView>
  </sheetViews>
  <sheetFormatPr defaultRowHeight="12.75" outlineLevelRow="1" x14ac:dyDescent="0.2"/>
  <cols>
    <col min="1" max="1" width="29.85546875" bestFit="1" customWidth="1"/>
    <col min="2" max="2" width="10" style="1" bestFit="1" customWidth="1"/>
    <col min="3" max="7" width="9.140625" style="1"/>
    <col min="8" max="8" width="3.28515625" customWidth="1"/>
    <col min="9" max="9" width="26.140625" bestFit="1" customWidth="1"/>
  </cols>
  <sheetData>
    <row r="1" spans="1:7" ht="13.5" thickBot="1" x14ac:dyDescent="0.25">
      <c r="A1" t="s">
        <v>65</v>
      </c>
    </row>
    <row r="2" spans="1:7" ht="13.5" thickBot="1" x14ac:dyDescent="0.25">
      <c r="A2" s="13" t="s">
        <v>3</v>
      </c>
      <c r="B2" s="14" t="s">
        <v>4</v>
      </c>
      <c r="C2" s="14">
        <v>2019</v>
      </c>
      <c r="D2" s="14">
        <v>2020</v>
      </c>
      <c r="E2" s="14">
        <v>2021</v>
      </c>
      <c r="F2" s="14">
        <v>2022</v>
      </c>
      <c r="G2" s="14">
        <v>2023</v>
      </c>
    </row>
    <row r="3" spans="1:7" s="3" customFormat="1" ht="13.5" thickBot="1" x14ac:dyDescent="0.25">
      <c r="A3" s="9" t="s">
        <v>15</v>
      </c>
      <c r="B3" s="10"/>
      <c r="C3" s="10">
        <f t="shared" ref="C3:G3" si="0">C4+C9</f>
        <v>35</v>
      </c>
      <c r="D3" s="10">
        <f t="shared" si="0"/>
        <v>45</v>
      </c>
      <c r="E3" s="10">
        <f t="shared" si="0"/>
        <v>48</v>
      </c>
      <c r="F3" s="10">
        <f t="shared" si="0"/>
        <v>48</v>
      </c>
      <c r="G3" s="10">
        <f t="shared" si="0"/>
        <v>48</v>
      </c>
    </row>
    <row r="4" spans="1:7" s="3" customFormat="1" x14ac:dyDescent="0.2">
      <c r="A4" s="7" t="s">
        <v>17</v>
      </c>
      <c r="B4" s="8"/>
      <c r="C4" s="8">
        <f>SUM(C5:C8)</f>
        <v>4</v>
      </c>
      <c r="D4" s="8">
        <f t="shared" ref="D4:G4" si="1">SUM(D5:D8)</f>
        <v>4</v>
      </c>
      <c r="E4" s="8">
        <f t="shared" si="1"/>
        <v>4</v>
      </c>
      <c r="F4" s="8">
        <f t="shared" si="1"/>
        <v>4</v>
      </c>
      <c r="G4" s="8">
        <f t="shared" si="1"/>
        <v>4</v>
      </c>
    </row>
    <row r="5" spans="1:7" outlineLevel="1" x14ac:dyDescent="0.2">
      <c r="A5" s="11" t="s">
        <v>5</v>
      </c>
      <c r="B5" s="1">
        <v>560</v>
      </c>
      <c r="C5" s="1">
        <v>1</v>
      </c>
      <c r="D5" s="1">
        <v>1</v>
      </c>
      <c r="E5" s="1">
        <v>1</v>
      </c>
      <c r="F5" s="1">
        <v>1</v>
      </c>
      <c r="G5" s="1">
        <v>1</v>
      </c>
    </row>
    <row r="6" spans="1:7" outlineLevel="1" x14ac:dyDescent="0.2">
      <c r="A6" s="11" t="s">
        <v>6</v>
      </c>
      <c r="B6" s="1">
        <v>480</v>
      </c>
      <c r="C6" s="1">
        <v>1</v>
      </c>
      <c r="D6" s="1">
        <v>1</v>
      </c>
      <c r="E6" s="1">
        <v>1</v>
      </c>
      <c r="F6" s="1">
        <v>1</v>
      </c>
      <c r="G6" s="1">
        <v>1</v>
      </c>
    </row>
    <row r="7" spans="1:7" outlineLevel="1" x14ac:dyDescent="0.2">
      <c r="A7" s="11" t="s">
        <v>9</v>
      </c>
      <c r="B7" s="1">
        <v>480</v>
      </c>
      <c r="C7" s="1">
        <v>1</v>
      </c>
      <c r="D7" s="1">
        <v>1</v>
      </c>
      <c r="E7" s="1">
        <v>1</v>
      </c>
      <c r="F7" s="1">
        <v>1</v>
      </c>
      <c r="G7" s="1">
        <v>1</v>
      </c>
    </row>
    <row r="8" spans="1:7" outlineLevel="1" x14ac:dyDescent="0.2">
      <c r="A8" s="11" t="s">
        <v>10</v>
      </c>
      <c r="B8" s="1">
        <v>330</v>
      </c>
      <c r="C8" s="1">
        <v>1</v>
      </c>
      <c r="D8" s="1">
        <v>1</v>
      </c>
      <c r="E8" s="1">
        <v>1</v>
      </c>
      <c r="F8" s="1">
        <v>1</v>
      </c>
      <c r="G8" s="1">
        <v>1</v>
      </c>
    </row>
    <row r="9" spans="1:7" s="3" customFormat="1" x14ac:dyDescent="0.2">
      <c r="A9" s="4" t="s">
        <v>13</v>
      </c>
      <c r="B9" s="6"/>
      <c r="C9" s="6">
        <f>SUM(C10:C18)</f>
        <v>31</v>
      </c>
      <c r="D9" s="6">
        <f t="shared" ref="D9:G9" si="2">SUM(D10:D18)</f>
        <v>41</v>
      </c>
      <c r="E9" s="6">
        <f t="shared" si="2"/>
        <v>44</v>
      </c>
      <c r="F9" s="6">
        <f t="shared" si="2"/>
        <v>44</v>
      </c>
      <c r="G9" s="6">
        <f t="shared" si="2"/>
        <v>44</v>
      </c>
    </row>
    <row r="10" spans="1:7" outlineLevel="1" x14ac:dyDescent="0.2">
      <c r="A10" s="11" t="s">
        <v>7</v>
      </c>
      <c r="B10" s="1">
        <v>480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</row>
    <row r="11" spans="1:7" outlineLevel="1" x14ac:dyDescent="0.2">
      <c r="A11" s="11" t="s">
        <v>8</v>
      </c>
      <c r="B11" s="1">
        <v>440</v>
      </c>
      <c r="C11" s="1">
        <v>1</v>
      </c>
      <c r="D11" s="1">
        <v>1</v>
      </c>
      <c r="E11" s="1">
        <v>2</v>
      </c>
      <c r="F11" s="1">
        <v>2</v>
      </c>
      <c r="G11" s="1">
        <v>2</v>
      </c>
    </row>
    <row r="12" spans="1:7" outlineLevel="1" x14ac:dyDescent="0.2">
      <c r="A12" s="11" t="s">
        <v>19</v>
      </c>
      <c r="B12" s="1">
        <v>410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</row>
    <row r="13" spans="1:7" outlineLevel="1" x14ac:dyDescent="0.2">
      <c r="A13" s="11" t="s">
        <v>20</v>
      </c>
      <c r="B13" s="1">
        <v>370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</row>
    <row r="14" spans="1:7" outlineLevel="1" x14ac:dyDescent="0.2">
      <c r="A14" s="11" t="s">
        <v>11</v>
      </c>
      <c r="B14" s="1">
        <v>300</v>
      </c>
      <c r="C14" s="1">
        <v>1</v>
      </c>
      <c r="D14" s="1">
        <v>1</v>
      </c>
      <c r="E14" s="1">
        <v>2</v>
      </c>
      <c r="F14" s="1">
        <v>2</v>
      </c>
      <c r="G14" s="1">
        <v>2</v>
      </c>
    </row>
    <row r="15" spans="1:7" outlineLevel="1" x14ac:dyDescent="0.2">
      <c r="A15" s="11" t="s">
        <v>21</v>
      </c>
      <c r="B15" s="1">
        <v>260</v>
      </c>
      <c r="C15" s="1">
        <v>1</v>
      </c>
      <c r="D15" s="1">
        <v>1</v>
      </c>
      <c r="E15" s="1">
        <v>2</v>
      </c>
      <c r="F15" s="1">
        <v>2</v>
      </c>
      <c r="G15" s="1">
        <v>2</v>
      </c>
    </row>
    <row r="16" spans="1:7" outlineLevel="1" x14ac:dyDescent="0.2">
      <c r="A16" s="11" t="s">
        <v>18</v>
      </c>
      <c r="B16" s="1">
        <v>190</v>
      </c>
      <c r="C16" s="1">
        <v>20</v>
      </c>
      <c r="D16" s="1">
        <v>30</v>
      </c>
      <c r="E16" s="1">
        <v>30</v>
      </c>
      <c r="F16" s="1">
        <v>30</v>
      </c>
      <c r="G16" s="1">
        <v>30</v>
      </c>
    </row>
    <row r="17" spans="1:7" outlineLevel="1" x14ac:dyDescent="0.2">
      <c r="A17" s="11" t="s">
        <v>12</v>
      </c>
      <c r="B17" s="1">
        <v>330</v>
      </c>
      <c r="C17" s="1">
        <v>2</v>
      </c>
      <c r="D17" s="1">
        <v>2</v>
      </c>
      <c r="E17" s="1">
        <v>2</v>
      </c>
      <c r="F17" s="1">
        <v>2</v>
      </c>
      <c r="G17" s="1">
        <v>2</v>
      </c>
    </row>
    <row r="18" spans="1:7" outlineLevel="1" x14ac:dyDescent="0.2">
      <c r="A18" s="11" t="s">
        <v>14</v>
      </c>
      <c r="B18" s="1">
        <v>150</v>
      </c>
      <c r="C18" s="1">
        <v>3</v>
      </c>
      <c r="D18" s="1">
        <v>3</v>
      </c>
      <c r="E18" s="1">
        <v>3</v>
      </c>
      <c r="F18" s="1">
        <v>3</v>
      </c>
      <c r="G18" s="1">
        <v>3</v>
      </c>
    </row>
    <row r="20" spans="1:7" ht="13.5" thickBot="1" x14ac:dyDescent="0.25">
      <c r="A20" t="s">
        <v>66</v>
      </c>
    </row>
    <row r="21" spans="1:7" ht="13.5" thickBot="1" x14ac:dyDescent="0.25">
      <c r="A21" s="13" t="s">
        <v>3</v>
      </c>
      <c r="B21" s="14" t="s">
        <v>4</v>
      </c>
      <c r="C21" s="14">
        <v>2019</v>
      </c>
      <c r="D21" s="14">
        <v>2020</v>
      </c>
      <c r="E21" s="14">
        <v>2021</v>
      </c>
      <c r="F21" s="14">
        <v>2022</v>
      </c>
      <c r="G21" s="14">
        <v>2023</v>
      </c>
    </row>
    <row r="22" spans="1:7" ht="13.5" thickBot="1" x14ac:dyDescent="0.25">
      <c r="A22" s="9" t="s">
        <v>15</v>
      </c>
      <c r="B22" s="10"/>
      <c r="C22" s="10"/>
      <c r="D22" s="10"/>
      <c r="E22" s="10"/>
      <c r="F22" s="10"/>
      <c r="G22" s="10"/>
    </row>
    <row r="23" spans="1:7" x14ac:dyDescent="0.2">
      <c r="A23" s="7" t="s">
        <v>17</v>
      </c>
      <c r="B23" s="8"/>
      <c r="C23" s="8"/>
      <c r="D23" s="8"/>
      <c r="E23" s="8"/>
      <c r="F23" s="8"/>
      <c r="G23" s="8"/>
    </row>
    <row r="24" spans="1:7" outlineLevel="1" x14ac:dyDescent="0.2">
      <c r="A24" s="11" t="s">
        <v>5</v>
      </c>
      <c r="B24" s="1">
        <v>560</v>
      </c>
      <c r="C24" s="1">
        <v>12</v>
      </c>
      <c r="D24" s="1">
        <v>12</v>
      </c>
      <c r="E24" s="1">
        <v>12</v>
      </c>
      <c r="F24" s="1">
        <v>12</v>
      </c>
      <c r="G24" s="1">
        <v>12</v>
      </c>
    </row>
    <row r="25" spans="1:7" outlineLevel="1" x14ac:dyDescent="0.2">
      <c r="A25" s="11" t="s">
        <v>6</v>
      </c>
      <c r="B25" s="1">
        <v>480</v>
      </c>
      <c r="C25" s="1">
        <v>12</v>
      </c>
      <c r="D25" s="1">
        <v>12</v>
      </c>
      <c r="E25" s="1">
        <v>12</v>
      </c>
      <c r="F25" s="1">
        <v>12</v>
      </c>
      <c r="G25" s="1">
        <v>12</v>
      </c>
    </row>
    <row r="26" spans="1:7" outlineLevel="1" x14ac:dyDescent="0.2">
      <c r="A26" s="11" t="s">
        <v>9</v>
      </c>
      <c r="B26" s="1">
        <v>480</v>
      </c>
      <c r="C26" s="1">
        <v>12</v>
      </c>
      <c r="D26" s="1">
        <v>12</v>
      </c>
      <c r="E26" s="1">
        <v>12</v>
      </c>
      <c r="F26" s="1">
        <v>12</v>
      </c>
      <c r="G26" s="1">
        <v>12</v>
      </c>
    </row>
    <row r="27" spans="1:7" outlineLevel="1" x14ac:dyDescent="0.2">
      <c r="A27" s="11" t="s">
        <v>10</v>
      </c>
      <c r="B27" s="1">
        <v>330</v>
      </c>
      <c r="C27" s="1">
        <v>12</v>
      </c>
      <c r="D27" s="1">
        <v>12</v>
      </c>
      <c r="E27" s="1">
        <v>12</v>
      </c>
      <c r="F27" s="1">
        <v>12</v>
      </c>
      <c r="G27" s="1">
        <v>12</v>
      </c>
    </row>
    <row r="28" spans="1:7" x14ac:dyDescent="0.2">
      <c r="A28" s="4" t="s">
        <v>13</v>
      </c>
      <c r="B28" s="6"/>
      <c r="C28" s="6"/>
      <c r="D28" s="6"/>
      <c r="E28" s="6"/>
      <c r="F28" s="6"/>
      <c r="G28" s="6"/>
    </row>
    <row r="29" spans="1:7" outlineLevel="1" x14ac:dyDescent="0.2">
      <c r="A29" s="11" t="s">
        <v>7</v>
      </c>
      <c r="B29" s="1">
        <v>480</v>
      </c>
      <c r="C29" s="1">
        <v>12</v>
      </c>
      <c r="D29" s="1">
        <v>12</v>
      </c>
      <c r="E29" s="1">
        <v>12</v>
      </c>
      <c r="F29" s="1">
        <v>12</v>
      </c>
      <c r="G29" s="1">
        <v>12</v>
      </c>
    </row>
    <row r="30" spans="1:7" outlineLevel="1" x14ac:dyDescent="0.2">
      <c r="A30" s="11" t="s">
        <v>8</v>
      </c>
      <c r="B30" s="1">
        <v>440</v>
      </c>
      <c r="C30" s="1">
        <v>12</v>
      </c>
      <c r="D30" s="1">
        <v>12</v>
      </c>
      <c r="E30" s="1">
        <v>12</v>
      </c>
      <c r="F30" s="1">
        <v>12</v>
      </c>
      <c r="G30" s="1">
        <v>12</v>
      </c>
    </row>
    <row r="31" spans="1:7" outlineLevel="1" x14ac:dyDescent="0.2">
      <c r="A31" s="11" t="s">
        <v>19</v>
      </c>
      <c r="B31" s="1">
        <v>410</v>
      </c>
      <c r="C31" s="1">
        <v>12</v>
      </c>
      <c r="D31" s="1">
        <v>12</v>
      </c>
      <c r="E31" s="1">
        <v>12</v>
      </c>
      <c r="F31" s="1">
        <v>12</v>
      </c>
      <c r="G31" s="1">
        <v>12</v>
      </c>
    </row>
    <row r="32" spans="1:7" outlineLevel="1" x14ac:dyDescent="0.2">
      <c r="A32" s="11" t="s">
        <v>20</v>
      </c>
      <c r="B32" s="1">
        <v>370</v>
      </c>
      <c r="C32" s="1">
        <v>12</v>
      </c>
      <c r="D32" s="1">
        <v>12</v>
      </c>
      <c r="E32" s="1">
        <v>12</v>
      </c>
      <c r="F32" s="1">
        <v>12</v>
      </c>
      <c r="G32" s="1">
        <v>12</v>
      </c>
    </row>
    <row r="33" spans="1:14" outlineLevel="1" x14ac:dyDescent="0.2">
      <c r="A33" s="11" t="s">
        <v>11</v>
      </c>
      <c r="B33" s="1">
        <v>300</v>
      </c>
      <c r="C33" s="1">
        <v>12</v>
      </c>
      <c r="D33" s="1">
        <v>12</v>
      </c>
      <c r="E33" s="1">
        <v>12</v>
      </c>
      <c r="F33" s="1">
        <v>12</v>
      </c>
      <c r="G33" s="1">
        <v>12</v>
      </c>
    </row>
    <row r="34" spans="1:14" outlineLevel="1" x14ac:dyDescent="0.2">
      <c r="A34" s="11" t="s">
        <v>21</v>
      </c>
      <c r="B34" s="1">
        <v>260</v>
      </c>
      <c r="C34" s="1">
        <v>9</v>
      </c>
      <c r="D34" s="1">
        <v>9</v>
      </c>
      <c r="E34" s="1">
        <v>9</v>
      </c>
      <c r="F34" s="1">
        <v>9</v>
      </c>
      <c r="G34" s="1">
        <v>9</v>
      </c>
    </row>
    <row r="35" spans="1:14" outlineLevel="1" x14ac:dyDescent="0.2">
      <c r="A35" s="11" t="s">
        <v>18</v>
      </c>
      <c r="B35" s="1">
        <v>190</v>
      </c>
      <c r="C35" s="1">
        <v>9</v>
      </c>
      <c r="D35" s="1">
        <v>9</v>
      </c>
      <c r="E35" s="1">
        <v>9</v>
      </c>
      <c r="F35" s="1">
        <v>9</v>
      </c>
      <c r="G35" s="1">
        <v>9</v>
      </c>
    </row>
    <row r="36" spans="1:14" outlineLevel="1" x14ac:dyDescent="0.2">
      <c r="A36" s="11" t="s">
        <v>12</v>
      </c>
      <c r="B36" s="1">
        <v>330</v>
      </c>
      <c r="C36" s="1">
        <v>12</v>
      </c>
      <c r="D36" s="1">
        <v>12</v>
      </c>
      <c r="E36" s="1">
        <v>12</v>
      </c>
      <c r="F36" s="1">
        <v>12</v>
      </c>
      <c r="G36" s="1">
        <v>12</v>
      </c>
    </row>
    <row r="37" spans="1:14" outlineLevel="1" x14ac:dyDescent="0.2">
      <c r="A37" s="11" t="s">
        <v>14</v>
      </c>
      <c r="B37" s="1">
        <v>150</v>
      </c>
      <c r="C37" s="1">
        <v>12</v>
      </c>
      <c r="D37" s="1">
        <v>12</v>
      </c>
      <c r="E37" s="1">
        <v>12</v>
      </c>
      <c r="F37" s="1">
        <v>12</v>
      </c>
      <c r="G37" s="1">
        <v>12</v>
      </c>
    </row>
    <row r="38" spans="1:14" x14ac:dyDescent="0.2">
      <c r="A38" s="11"/>
    </row>
    <row r="39" spans="1:14" ht="13.5" thickBot="1" x14ac:dyDescent="0.25">
      <c r="A39" t="s">
        <v>22</v>
      </c>
    </row>
    <row r="40" spans="1:14" ht="13.5" thickBot="1" x14ac:dyDescent="0.25">
      <c r="A40" s="13" t="s">
        <v>3</v>
      </c>
      <c r="B40" s="14" t="s">
        <v>4</v>
      </c>
      <c r="C40" s="14">
        <v>2019</v>
      </c>
      <c r="D40" s="14">
        <v>2020</v>
      </c>
      <c r="E40" s="14">
        <v>2021</v>
      </c>
      <c r="F40" s="14">
        <v>2022</v>
      </c>
      <c r="G40" s="14">
        <v>2023</v>
      </c>
      <c r="I40" s="13" t="s">
        <v>3</v>
      </c>
      <c r="J40" s="14">
        <v>2019</v>
      </c>
      <c r="K40" s="14">
        <v>2020</v>
      </c>
      <c r="L40" s="14">
        <v>2021</v>
      </c>
      <c r="M40" s="14">
        <v>2022</v>
      </c>
      <c r="N40" s="14">
        <v>2023</v>
      </c>
    </row>
    <row r="41" spans="1:14" x14ac:dyDescent="0.2">
      <c r="A41" s="54" t="s">
        <v>15</v>
      </c>
      <c r="B41" s="70"/>
      <c r="C41" s="71">
        <f t="shared" ref="C41:G41" si="3">C42+C47</f>
        <v>96060</v>
      </c>
      <c r="D41" s="71">
        <f t="shared" si="3"/>
        <v>113160</v>
      </c>
      <c r="E41" s="71">
        <f t="shared" si="3"/>
        <v>124380</v>
      </c>
      <c r="F41" s="71">
        <f t="shared" si="3"/>
        <v>124380</v>
      </c>
      <c r="G41" s="71">
        <f t="shared" si="3"/>
        <v>124380</v>
      </c>
      <c r="I41" s="54" t="s">
        <v>15</v>
      </c>
      <c r="J41" s="75">
        <f>C41/1000</f>
        <v>96.06</v>
      </c>
      <c r="K41" s="75">
        <f t="shared" ref="K41:N41" si="4">D41/1000</f>
        <v>113.16</v>
      </c>
      <c r="L41" s="75">
        <f t="shared" si="4"/>
        <v>124.38</v>
      </c>
      <c r="M41" s="75">
        <f t="shared" si="4"/>
        <v>124.38</v>
      </c>
      <c r="N41" s="75">
        <f t="shared" si="4"/>
        <v>124.38</v>
      </c>
    </row>
    <row r="42" spans="1:14" s="5" customFormat="1" x14ac:dyDescent="0.2">
      <c r="A42" s="26" t="s">
        <v>17</v>
      </c>
      <c r="B42" s="74"/>
      <c r="C42" s="28">
        <f>SUM(C43:C46)</f>
        <v>22200</v>
      </c>
      <c r="D42" s="28">
        <f t="shared" ref="D42" si="5">SUM(D43:D46)</f>
        <v>22200</v>
      </c>
      <c r="E42" s="28">
        <f t="shared" ref="E42" si="6">SUM(E43:E46)</f>
        <v>22200</v>
      </c>
      <c r="F42" s="28">
        <f t="shared" ref="F42" si="7">SUM(F43:F46)</f>
        <v>22200</v>
      </c>
      <c r="G42" s="28">
        <f t="shared" ref="G42" si="8">SUM(G43:G46)</f>
        <v>22200</v>
      </c>
      <c r="I42" s="26" t="s">
        <v>17</v>
      </c>
      <c r="J42" s="76">
        <f t="shared" ref="J42:J56" si="9">C42/1000</f>
        <v>22.2</v>
      </c>
      <c r="K42" s="76">
        <f t="shared" ref="K42:K56" si="10">D42/1000</f>
        <v>22.2</v>
      </c>
      <c r="L42" s="76">
        <f t="shared" ref="L42:L56" si="11">E42/1000</f>
        <v>22.2</v>
      </c>
      <c r="M42" s="76">
        <f t="shared" ref="M42:M56" si="12">F42/1000</f>
        <v>22.2</v>
      </c>
      <c r="N42" s="76">
        <f t="shared" ref="N42:N56" si="13">G42/1000</f>
        <v>22.2</v>
      </c>
    </row>
    <row r="43" spans="1:14" outlineLevel="1" x14ac:dyDescent="0.2">
      <c r="A43" s="62" t="s">
        <v>5</v>
      </c>
      <c r="B43" s="72">
        <v>560</v>
      </c>
      <c r="C43" s="73">
        <f>C5*$B43*C24</f>
        <v>6720</v>
      </c>
      <c r="D43" s="73">
        <f t="shared" ref="D43:G43" si="14">D5*$B43*D24</f>
        <v>6720</v>
      </c>
      <c r="E43" s="73">
        <f t="shared" si="14"/>
        <v>6720</v>
      </c>
      <c r="F43" s="73">
        <f t="shared" si="14"/>
        <v>6720</v>
      </c>
      <c r="G43" s="73">
        <f t="shared" si="14"/>
        <v>6720</v>
      </c>
      <c r="I43" s="62" t="s">
        <v>5</v>
      </c>
      <c r="J43" s="77">
        <f t="shared" si="9"/>
        <v>6.72</v>
      </c>
      <c r="K43" s="77">
        <f t="shared" si="10"/>
        <v>6.72</v>
      </c>
      <c r="L43" s="77">
        <f t="shared" si="11"/>
        <v>6.72</v>
      </c>
      <c r="M43" s="77">
        <f t="shared" si="12"/>
        <v>6.72</v>
      </c>
      <c r="N43" s="77">
        <f t="shared" si="13"/>
        <v>6.72</v>
      </c>
    </row>
    <row r="44" spans="1:14" outlineLevel="1" x14ac:dyDescent="0.2">
      <c r="A44" s="62" t="s">
        <v>6</v>
      </c>
      <c r="B44" s="72">
        <v>480</v>
      </c>
      <c r="C44" s="73">
        <f t="shared" ref="C44:G44" si="15">C6*$B44*C25</f>
        <v>5760</v>
      </c>
      <c r="D44" s="73">
        <f t="shared" si="15"/>
        <v>5760</v>
      </c>
      <c r="E44" s="73">
        <f t="shared" si="15"/>
        <v>5760</v>
      </c>
      <c r="F44" s="73">
        <f t="shared" si="15"/>
        <v>5760</v>
      </c>
      <c r="G44" s="73">
        <f t="shared" si="15"/>
        <v>5760</v>
      </c>
      <c r="I44" s="62" t="s">
        <v>6</v>
      </c>
      <c r="J44" s="77">
        <f t="shared" si="9"/>
        <v>5.76</v>
      </c>
      <c r="K44" s="77">
        <f t="shared" si="10"/>
        <v>5.76</v>
      </c>
      <c r="L44" s="77">
        <f t="shared" si="11"/>
        <v>5.76</v>
      </c>
      <c r="M44" s="77">
        <f t="shared" si="12"/>
        <v>5.76</v>
      </c>
      <c r="N44" s="77">
        <f t="shared" si="13"/>
        <v>5.76</v>
      </c>
    </row>
    <row r="45" spans="1:14" outlineLevel="1" x14ac:dyDescent="0.2">
      <c r="A45" s="62" t="s">
        <v>9</v>
      </c>
      <c r="B45" s="72">
        <v>480</v>
      </c>
      <c r="C45" s="73">
        <f t="shared" ref="C45:G45" si="16">C7*$B45*C26</f>
        <v>5760</v>
      </c>
      <c r="D45" s="73">
        <f t="shared" si="16"/>
        <v>5760</v>
      </c>
      <c r="E45" s="73">
        <f t="shared" si="16"/>
        <v>5760</v>
      </c>
      <c r="F45" s="73">
        <f t="shared" si="16"/>
        <v>5760</v>
      </c>
      <c r="G45" s="73">
        <f t="shared" si="16"/>
        <v>5760</v>
      </c>
      <c r="I45" s="62" t="s">
        <v>9</v>
      </c>
      <c r="J45" s="77">
        <f t="shared" si="9"/>
        <v>5.76</v>
      </c>
      <c r="K45" s="77">
        <f t="shared" si="10"/>
        <v>5.76</v>
      </c>
      <c r="L45" s="77">
        <f t="shared" si="11"/>
        <v>5.76</v>
      </c>
      <c r="M45" s="77">
        <f t="shared" si="12"/>
        <v>5.76</v>
      </c>
      <c r="N45" s="77">
        <f t="shared" si="13"/>
        <v>5.76</v>
      </c>
    </row>
    <row r="46" spans="1:14" outlineLevel="1" x14ac:dyDescent="0.2">
      <c r="A46" s="62" t="s">
        <v>10</v>
      </c>
      <c r="B46" s="72">
        <v>330</v>
      </c>
      <c r="C46" s="73">
        <f t="shared" ref="C46:G46" si="17">C8*$B46*C27</f>
        <v>3960</v>
      </c>
      <c r="D46" s="73">
        <f t="shared" si="17"/>
        <v>3960</v>
      </c>
      <c r="E46" s="73">
        <f t="shared" si="17"/>
        <v>3960</v>
      </c>
      <c r="F46" s="73">
        <f t="shared" si="17"/>
        <v>3960</v>
      </c>
      <c r="G46" s="73">
        <f t="shared" si="17"/>
        <v>3960</v>
      </c>
      <c r="I46" s="62" t="s">
        <v>10</v>
      </c>
      <c r="J46" s="77">
        <f t="shared" si="9"/>
        <v>3.96</v>
      </c>
      <c r="K46" s="77">
        <f t="shared" si="10"/>
        <v>3.96</v>
      </c>
      <c r="L46" s="77">
        <f t="shared" si="11"/>
        <v>3.96</v>
      </c>
      <c r="M46" s="77">
        <f t="shared" si="12"/>
        <v>3.96</v>
      </c>
      <c r="N46" s="77">
        <f t="shared" si="13"/>
        <v>3.96</v>
      </c>
    </row>
    <row r="47" spans="1:14" s="5" customFormat="1" x14ac:dyDescent="0.2">
      <c r="A47" s="26" t="s">
        <v>13</v>
      </c>
      <c r="B47" s="74"/>
      <c r="C47" s="28">
        <f>SUM(C48:C56)</f>
        <v>73860</v>
      </c>
      <c r="D47" s="28">
        <f t="shared" ref="D47" si="18">SUM(D48:D56)</f>
        <v>90960</v>
      </c>
      <c r="E47" s="28">
        <f t="shared" ref="E47" si="19">SUM(E48:E56)</f>
        <v>102180</v>
      </c>
      <c r="F47" s="28">
        <f t="shared" ref="F47" si="20">SUM(F48:F56)</f>
        <v>102180</v>
      </c>
      <c r="G47" s="28">
        <f t="shared" ref="G47" si="21">SUM(G48:G56)</f>
        <v>102180</v>
      </c>
      <c r="I47" s="26" t="s">
        <v>13</v>
      </c>
      <c r="J47" s="76">
        <f t="shared" si="9"/>
        <v>73.86</v>
      </c>
      <c r="K47" s="76">
        <f t="shared" si="10"/>
        <v>90.96</v>
      </c>
      <c r="L47" s="76">
        <f t="shared" si="11"/>
        <v>102.18</v>
      </c>
      <c r="M47" s="76">
        <f t="shared" si="12"/>
        <v>102.18</v>
      </c>
      <c r="N47" s="76">
        <f t="shared" si="13"/>
        <v>102.18</v>
      </c>
    </row>
    <row r="48" spans="1:14" outlineLevel="1" x14ac:dyDescent="0.2">
      <c r="A48" s="62" t="s">
        <v>7</v>
      </c>
      <c r="B48" s="72">
        <v>480</v>
      </c>
      <c r="C48" s="73">
        <f t="shared" ref="C48:G48" si="22">C10*$B48*C29</f>
        <v>5760</v>
      </c>
      <c r="D48" s="73">
        <f t="shared" si="22"/>
        <v>5760</v>
      </c>
      <c r="E48" s="73">
        <f t="shared" si="22"/>
        <v>5760</v>
      </c>
      <c r="F48" s="73">
        <f t="shared" si="22"/>
        <v>5760</v>
      </c>
      <c r="G48" s="73">
        <f t="shared" si="22"/>
        <v>5760</v>
      </c>
      <c r="I48" s="62" t="s">
        <v>7</v>
      </c>
      <c r="J48" s="77">
        <f t="shared" si="9"/>
        <v>5.76</v>
      </c>
      <c r="K48" s="77">
        <f t="shared" si="10"/>
        <v>5.76</v>
      </c>
      <c r="L48" s="77">
        <f t="shared" si="11"/>
        <v>5.76</v>
      </c>
      <c r="M48" s="77">
        <f t="shared" si="12"/>
        <v>5.76</v>
      </c>
      <c r="N48" s="77">
        <f t="shared" si="13"/>
        <v>5.76</v>
      </c>
    </row>
    <row r="49" spans="1:14" outlineLevel="1" x14ac:dyDescent="0.2">
      <c r="A49" s="62" t="s">
        <v>8</v>
      </c>
      <c r="B49" s="72">
        <v>440</v>
      </c>
      <c r="C49" s="73">
        <f t="shared" ref="C49:G49" si="23">C11*$B49*C30</f>
        <v>5280</v>
      </c>
      <c r="D49" s="73">
        <f t="shared" si="23"/>
        <v>5280</v>
      </c>
      <c r="E49" s="73">
        <f t="shared" si="23"/>
        <v>10560</v>
      </c>
      <c r="F49" s="73">
        <f t="shared" si="23"/>
        <v>10560</v>
      </c>
      <c r="G49" s="73">
        <f t="shared" si="23"/>
        <v>10560</v>
      </c>
      <c r="I49" s="62" t="s">
        <v>8</v>
      </c>
      <c r="J49" s="77">
        <f t="shared" si="9"/>
        <v>5.28</v>
      </c>
      <c r="K49" s="77">
        <f t="shared" si="10"/>
        <v>5.28</v>
      </c>
      <c r="L49" s="77">
        <f t="shared" si="11"/>
        <v>10.56</v>
      </c>
      <c r="M49" s="77">
        <f t="shared" si="12"/>
        <v>10.56</v>
      </c>
      <c r="N49" s="77">
        <f t="shared" si="13"/>
        <v>10.56</v>
      </c>
    </row>
    <row r="50" spans="1:14" outlineLevel="1" x14ac:dyDescent="0.2">
      <c r="A50" s="62" t="s">
        <v>19</v>
      </c>
      <c r="B50" s="72">
        <v>410</v>
      </c>
      <c r="C50" s="73">
        <f t="shared" ref="C50:G50" si="24">C12*$B50*C31</f>
        <v>4920</v>
      </c>
      <c r="D50" s="73">
        <f t="shared" si="24"/>
        <v>4920</v>
      </c>
      <c r="E50" s="73">
        <f t="shared" si="24"/>
        <v>4920</v>
      </c>
      <c r="F50" s="73">
        <f t="shared" si="24"/>
        <v>4920</v>
      </c>
      <c r="G50" s="73">
        <f t="shared" si="24"/>
        <v>4920</v>
      </c>
      <c r="I50" s="62" t="s">
        <v>19</v>
      </c>
      <c r="J50" s="77">
        <f t="shared" si="9"/>
        <v>4.92</v>
      </c>
      <c r="K50" s="77">
        <f t="shared" si="10"/>
        <v>4.92</v>
      </c>
      <c r="L50" s="77">
        <f t="shared" si="11"/>
        <v>4.92</v>
      </c>
      <c r="M50" s="77">
        <f t="shared" si="12"/>
        <v>4.92</v>
      </c>
      <c r="N50" s="77">
        <f t="shared" si="13"/>
        <v>4.92</v>
      </c>
    </row>
    <row r="51" spans="1:14" outlineLevel="1" x14ac:dyDescent="0.2">
      <c r="A51" s="62" t="s">
        <v>20</v>
      </c>
      <c r="B51" s="72">
        <v>370</v>
      </c>
      <c r="C51" s="73">
        <f t="shared" ref="C51:G51" si="25">C13*$B51*C32</f>
        <v>4440</v>
      </c>
      <c r="D51" s="73">
        <f t="shared" si="25"/>
        <v>4440</v>
      </c>
      <c r="E51" s="73">
        <f t="shared" si="25"/>
        <v>4440</v>
      </c>
      <c r="F51" s="73">
        <f t="shared" si="25"/>
        <v>4440</v>
      </c>
      <c r="G51" s="73">
        <f t="shared" si="25"/>
        <v>4440</v>
      </c>
      <c r="I51" s="62" t="s">
        <v>20</v>
      </c>
      <c r="J51" s="77">
        <f t="shared" si="9"/>
        <v>4.4400000000000004</v>
      </c>
      <c r="K51" s="77">
        <f t="shared" si="10"/>
        <v>4.4400000000000004</v>
      </c>
      <c r="L51" s="77">
        <f t="shared" si="11"/>
        <v>4.4400000000000004</v>
      </c>
      <c r="M51" s="77">
        <f t="shared" si="12"/>
        <v>4.4400000000000004</v>
      </c>
      <c r="N51" s="77">
        <f t="shared" si="13"/>
        <v>4.4400000000000004</v>
      </c>
    </row>
    <row r="52" spans="1:14" outlineLevel="1" x14ac:dyDescent="0.2">
      <c r="A52" s="62" t="s">
        <v>11</v>
      </c>
      <c r="B52" s="72">
        <v>300</v>
      </c>
      <c r="C52" s="73">
        <f t="shared" ref="C52:G52" si="26">C14*$B52*C33</f>
        <v>3600</v>
      </c>
      <c r="D52" s="73">
        <f t="shared" si="26"/>
        <v>3600</v>
      </c>
      <c r="E52" s="73">
        <f t="shared" si="26"/>
        <v>7200</v>
      </c>
      <c r="F52" s="73">
        <f t="shared" si="26"/>
        <v>7200</v>
      </c>
      <c r="G52" s="73">
        <f t="shared" si="26"/>
        <v>7200</v>
      </c>
      <c r="I52" s="62" t="s">
        <v>11</v>
      </c>
      <c r="J52" s="77">
        <f t="shared" si="9"/>
        <v>3.6</v>
      </c>
      <c r="K52" s="77">
        <f t="shared" si="10"/>
        <v>3.6</v>
      </c>
      <c r="L52" s="77">
        <f t="shared" si="11"/>
        <v>7.2</v>
      </c>
      <c r="M52" s="77">
        <f t="shared" si="12"/>
        <v>7.2</v>
      </c>
      <c r="N52" s="77">
        <f t="shared" si="13"/>
        <v>7.2</v>
      </c>
    </row>
    <row r="53" spans="1:14" outlineLevel="1" x14ac:dyDescent="0.2">
      <c r="A53" s="62" t="s">
        <v>21</v>
      </c>
      <c r="B53" s="72">
        <v>260</v>
      </c>
      <c r="C53" s="73">
        <f t="shared" ref="C53:G53" si="27">C15*$B53*C34</f>
        <v>2340</v>
      </c>
      <c r="D53" s="73">
        <f t="shared" si="27"/>
        <v>2340</v>
      </c>
      <c r="E53" s="73">
        <f t="shared" si="27"/>
        <v>4680</v>
      </c>
      <c r="F53" s="73">
        <f t="shared" si="27"/>
        <v>4680</v>
      </c>
      <c r="G53" s="73">
        <f t="shared" si="27"/>
        <v>4680</v>
      </c>
      <c r="I53" s="62" t="s">
        <v>21</v>
      </c>
      <c r="J53" s="77">
        <f t="shared" si="9"/>
        <v>2.34</v>
      </c>
      <c r="K53" s="77">
        <f t="shared" si="10"/>
        <v>2.34</v>
      </c>
      <c r="L53" s="77">
        <f t="shared" si="11"/>
        <v>4.68</v>
      </c>
      <c r="M53" s="77">
        <f t="shared" si="12"/>
        <v>4.68</v>
      </c>
      <c r="N53" s="77">
        <f t="shared" si="13"/>
        <v>4.68</v>
      </c>
    </row>
    <row r="54" spans="1:14" outlineLevel="1" x14ac:dyDescent="0.2">
      <c r="A54" s="62" t="s">
        <v>18</v>
      </c>
      <c r="B54" s="72">
        <v>190</v>
      </c>
      <c r="C54" s="73">
        <f t="shared" ref="C54:G54" si="28">C16*$B54*C35</f>
        <v>34200</v>
      </c>
      <c r="D54" s="73">
        <f t="shared" si="28"/>
        <v>51300</v>
      </c>
      <c r="E54" s="73">
        <f t="shared" si="28"/>
        <v>51300</v>
      </c>
      <c r="F54" s="73">
        <f t="shared" si="28"/>
        <v>51300</v>
      </c>
      <c r="G54" s="73">
        <f t="shared" si="28"/>
        <v>51300</v>
      </c>
      <c r="I54" s="62" t="s">
        <v>18</v>
      </c>
      <c r="J54" s="77">
        <f t="shared" si="9"/>
        <v>34.200000000000003</v>
      </c>
      <c r="K54" s="77">
        <f t="shared" si="10"/>
        <v>51.3</v>
      </c>
      <c r="L54" s="77">
        <f t="shared" si="11"/>
        <v>51.3</v>
      </c>
      <c r="M54" s="77">
        <f t="shared" si="12"/>
        <v>51.3</v>
      </c>
      <c r="N54" s="77">
        <f t="shared" si="13"/>
        <v>51.3</v>
      </c>
    </row>
    <row r="55" spans="1:14" outlineLevel="1" x14ac:dyDescent="0.2">
      <c r="A55" s="62" t="s">
        <v>12</v>
      </c>
      <c r="B55" s="72">
        <v>330</v>
      </c>
      <c r="C55" s="73">
        <f t="shared" ref="C55:G55" si="29">C17*$B55*C36</f>
        <v>7920</v>
      </c>
      <c r="D55" s="73">
        <f t="shared" si="29"/>
        <v>7920</v>
      </c>
      <c r="E55" s="73">
        <f t="shared" si="29"/>
        <v>7920</v>
      </c>
      <c r="F55" s="73">
        <f t="shared" si="29"/>
        <v>7920</v>
      </c>
      <c r="G55" s="73">
        <f t="shared" si="29"/>
        <v>7920</v>
      </c>
      <c r="I55" s="62" t="s">
        <v>12</v>
      </c>
      <c r="J55" s="77">
        <f t="shared" si="9"/>
        <v>7.92</v>
      </c>
      <c r="K55" s="77">
        <f t="shared" si="10"/>
        <v>7.92</v>
      </c>
      <c r="L55" s="77">
        <f t="shared" si="11"/>
        <v>7.92</v>
      </c>
      <c r="M55" s="77">
        <f t="shared" si="12"/>
        <v>7.92</v>
      </c>
      <c r="N55" s="77">
        <f t="shared" si="13"/>
        <v>7.92</v>
      </c>
    </row>
    <row r="56" spans="1:14" outlineLevel="1" x14ac:dyDescent="0.2">
      <c r="A56" s="62" t="s">
        <v>14</v>
      </c>
      <c r="B56" s="72">
        <v>150</v>
      </c>
      <c r="C56" s="73">
        <f t="shared" ref="C56:G56" si="30">C18*$B56*C37</f>
        <v>5400</v>
      </c>
      <c r="D56" s="73">
        <f t="shared" si="30"/>
        <v>5400</v>
      </c>
      <c r="E56" s="73">
        <f t="shared" si="30"/>
        <v>5400</v>
      </c>
      <c r="F56" s="73">
        <f t="shared" si="30"/>
        <v>5400</v>
      </c>
      <c r="G56" s="73">
        <f t="shared" si="30"/>
        <v>5400</v>
      </c>
      <c r="I56" s="62" t="s">
        <v>14</v>
      </c>
      <c r="J56" s="77">
        <f t="shared" si="9"/>
        <v>5.4</v>
      </c>
      <c r="K56" s="77">
        <f t="shared" si="10"/>
        <v>5.4</v>
      </c>
      <c r="L56" s="77">
        <f t="shared" si="11"/>
        <v>5.4</v>
      </c>
      <c r="M56" s="77">
        <f t="shared" si="12"/>
        <v>5.4</v>
      </c>
      <c r="N56" s="77">
        <f t="shared" si="13"/>
        <v>5.4</v>
      </c>
    </row>
    <row r="58" spans="1:14" x14ac:dyDescent="0.2">
      <c r="C58" s="16"/>
      <c r="D58" s="16"/>
      <c r="E58" s="16"/>
      <c r="F58" s="16"/>
      <c r="G58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C14" sqref="C14"/>
    </sheetView>
  </sheetViews>
  <sheetFormatPr defaultRowHeight="12.75" x14ac:dyDescent="0.2"/>
  <cols>
    <col min="1" max="1" width="3.5703125" style="116" customWidth="1"/>
    <col min="2" max="2" width="25.140625" style="32" customWidth="1"/>
    <col min="3" max="3" width="26.85546875" style="32" customWidth="1"/>
    <col min="4" max="6" width="13.85546875" style="33" customWidth="1"/>
    <col min="7" max="8" width="13.85546875" style="5" customWidth="1"/>
    <col min="9" max="16384" width="9.140625" style="5"/>
  </cols>
  <sheetData>
    <row r="1" spans="1:8" s="34" customFormat="1" ht="23.25" customHeight="1" thickBot="1" x14ac:dyDescent="0.25">
      <c r="A1" s="35" t="s">
        <v>173</v>
      </c>
      <c r="B1" s="35" t="s">
        <v>3</v>
      </c>
      <c r="C1" s="35" t="s">
        <v>103</v>
      </c>
      <c r="D1" s="35" t="s">
        <v>104</v>
      </c>
      <c r="E1" s="35" t="s">
        <v>105</v>
      </c>
      <c r="F1" s="35" t="s">
        <v>106</v>
      </c>
      <c r="G1" s="35" t="s">
        <v>107</v>
      </c>
      <c r="H1" s="35" t="s">
        <v>93</v>
      </c>
    </row>
    <row r="2" spans="1:8" ht="28.5" customHeight="1" x14ac:dyDescent="0.2">
      <c r="A2" s="112">
        <v>1</v>
      </c>
      <c r="B2" s="64" t="s">
        <v>170</v>
      </c>
      <c r="C2" s="65"/>
      <c r="D2" s="117">
        <v>50</v>
      </c>
      <c r="E2" s="118">
        <v>1</v>
      </c>
      <c r="F2" s="119">
        <f>D2*E2</f>
        <v>50</v>
      </c>
      <c r="G2" s="118" t="s">
        <v>16</v>
      </c>
      <c r="H2" s="120">
        <v>0</v>
      </c>
    </row>
    <row r="3" spans="1:8" ht="28.5" customHeight="1" x14ac:dyDescent="0.2">
      <c r="A3" s="113">
        <v>2</v>
      </c>
      <c r="B3" s="66" t="s">
        <v>99</v>
      </c>
      <c r="C3" s="66" t="s">
        <v>102</v>
      </c>
      <c r="D3" s="121">
        <v>550</v>
      </c>
      <c r="E3" s="122">
        <v>1</v>
      </c>
      <c r="F3" s="123">
        <f>D3*E3</f>
        <v>550</v>
      </c>
      <c r="G3" s="124">
        <v>10</v>
      </c>
      <c r="H3" s="125">
        <f t="shared" ref="H3:H10" si="0">F3/G3</f>
        <v>55</v>
      </c>
    </row>
    <row r="4" spans="1:8" ht="28.5" customHeight="1" x14ac:dyDescent="0.2">
      <c r="A4" s="114">
        <v>3</v>
      </c>
      <c r="B4" s="67" t="s">
        <v>96</v>
      </c>
      <c r="C4" s="68" t="s">
        <v>94</v>
      </c>
      <c r="D4" s="121">
        <v>19.5</v>
      </c>
      <c r="E4" s="124">
        <v>10</v>
      </c>
      <c r="F4" s="123">
        <f t="shared" ref="F4:F7" si="1">D4*E4</f>
        <v>195</v>
      </c>
      <c r="G4" s="124">
        <v>7</v>
      </c>
      <c r="H4" s="125">
        <f t="shared" si="0"/>
        <v>27.857142857142858</v>
      </c>
    </row>
    <row r="5" spans="1:8" ht="28.5" customHeight="1" x14ac:dyDescent="0.2">
      <c r="A5" s="114">
        <v>4</v>
      </c>
      <c r="B5" s="67" t="s">
        <v>97</v>
      </c>
      <c r="C5" s="68" t="s">
        <v>95</v>
      </c>
      <c r="D5" s="121">
        <v>51.3</v>
      </c>
      <c r="E5" s="124">
        <v>3</v>
      </c>
      <c r="F5" s="123">
        <f t="shared" si="1"/>
        <v>153.89999999999998</v>
      </c>
      <c r="G5" s="124">
        <v>7</v>
      </c>
      <c r="H5" s="125">
        <f t="shared" si="0"/>
        <v>21.985714285714284</v>
      </c>
    </row>
    <row r="6" spans="1:8" ht="28.5" customHeight="1" x14ac:dyDescent="0.2">
      <c r="A6" s="114">
        <v>5</v>
      </c>
      <c r="B6" s="67" t="s">
        <v>171</v>
      </c>
      <c r="C6" s="68" t="s">
        <v>167</v>
      </c>
      <c r="D6" s="121">
        <v>187.5</v>
      </c>
      <c r="E6" s="124">
        <v>1</v>
      </c>
      <c r="F6" s="123">
        <f t="shared" si="1"/>
        <v>187.5</v>
      </c>
      <c r="G6" s="124">
        <v>7</v>
      </c>
      <c r="H6" s="125">
        <f t="shared" si="0"/>
        <v>26.785714285714285</v>
      </c>
    </row>
    <row r="7" spans="1:8" ht="28.5" customHeight="1" x14ac:dyDescent="0.2">
      <c r="A7" s="114">
        <v>6</v>
      </c>
      <c r="B7" s="67" t="s">
        <v>166</v>
      </c>
      <c r="C7" s="68" t="s">
        <v>172</v>
      </c>
      <c r="D7" s="121">
        <v>90</v>
      </c>
      <c r="E7" s="124">
        <v>1</v>
      </c>
      <c r="F7" s="123">
        <f t="shared" si="1"/>
        <v>90</v>
      </c>
      <c r="G7" s="124">
        <v>7</v>
      </c>
      <c r="H7" s="125">
        <f t="shared" si="0"/>
        <v>12.857142857142858</v>
      </c>
    </row>
    <row r="8" spans="1:8" ht="28.5" customHeight="1" x14ac:dyDescent="0.2">
      <c r="A8" s="114">
        <v>7</v>
      </c>
      <c r="B8" s="67" t="s">
        <v>98</v>
      </c>
      <c r="C8" s="68" t="s">
        <v>172</v>
      </c>
      <c r="D8" s="121">
        <v>35</v>
      </c>
      <c r="E8" s="124">
        <v>10</v>
      </c>
      <c r="F8" s="123">
        <f t="shared" ref="F8" si="2">D8*E8</f>
        <v>350</v>
      </c>
      <c r="G8" s="124">
        <v>7</v>
      </c>
      <c r="H8" s="125">
        <f t="shared" si="0"/>
        <v>50</v>
      </c>
    </row>
    <row r="9" spans="1:8" ht="28.5" customHeight="1" x14ac:dyDescent="0.2">
      <c r="A9" s="114">
        <v>8</v>
      </c>
      <c r="B9" s="67" t="s">
        <v>100</v>
      </c>
      <c r="C9" s="68"/>
      <c r="D9" s="121">
        <v>75</v>
      </c>
      <c r="E9" s="124">
        <v>1</v>
      </c>
      <c r="F9" s="123">
        <f>D9*E9</f>
        <v>75</v>
      </c>
      <c r="G9" s="124">
        <v>7</v>
      </c>
      <c r="H9" s="125">
        <f t="shared" si="0"/>
        <v>10.714285714285714</v>
      </c>
    </row>
    <row r="10" spans="1:8" ht="28.5" customHeight="1" thickBot="1" x14ac:dyDescent="0.25">
      <c r="A10" s="114">
        <v>9</v>
      </c>
      <c r="B10" s="67" t="s">
        <v>101</v>
      </c>
      <c r="C10" s="68"/>
      <c r="D10" s="121">
        <v>20</v>
      </c>
      <c r="E10" s="124">
        <v>2</v>
      </c>
      <c r="F10" s="123">
        <f>D10*E10</f>
        <v>40</v>
      </c>
      <c r="G10" s="124">
        <v>7</v>
      </c>
      <c r="H10" s="125">
        <f t="shared" si="0"/>
        <v>5.7142857142857144</v>
      </c>
    </row>
    <row r="11" spans="1:8" s="3" customFormat="1" ht="28.5" customHeight="1" thickBot="1" x14ac:dyDescent="0.25">
      <c r="A11" s="115"/>
      <c r="B11" s="69" t="s">
        <v>49</v>
      </c>
      <c r="C11" s="69"/>
      <c r="D11" s="126" t="s">
        <v>16</v>
      </c>
      <c r="E11" s="126" t="s">
        <v>16</v>
      </c>
      <c r="F11" s="127">
        <f>SUM(F2:F10)</f>
        <v>1691.4</v>
      </c>
      <c r="G11" s="126"/>
      <c r="H11" s="128">
        <f>SUM(H2:H10)</f>
        <v>210.91428571428574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N36"/>
  <sheetViews>
    <sheetView workbookViewId="0">
      <selection activeCell="E44" sqref="E44"/>
    </sheetView>
  </sheetViews>
  <sheetFormatPr defaultRowHeight="12.75" outlineLevelRow="1" outlineLevelCol="1" x14ac:dyDescent="0.2"/>
  <cols>
    <col min="1" max="1" width="37.42578125" bestFit="1" customWidth="1"/>
    <col min="2" max="2" width="9.140625" hidden="1" customWidth="1" outlineLevel="1"/>
    <col min="3" max="3" width="10" customWidth="1" collapsed="1"/>
    <col min="4" max="7" width="10" customWidth="1"/>
    <col min="9" max="9" width="27.7109375" customWidth="1" outlineLevel="1"/>
    <col min="10" max="14" width="9.140625" customWidth="1" outlineLevel="1"/>
  </cols>
  <sheetData>
    <row r="1" spans="1:14" ht="13.5" thickBot="1" x14ac:dyDescent="0.25">
      <c r="A1" t="s">
        <v>47</v>
      </c>
    </row>
    <row r="2" spans="1:14" ht="13.5" thickBot="1" x14ac:dyDescent="0.25">
      <c r="A2" s="13" t="s">
        <v>29</v>
      </c>
      <c r="B2" s="14" t="s">
        <v>41</v>
      </c>
      <c r="C2" s="14">
        <v>2019</v>
      </c>
      <c r="D2" s="14">
        <v>2020</v>
      </c>
      <c r="E2" s="14">
        <v>2021</v>
      </c>
      <c r="F2" s="14">
        <v>2022</v>
      </c>
      <c r="G2" s="14">
        <v>2023</v>
      </c>
      <c r="I2" s="13" t="s">
        <v>155</v>
      </c>
      <c r="J2" s="14">
        <v>2019</v>
      </c>
      <c r="K2" s="14">
        <v>2020</v>
      </c>
      <c r="L2" s="14">
        <v>2021</v>
      </c>
      <c r="M2" s="14">
        <v>2022</v>
      </c>
      <c r="N2" s="14">
        <v>2023</v>
      </c>
    </row>
    <row r="3" spans="1:14" ht="13.5" thickBot="1" x14ac:dyDescent="0.25">
      <c r="A3" s="85" t="s">
        <v>15</v>
      </c>
      <c r="B3" s="86">
        <f t="shared" ref="B3:G3" si="0">B4+B10+B12</f>
        <v>1151</v>
      </c>
      <c r="C3" s="86">
        <f t="shared" si="0"/>
        <v>0</v>
      </c>
      <c r="D3" s="86">
        <f t="shared" si="0"/>
        <v>0</v>
      </c>
      <c r="E3" s="86">
        <f t="shared" si="0"/>
        <v>0</v>
      </c>
      <c r="F3" s="86">
        <f t="shared" si="0"/>
        <v>0</v>
      </c>
      <c r="G3" s="86">
        <f t="shared" si="0"/>
        <v>0</v>
      </c>
      <c r="H3" s="84"/>
      <c r="I3" s="85" t="s">
        <v>15</v>
      </c>
      <c r="J3" s="87">
        <f>C3/1000</f>
        <v>0</v>
      </c>
      <c r="K3" s="87">
        <f t="shared" ref="K3:N3" si="1">D3/1000</f>
        <v>0</v>
      </c>
      <c r="L3" s="87">
        <f t="shared" si="1"/>
        <v>0</v>
      </c>
      <c r="M3" s="87">
        <f t="shared" si="1"/>
        <v>0</v>
      </c>
      <c r="N3" s="87">
        <f t="shared" si="1"/>
        <v>0</v>
      </c>
    </row>
    <row r="4" spans="1:14" s="5" customFormat="1" x14ac:dyDescent="0.2">
      <c r="A4" s="88" t="s">
        <v>30</v>
      </c>
      <c r="B4" s="89">
        <f>SUM(B5:B9)</f>
        <v>429</v>
      </c>
      <c r="C4" s="90">
        <f t="shared" ref="C4:G4" si="2">SUM(C5:C9)</f>
        <v>0</v>
      </c>
      <c r="D4" s="90">
        <f t="shared" si="2"/>
        <v>0</v>
      </c>
      <c r="E4" s="90">
        <f t="shared" si="2"/>
        <v>0</v>
      </c>
      <c r="F4" s="90">
        <f t="shared" si="2"/>
        <v>0</v>
      </c>
      <c r="G4" s="90">
        <f t="shared" si="2"/>
        <v>0</v>
      </c>
      <c r="H4" s="84"/>
      <c r="I4" s="88" t="s">
        <v>30</v>
      </c>
      <c r="J4" s="91">
        <f t="shared" ref="J4:J15" si="3">C4/1000</f>
        <v>0</v>
      </c>
      <c r="K4" s="91">
        <f t="shared" ref="K4:K15" si="4">D4/1000</f>
        <v>0</v>
      </c>
      <c r="L4" s="91">
        <f t="shared" ref="L4:L15" si="5">E4/1000</f>
        <v>0</v>
      </c>
      <c r="M4" s="91">
        <f t="shared" ref="M4:M15" si="6">F4/1000</f>
        <v>0</v>
      </c>
      <c r="N4" s="91">
        <f t="shared" ref="N4:N15" si="7">G4/1000</f>
        <v>0</v>
      </c>
    </row>
    <row r="5" spans="1:14" outlineLevel="1" x14ac:dyDescent="0.2">
      <c r="A5" s="92" t="s">
        <v>42</v>
      </c>
      <c r="B5" s="93">
        <v>93</v>
      </c>
      <c r="C5" s="93"/>
      <c r="D5" s="93"/>
      <c r="E5" s="93"/>
      <c r="F5" s="93"/>
      <c r="G5" s="93"/>
      <c r="H5" s="84"/>
      <c r="I5" s="94" t="s">
        <v>42</v>
      </c>
      <c r="J5" s="95">
        <f t="shared" si="3"/>
        <v>0</v>
      </c>
      <c r="K5" s="95">
        <f t="shared" si="4"/>
        <v>0</v>
      </c>
      <c r="L5" s="95">
        <f t="shared" si="5"/>
        <v>0</v>
      </c>
      <c r="M5" s="95">
        <f t="shared" si="6"/>
        <v>0</v>
      </c>
      <c r="N5" s="95">
        <f t="shared" si="7"/>
        <v>0</v>
      </c>
    </row>
    <row r="6" spans="1:14" outlineLevel="1" x14ac:dyDescent="0.2">
      <c r="A6" s="92" t="s">
        <v>31</v>
      </c>
      <c r="B6" s="93">
        <v>44</v>
      </c>
      <c r="C6" s="93"/>
      <c r="D6" s="93"/>
      <c r="E6" s="93"/>
      <c r="F6" s="93"/>
      <c r="G6" s="93"/>
      <c r="H6" s="84"/>
      <c r="I6" s="94" t="s">
        <v>31</v>
      </c>
      <c r="J6" s="95">
        <f t="shared" si="3"/>
        <v>0</v>
      </c>
      <c r="K6" s="95">
        <f t="shared" si="4"/>
        <v>0</v>
      </c>
      <c r="L6" s="95">
        <f t="shared" si="5"/>
        <v>0</v>
      </c>
      <c r="M6" s="95">
        <f t="shared" si="6"/>
        <v>0</v>
      </c>
      <c r="N6" s="95">
        <f t="shared" si="7"/>
        <v>0</v>
      </c>
    </row>
    <row r="7" spans="1:14" outlineLevel="1" x14ac:dyDescent="0.2">
      <c r="A7" s="92" t="s">
        <v>32</v>
      </c>
      <c r="B7" s="93">
        <v>72</v>
      </c>
      <c r="C7" s="93"/>
      <c r="D7" s="93"/>
      <c r="E7" s="93"/>
      <c r="F7" s="93"/>
      <c r="G7" s="93"/>
      <c r="H7" s="84"/>
      <c r="I7" s="94" t="s">
        <v>32</v>
      </c>
      <c r="J7" s="95">
        <f t="shared" si="3"/>
        <v>0</v>
      </c>
      <c r="K7" s="95">
        <f t="shared" si="4"/>
        <v>0</v>
      </c>
      <c r="L7" s="95">
        <f t="shared" si="5"/>
        <v>0</v>
      </c>
      <c r="M7" s="95">
        <f t="shared" si="6"/>
        <v>0</v>
      </c>
      <c r="N7" s="95">
        <f t="shared" si="7"/>
        <v>0</v>
      </c>
    </row>
    <row r="8" spans="1:14" outlineLevel="1" x14ac:dyDescent="0.2">
      <c r="A8" s="92" t="s">
        <v>33</v>
      </c>
      <c r="B8" s="93">
        <v>72</v>
      </c>
      <c r="C8" s="93"/>
      <c r="D8" s="93"/>
      <c r="E8" s="93"/>
      <c r="F8" s="93"/>
      <c r="G8" s="93"/>
      <c r="H8" s="84"/>
      <c r="I8" s="94" t="s">
        <v>33</v>
      </c>
      <c r="J8" s="95">
        <f t="shared" si="3"/>
        <v>0</v>
      </c>
      <c r="K8" s="95">
        <f t="shared" si="4"/>
        <v>0</v>
      </c>
      <c r="L8" s="95">
        <f t="shared" si="5"/>
        <v>0</v>
      </c>
      <c r="M8" s="95">
        <f t="shared" si="6"/>
        <v>0</v>
      </c>
      <c r="N8" s="95">
        <f t="shared" si="7"/>
        <v>0</v>
      </c>
    </row>
    <row r="9" spans="1:14" outlineLevel="1" x14ac:dyDescent="0.2">
      <c r="A9" s="92" t="s">
        <v>34</v>
      </c>
      <c r="B9" s="93">
        <v>148</v>
      </c>
      <c r="C9" s="93"/>
      <c r="D9" s="93"/>
      <c r="E9" s="93"/>
      <c r="F9" s="93"/>
      <c r="G9" s="93"/>
      <c r="H9" s="84"/>
      <c r="I9" s="94" t="s">
        <v>34</v>
      </c>
      <c r="J9" s="95">
        <f t="shared" si="3"/>
        <v>0</v>
      </c>
      <c r="K9" s="95">
        <f t="shared" si="4"/>
        <v>0</v>
      </c>
      <c r="L9" s="95">
        <f t="shared" si="5"/>
        <v>0</v>
      </c>
      <c r="M9" s="95">
        <f t="shared" si="6"/>
        <v>0</v>
      </c>
      <c r="N9" s="95">
        <f t="shared" si="7"/>
        <v>0</v>
      </c>
    </row>
    <row r="10" spans="1:14" s="5" customFormat="1" x14ac:dyDescent="0.2">
      <c r="A10" s="88" t="s">
        <v>35</v>
      </c>
      <c r="B10" s="89">
        <f>SUM(B11)</f>
        <v>111</v>
      </c>
      <c r="C10" s="90">
        <f t="shared" ref="C10:G10" si="8">SUM(C11)</f>
        <v>0</v>
      </c>
      <c r="D10" s="90">
        <f t="shared" si="8"/>
        <v>0</v>
      </c>
      <c r="E10" s="90">
        <f t="shared" si="8"/>
        <v>0</v>
      </c>
      <c r="F10" s="90">
        <f t="shared" si="8"/>
        <v>0</v>
      </c>
      <c r="G10" s="90">
        <f t="shared" si="8"/>
        <v>0</v>
      </c>
      <c r="H10" s="84"/>
      <c r="I10" s="88" t="s">
        <v>35</v>
      </c>
      <c r="J10" s="91">
        <f t="shared" si="3"/>
        <v>0</v>
      </c>
      <c r="K10" s="91">
        <f t="shared" si="4"/>
        <v>0</v>
      </c>
      <c r="L10" s="91">
        <f t="shared" si="5"/>
        <v>0</v>
      </c>
      <c r="M10" s="91">
        <f t="shared" si="6"/>
        <v>0</v>
      </c>
      <c r="N10" s="91">
        <f t="shared" si="7"/>
        <v>0</v>
      </c>
    </row>
    <row r="11" spans="1:14" outlineLevel="1" x14ac:dyDescent="0.2">
      <c r="A11" s="92" t="s">
        <v>36</v>
      </c>
      <c r="B11" s="93">
        <v>111</v>
      </c>
      <c r="C11" s="93"/>
      <c r="D11" s="93"/>
      <c r="E11" s="93"/>
      <c r="F11" s="93"/>
      <c r="G11" s="93"/>
      <c r="H11" s="84"/>
      <c r="I11" s="94" t="s">
        <v>36</v>
      </c>
      <c r="J11" s="95">
        <f t="shared" si="3"/>
        <v>0</v>
      </c>
      <c r="K11" s="95">
        <f t="shared" si="4"/>
        <v>0</v>
      </c>
      <c r="L11" s="95">
        <f t="shared" si="5"/>
        <v>0</v>
      </c>
      <c r="M11" s="95">
        <f t="shared" si="6"/>
        <v>0</v>
      </c>
      <c r="N11" s="95">
        <f t="shared" si="7"/>
        <v>0</v>
      </c>
    </row>
    <row r="12" spans="1:14" s="5" customFormat="1" x14ac:dyDescent="0.2">
      <c r="A12" s="88" t="s">
        <v>37</v>
      </c>
      <c r="B12" s="89">
        <f>SUM(B13:B15)</f>
        <v>611</v>
      </c>
      <c r="C12" s="90">
        <f t="shared" ref="C12:G12" si="9">SUM(C13:C15)</f>
        <v>0</v>
      </c>
      <c r="D12" s="90">
        <f t="shared" si="9"/>
        <v>0</v>
      </c>
      <c r="E12" s="90">
        <f t="shared" si="9"/>
        <v>0</v>
      </c>
      <c r="F12" s="90">
        <f t="shared" si="9"/>
        <v>0</v>
      </c>
      <c r="G12" s="90">
        <f t="shared" si="9"/>
        <v>0</v>
      </c>
      <c r="H12" s="84"/>
      <c r="I12" s="88" t="s">
        <v>37</v>
      </c>
      <c r="J12" s="91">
        <f t="shared" si="3"/>
        <v>0</v>
      </c>
      <c r="K12" s="91">
        <f t="shared" si="4"/>
        <v>0</v>
      </c>
      <c r="L12" s="91">
        <f t="shared" si="5"/>
        <v>0</v>
      </c>
      <c r="M12" s="91">
        <f t="shared" si="6"/>
        <v>0</v>
      </c>
      <c r="N12" s="91">
        <f t="shared" si="7"/>
        <v>0</v>
      </c>
    </row>
    <row r="13" spans="1:14" outlineLevel="1" x14ac:dyDescent="0.2">
      <c r="A13" s="92" t="s">
        <v>38</v>
      </c>
      <c r="B13" s="93">
        <v>222</v>
      </c>
      <c r="C13" s="93"/>
      <c r="D13" s="93"/>
      <c r="E13" s="93"/>
      <c r="F13" s="93"/>
      <c r="G13" s="93"/>
      <c r="H13" s="84"/>
      <c r="I13" s="94" t="s">
        <v>38</v>
      </c>
      <c r="J13" s="95">
        <f t="shared" si="3"/>
        <v>0</v>
      </c>
      <c r="K13" s="95">
        <f t="shared" si="4"/>
        <v>0</v>
      </c>
      <c r="L13" s="95">
        <f t="shared" si="5"/>
        <v>0</v>
      </c>
      <c r="M13" s="95">
        <f t="shared" si="6"/>
        <v>0</v>
      </c>
      <c r="N13" s="95">
        <f t="shared" si="7"/>
        <v>0</v>
      </c>
    </row>
    <row r="14" spans="1:14" outlineLevel="1" x14ac:dyDescent="0.2">
      <c r="A14" s="92" t="s">
        <v>39</v>
      </c>
      <c r="B14" s="93">
        <v>56</v>
      </c>
      <c r="C14" s="93"/>
      <c r="D14" s="93"/>
      <c r="E14" s="93"/>
      <c r="F14" s="93"/>
      <c r="G14" s="93"/>
      <c r="H14" s="84"/>
      <c r="I14" s="94" t="s">
        <v>39</v>
      </c>
      <c r="J14" s="95">
        <f t="shared" si="3"/>
        <v>0</v>
      </c>
      <c r="K14" s="95">
        <f t="shared" si="4"/>
        <v>0</v>
      </c>
      <c r="L14" s="95">
        <f t="shared" si="5"/>
        <v>0</v>
      </c>
      <c r="M14" s="95">
        <f t="shared" si="6"/>
        <v>0</v>
      </c>
      <c r="N14" s="95">
        <f t="shared" si="7"/>
        <v>0</v>
      </c>
    </row>
    <row r="15" spans="1:14" outlineLevel="1" x14ac:dyDescent="0.2">
      <c r="A15" s="92" t="s">
        <v>40</v>
      </c>
      <c r="B15" s="93">
        <v>333</v>
      </c>
      <c r="C15" s="93"/>
      <c r="D15" s="93"/>
      <c r="E15" s="93"/>
      <c r="F15" s="93"/>
      <c r="G15" s="93"/>
      <c r="H15" s="84"/>
      <c r="I15" s="94" t="s">
        <v>40</v>
      </c>
      <c r="J15" s="95">
        <f t="shared" si="3"/>
        <v>0</v>
      </c>
      <c r="K15" s="95">
        <f t="shared" si="4"/>
        <v>0</v>
      </c>
      <c r="L15" s="95">
        <f t="shared" si="5"/>
        <v>0</v>
      </c>
      <c r="M15" s="95">
        <f t="shared" si="6"/>
        <v>0</v>
      </c>
      <c r="N15" s="95">
        <f t="shared" si="7"/>
        <v>0</v>
      </c>
    </row>
    <row r="17" spans="1:7" ht="13.5" thickBot="1" x14ac:dyDescent="0.25">
      <c r="A17" s="12" t="s">
        <v>48</v>
      </c>
    </row>
    <row r="18" spans="1:7" ht="13.5" thickBot="1" x14ac:dyDescent="0.25">
      <c r="A18" s="13" t="s">
        <v>29</v>
      </c>
      <c r="B18" s="14"/>
      <c r="C18" s="14">
        <v>2019</v>
      </c>
      <c r="D18" s="14">
        <v>2020</v>
      </c>
      <c r="E18" s="14">
        <v>2021</v>
      </c>
      <c r="F18" s="14">
        <v>2022</v>
      </c>
      <c r="G18" s="14">
        <v>2023</v>
      </c>
    </row>
    <row r="19" spans="1:7" ht="13.5" thickBot="1" x14ac:dyDescent="0.25">
      <c r="A19" s="9" t="s">
        <v>15</v>
      </c>
      <c r="B19" s="15"/>
      <c r="C19" s="15">
        <f>input!$C$33*OPEX!C20</f>
        <v>32933.999999999993</v>
      </c>
      <c r="D19" s="15">
        <f>input!$C$33*OPEX!D20</f>
        <v>47048.57142857142</v>
      </c>
      <c r="E19" s="15">
        <f>input!$C$33*OPEX!E20</f>
        <v>47048.57142857142</v>
      </c>
      <c r="F19" s="15">
        <f>input!$C$33*OPEX!F20</f>
        <v>47048.57142857142</v>
      </c>
      <c r="G19" s="15">
        <f>input!$C$33*OPEX!G20</f>
        <v>47048.57142857142</v>
      </c>
    </row>
    <row r="20" spans="1:7" x14ac:dyDescent="0.2">
      <c r="A20" t="s">
        <v>68</v>
      </c>
      <c r="C20" s="19">
        <f>prod!B3/MAX(prod!$B$3:$F$3)</f>
        <v>0.7</v>
      </c>
      <c r="D20" s="19">
        <f>prod!C3/MAX(prod!$B$3:$F$3)</f>
        <v>1</v>
      </c>
      <c r="E20" s="19">
        <f>prod!D3/MAX(prod!$B$3:$F$3)</f>
        <v>1</v>
      </c>
      <c r="F20" s="19">
        <f>prod!E3/MAX(prod!$B$3:$F$3)</f>
        <v>1</v>
      </c>
      <c r="G20" s="19">
        <f>prod!F3/MAX(prod!$B$3:$F$3)</f>
        <v>1</v>
      </c>
    </row>
    <row r="22" spans="1:7" ht="13.5" thickBot="1" x14ac:dyDescent="0.25">
      <c r="A22" t="s">
        <v>67</v>
      </c>
    </row>
    <row r="23" spans="1:7" ht="13.5" thickBot="1" x14ac:dyDescent="0.25">
      <c r="A23" s="13" t="s">
        <v>29</v>
      </c>
      <c r="B23" s="14"/>
      <c r="C23" s="14">
        <v>2019</v>
      </c>
      <c r="D23" s="14">
        <v>2020</v>
      </c>
      <c r="E23" s="14">
        <v>2021</v>
      </c>
      <c r="F23" s="14">
        <v>2022</v>
      </c>
      <c r="G23" s="14">
        <v>2023</v>
      </c>
    </row>
    <row r="24" spans="1:7" s="5" customFormat="1" x14ac:dyDescent="0.2">
      <c r="A24" s="26" t="s">
        <v>17</v>
      </c>
      <c r="B24" s="27"/>
      <c r="C24" s="28">
        <f>staff!C42</f>
        <v>22200</v>
      </c>
      <c r="D24" s="28">
        <f>staff!D42</f>
        <v>22200</v>
      </c>
      <c r="E24" s="28">
        <f>staff!E42</f>
        <v>22200</v>
      </c>
      <c r="F24" s="28">
        <f>staff!F42</f>
        <v>22200</v>
      </c>
      <c r="G24" s="28">
        <f>staff!G42</f>
        <v>22200</v>
      </c>
    </row>
    <row r="25" spans="1:7" s="5" customFormat="1" x14ac:dyDescent="0.2">
      <c r="A25" s="26" t="s">
        <v>13</v>
      </c>
      <c r="B25" s="27"/>
      <c r="C25" s="28">
        <f>staff!C47</f>
        <v>73860</v>
      </c>
      <c r="D25" s="28">
        <f>staff!D47</f>
        <v>90960</v>
      </c>
      <c r="E25" s="28">
        <f>staff!E47</f>
        <v>102180</v>
      </c>
      <c r="F25" s="28">
        <f>staff!F47</f>
        <v>102180</v>
      </c>
      <c r="G25" s="28">
        <f>staff!G47</f>
        <v>102180</v>
      </c>
    </row>
    <row r="27" spans="1:7" ht="13.5" thickBot="1" x14ac:dyDescent="0.25">
      <c r="A27" t="s">
        <v>83</v>
      </c>
    </row>
    <row r="28" spans="1:7" ht="13.5" thickBot="1" x14ac:dyDescent="0.25">
      <c r="A28" s="13" t="s">
        <v>29</v>
      </c>
      <c r="B28" s="14"/>
      <c r="C28" s="14">
        <v>2019</v>
      </c>
      <c r="D28" s="14">
        <v>2020</v>
      </c>
      <c r="E28" s="14">
        <v>2021</v>
      </c>
      <c r="F28" s="14">
        <v>2022</v>
      </c>
      <c r="G28" s="14">
        <v>2023</v>
      </c>
    </row>
    <row r="29" spans="1:7" x14ac:dyDescent="0.2">
      <c r="A29" s="11" t="s">
        <v>30</v>
      </c>
      <c r="B29">
        <v>5</v>
      </c>
      <c r="C29" s="18">
        <v>0</v>
      </c>
      <c r="D29" s="18">
        <v>0</v>
      </c>
      <c r="E29" s="18">
        <f>SUM($C4:$G4)/$B29</f>
        <v>0</v>
      </c>
      <c r="F29" s="18">
        <f t="shared" ref="F29:G29" si="10">SUM($C4:$G4)/$B29</f>
        <v>0</v>
      </c>
      <c r="G29" s="18">
        <f t="shared" si="10"/>
        <v>0</v>
      </c>
    </row>
    <row r="30" spans="1:7" x14ac:dyDescent="0.2">
      <c r="A30" s="11" t="s">
        <v>35</v>
      </c>
      <c r="B30">
        <v>5</v>
      </c>
      <c r="C30" s="18">
        <v>0</v>
      </c>
      <c r="D30" s="18">
        <v>0</v>
      </c>
      <c r="E30" s="18">
        <f>SUM($C10:$G10)/$B30</f>
        <v>0</v>
      </c>
      <c r="F30" s="18">
        <f t="shared" ref="F30:G30" si="11">SUM($C10:$G10)/$B30</f>
        <v>0</v>
      </c>
      <c r="G30" s="18">
        <f t="shared" si="11"/>
        <v>0</v>
      </c>
    </row>
    <row r="31" spans="1:7" x14ac:dyDescent="0.2">
      <c r="A31" s="11" t="s">
        <v>71</v>
      </c>
      <c r="C31" s="18">
        <f>input!$B$24/input!$B$6*prod!B2*1000</f>
        <v>1750000</v>
      </c>
      <c r="D31" s="18">
        <f>input!$B$24/input!$B$6*prod!C2*1000</f>
        <v>2500000</v>
      </c>
      <c r="E31" s="18">
        <f>input!$B$24/input!$B$6*prod!D2*1000</f>
        <v>2500000</v>
      </c>
      <c r="F31" s="18">
        <f>input!$B$24/input!$B$6*prod!E2*1000</f>
        <v>2500000</v>
      </c>
      <c r="G31" s="18">
        <f>input!$B$24/input!$B$6*prod!F2*1000</f>
        <v>2500000</v>
      </c>
    </row>
    <row r="32" spans="1:7" x14ac:dyDescent="0.2">
      <c r="A32" s="11" t="s">
        <v>37</v>
      </c>
      <c r="C32" s="18">
        <f>C12</f>
        <v>0</v>
      </c>
      <c r="D32" s="18">
        <f t="shared" ref="D32:G32" si="12">D12</f>
        <v>0</v>
      </c>
      <c r="E32" s="18">
        <f t="shared" si="12"/>
        <v>0</v>
      </c>
      <c r="F32" s="18">
        <f t="shared" si="12"/>
        <v>0</v>
      </c>
      <c r="G32" s="18">
        <f t="shared" si="12"/>
        <v>0</v>
      </c>
    </row>
    <row r="33" spans="1:7" x14ac:dyDescent="0.2">
      <c r="A33" s="11" t="s">
        <v>72</v>
      </c>
      <c r="C33" s="18">
        <f>C19</f>
        <v>32933.999999999993</v>
      </c>
      <c r="D33" s="18">
        <f t="shared" ref="D33:G33" si="13">D19</f>
        <v>47048.57142857142</v>
      </c>
      <c r="E33" s="18">
        <f t="shared" si="13"/>
        <v>47048.57142857142</v>
      </c>
      <c r="F33" s="18">
        <f t="shared" si="13"/>
        <v>47048.57142857142</v>
      </c>
      <c r="G33" s="18">
        <f t="shared" si="13"/>
        <v>47048.57142857142</v>
      </c>
    </row>
    <row r="34" spans="1:7" ht="13.5" thickBot="1" x14ac:dyDescent="0.25">
      <c r="A34" s="11" t="s">
        <v>13</v>
      </c>
      <c r="C34" s="18">
        <f>C25</f>
        <v>73860</v>
      </c>
      <c r="D34" s="18">
        <f t="shared" ref="D34:G34" si="14">D25</f>
        <v>90960</v>
      </c>
      <c r="E34" s="18">
        <f t="shared" si="14"/>
        <v>102180</v>
      </c>
      <c r="F34" s="18">
        <f t="shared" si="14"/>
        <v>102180</v>
      </c>
      <c r="G34" s="18">
        <f t="shared" si="14"/>
        <v>102180</v>
      </c>
    </row>
    <row r="35" spans="1:7" ht="13.5" thickBot="1" x14ac:dyDescent="0.25">
      <c r="A35" s="9" t="s">
        <v>73</v>
      </c>
      <c r="B35" s="15"/>
      <c r="C35" s="15">
        <f>SUM(C29:C34)</f>
        <v>1856794</v>
      </c>
      <c r="D35" s="15">
        <f>SUM(D29:D34)</f>
        <v>2638008.5714285714</v>
      </c>
      <c r="E35" s="15">
        <f>SUM(E29:E34)</f>
        <v>2649228.5714285714</v>
      </c>
      <c r="F35" s="15">
        <f>SUM(F29:F34)</f>
        <v>2649228.5714285714</v>
      </c>
      <c r="G35" s="15">
        <f>SUM(G29:G34)</f>
        <v>2649228.5714285714</v>
      </c>
    </row>
    <row r="36" spans="1:7" x14ac:dyDescent="0.2">
      <c r="A36" t="s">
        <v>74</v>
      </c>
      <c r="B36" t="s">
        <v>51</v>
      </c>
      <c r="C36" s="30">
        <f>C35/prod!B3/1000</f>
        <v>2.6525628571428568</v>
      </c>
      <c r="D36" s="30">
        <f>D35/prod!C3/1000</f>
        <v>2.6380085714285717</v>
      </c>
      <c r="E36" s="30">
        <f>E35/prod!D3/1000</f>
        <v>2.6492285714285715</v>
      </c>
      <c r="F36" s="30">
        <f>F35/prod!E3/1000</f>
        <v>2.6492285714285715</v>
      </c>
      <c r="G36" s="30">
        <f>G35/prod!F3/1000</f>
        <v>2.6492285714285715</v>
      </c>
    </row>
  </sheetData>
  <sortState xmlns:xlrd2="http://schemas.microsoft.com/office/spreadsheetml/2017/richdata2" ref="I29:J34">
    <sortCondition ref="J29:J34"/>
  </sortState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9"/>
  <sheetViews>
    <sheetView showGridLines="0" tabSelected="1" topLeftCell="A7" workbookViewId="0">
      <selection activeCell="H7" sqref="H7"/>
    </sheetView>
  </sheetViews>
  <sheetFormatPr defaultRowHeight="12.75" x14ac:dyDescent="0.2"/>
  <cols>
    <col min="1" max="1" width="27.5703125" bestFit="1" customWidth="1"/>
    <col min="8" max="8" width="9.140625" customWidth="1"/>
    <col min="9" max="9" width="9.85546875" bestFit="1" customWidth="1"/>
  </cols>
  <sheetData>
    <row r="1" spans="1:6" ht="13.5" thickBot="1" x14ac:dyDescent="0.25">
      <c r="A1" s="38" t="s">
        <v>135</v>
      </c>
    </row>
    <row r="2" spans="1:6" ht="13.5" thickBot="1" x14ac:dyDescent="0.25">
      <c r="A2" s="13" t="s">
        <v>64</v>
      </c>
      <c r="B2" s="14">
        <v>2019</v>
      </c>
      <c r="C2" s="14">
        <v>2020</v>
      </c>
      <c r="D2" s="14">
        <v>2021</v>
      </c>
      <c r="E2" s="14">
        <v>2022</v>
      </c>
      <c r="F2" s="14">
        <v>2023</v>
      </c>
    </row>
    <row r="3" spans="1:6" x14ac:dyDescent="0.2">
      <c r="A3" s="54" t="s">
        <v>81</v>
      </c>
      <c r="B3" s="55">
        <f>prod!B3*input!$B$21</f>
        <v>3150</v>
      </c>
      <c r="C3" s="55">
        <f>prod!C3*input!$B$21</f>
        <v>4500</v>
      </c>
      <c r="D3" s="55">
        <f>prod!D3*input!$B$21</f>
        <v>4500</v>
      </c>
      <c r="E3" s="55">
        <f>prod!E3*input!$B$21</f>
        <v>4500</v>
      </c>
      <c r="F3" s="55">
        <f>prod!F3*input!$B$21</f>
        <v>4500</v>
      </c>
    </row>
    <row r="4" spans="1:6" x14ac:dyDescent="0.2">
      <c r="A4" s="56" t="s">
        <v>80</v>
      </c>
      <c r="B4" s="57">
        <f>-prod!B3*OPEX!C36</f>
        <v>-1856.7939999999996</v>
      </c>
      <c r="C4" s="57">
        <f>-prod!C3*OPEX!D36</f>
        <v>-2638.0085714285715</v>
      </c>
      <c r="D4" s="57">
        <f>-prod!D3*OPEX!E36</f>
        <v>-2649.2285714285713</v>
      </c>
      <c r="E4" s="57">
        <f>-prod!E3*OPEX!F36</f>
        <v>-2649.2285714285713</v>
      </c>
      <c r="F4" s="57">
        <f>-prod!F3*OPEX!G36</f>
        <v>-2649.2285714285713</v>
      </c>
    </row>
    <row r="5" spans="1:6" x14ac:dyDescent="0.2">
      <c r="A5" s="4" t="s">
        <v>82</v>
      </c>
      <c r="B5" s="58">
        <f>SUM(B3:B4)</f>
        <v>1293.2060000000004</v>
      </c>
      <c r="C5" s="58">
        <f t="shared" ref="C5:F5" si="0">SUM(C3:C4)</f>
        <v>1861.9914285714285</v>
      </c>
      <c r="D5" s="58">
        <f t="shared" si="0"/>
        <v>1850.7714285714287</v>
      </c>
      <c r="E5" s="58">
        <f t="shared" si="0"/>
        <v>1850.7714285714287</v>
      </c>
      <c r="F5" s="58">
        <f t="shared" si="0"/>
        <v>1850.7714285714287</v>
      </c>
    </row>
    <row r="6" spans="1:6" x14ac:dyDescent="0.2">
      <c r="A6" s="52" t="s">
        <v>88</v>
      </c>
      <c r="B6" s="53">
        <f>B5/B3</f>
        <v>0.41054158730158741</v>
      </c>
      <c r="C6" s="53">
        <f t="shared" ref="C6:F6" si="1">C5/C3</f>
        <v>0.41377587301587299</v>
      </c>
      <c r="D6" s="53">
        <f t="shared" si="1"/>
        <v>0.41128253968253969</v>
      </c>
      <c r="E6" s="53">
        <f t="shared" si="1"/>
        <v>0.41128253968253969</v>
      </c>
      <c r="F6" s="53">
        <f t="shared" si="1"/>
        <v>0.41128253968253969</v>
      </c>
    </row>
    <row r="7" spans="1:6" x14ac:dyDescent="0.2">
      <c r="A7" s="52" t="s">
        <v>84</v>
      </c>
      <c r="B7" s="57">
        <f>-staff!C42/1000</f>
        <v>-22.2</v>
      </c>
      <c r="C7" s="57">
        <f>-staff!D42/1000</f>
        <v>-22.2</v>
      </c>
      <c r="D7" s="57">
        <f>-staff!E42/1000</f>
        <v>-22.2</v>
      </c>
      <c r="E7" s="57">
        <f>-staff!F42/1000</f>
        <v>-22.2</v>
      </c>
      <c r="F7" s="57">
        <f>-staff!G42/1000</f>
        <v>-22.2</v>
      </c>
    </row>
    <row r="8" spans="1:6" x14ac:dyDescent="0.2">
      <c r="A8" s="52" t="s">
        <v>163</v>
      </c>
      <c r="B8" s="57">
        <f>-B3*input!$B$43</f>
        <v>-126</v>
      </c>
      <c r="C8" s="57">
        <f>-C3*input!$B$43</f>
        <v>-180</v>
      </c>
      <c r="D8" s="57">
        <f>-D3*input!$B$43</f>
        <v>-180</v>
      </c>
      <c r="E8" s="57">
        <f>-E3*input!$B$43</f>
        <v>-180</v>
      </c>
      <c r="F8" s="57">
        <f>-F3*input!$B$43</f>
        <v>-180</v>
      </c>
    </row>
    <row r="9" spans="1:6" x14ac:dyDescent="0.2">
      <c r="A9" s="4" t="s">
        <v>86</v>
      </c>
      <c r="B9" s="58">
        <f>SUM(B5,B7:B8)</f>
        <v>1145.0060000000003</v>
      </c>
      <c r="C9" s="58">
        <f t="shared" ref="C9:F9" si="2">SUM(C5,C7:C8)</f>
        <v>1659.7914285714285</v>
      </c>
      <c r="D9" s="58">
        <f t="shared" si="2"/>
        <v>1648.5714285714287</v>
      </c>
      <c r="E9" s="58">
        <f t="shared" si="2"/>
        <v>1648.5714285714287</v>
      </c>
      <c r="F9" s="58">
        <f t="shared" si="2"/>
        <v>1648.5714285714287</v>
      </c>
    </row>
    <row r="10" spans="1:6" x14ac:dyDescent="0.2">
      <c r="A10" s="52" t="s">
        <v>87</v>
      </c>
      <c r="B10" s="53">
        <f>B9/B3</f>
        <v>0.36349396825396835</v>
      </c>
      <c r="C10" s="53">
        <f t="shared" ref="C10:F10" si="3">C9/C3</f>
        <v>0.36884253968253966</v>
      </c>
      <c r="D10" s="53">
        <f t="shared" si="3"/>
        <v>0.36634920634920637</v>
      </c>
      <c r="E10" s="53">
        <f t="shared" si="3"/>
        <v>0.36634920634920637</v>
      </c>
      <c r="F10" s="53">
        <f t="shared" si="3"/>
        <v>0.36634920634920637</v>
      </c>
    </row>
    <row r="11" spans="1:6" x14ac:dyDescent="0.2">
      <c r="A11" s="52" t="s">
        <v>85</v>
      </c>
      <c r="B11" s="59">
        <f>-B53*input!$B$36</f>
        <v>-140</v>
      </c>
      <c r="C11" s="59">
        <f>-C53*input!$B$36</f>
        <v>0</v>
      </c>
      <c r="D11" s="59">
        <f>-D53*input!$B$36</f>
        <v>0</v>
      </c>
      <c r="E11" s="59">
        <f>-E53*input!$B$36</f>
        <v>0</v>
      </c>
      <c r="F11" s="56"/>
    </row>
    <row r="12" spans="1:6" x14ac:dyDescent="0.2">
      <c r="A12" s="52" t="s">
        <v>93</v>
      </c>
      <c r="B12" s="57">
        <f>-CAPEX!$H$11</f>
        <v>-210.91428571428574</v>
      </c>
      <c r="C12" s="57">
        <f>-CAPEX!$H$11</f>
        <v>-210.91428571428574</v>
      </c>
      <c r="D12" s="57">
        <f>-CAPEX!$H$11</f>
        <v>-210.91428571428574</v>
      </c>
      <c r="E12" s="57">
        <f>-CAPEX!$H$11</f>
        <v>-210.91428571428574</v>
      </c>
      <c r="F12" s="57">
        <f>-CAPEX!$H$11</f>
        <v>-210.91428571428574</v>
      </c>
    </row>
    <row r="13" spans="1:6" x14ac:dyDescent="0.2">
      <c r="A13" s="4" t="s">
        <v>89</v>
      </c>
      <c r="B13" s="58">
        <f>SUM(B9,B11:B12)</f>
        <v>794.0917142857146</v>
      </c>
      <c r="C13" s="58">
        <f t="shared" ref="C13:F13" si="4">SUM(C9,C11:C12)</f>
        <v>1448.8771428571426</v>
      </c>
      <c r="D13" s="58">
        <f t="shared" si="4"/>
        <v>1437.6571428571428</v>
      </c>
      <c r="E13" s="58">
        <f t="shared" si="4"/>
        <v>1437.6571428571428</v>
      </c>
      <c r="F13" s="58">
        <f t="shared" si="4"/>
        <v>1437.6571428571428</v>
      </c>
    </row>
    <row r="14" spans="1:6" x14ac:dyDescent="0.2">
      <c r="A14" s="52" t="s">
        <v>90</v>
      </c>
      <c r="B14" s="57">
        <f>-IF(B13&gt;0,B13*input!$B$35,0)</f>
        <v>-119.11375714285718</v>
      </c>
      <c r="C14" s="57">
        <f>-IF(C13&gt;0,C13*input!$B$35,0)</f>
        <v>-217.33157142857138</v>
      </c>
      <c r="D14" s="57">
        <f>-IF(D13&gt;0,D13*input!$B$35,0)</f>
        <v>-215.64857142857142</v>
      </c>
      <c r="E14" s="57">
        <f>-IF(E13&gt;0,E13*input!$B$35,0)</f>
        <v>-215.64857142857142</v>
      </c>
      <c r="F14" s="57">
        <f>-IF(F13&gt;0,F13*input!$B$35,0)</f>
        <v>-215.64857142857142</v>
      </c>
    </row>
    <row r="15" spans="1:6" x14ac:dyDescent="0.2">
      <c r="A15" s="4" t="s">
        <v>91</v>
      </c>
      <c r="B15" s="58">
        <f>B13+B14</f>
        <v>674.97795714285746</v>
      </c>
      <c r="C15" s="58">
        <f t="shared" ref="C15:F15" si="5">C13+C14</f>
        <v>1231.5455714285713</v>
      </c>
      <c r="D15" s="58">
        <f t="shared" si="5"/>
        <v>1222.0085714285715</v>
      </c>
      <c r="E15" s="58">
        <f t="shared" si="5"/>
        <v>1222.0085714285715</v>
      </c>
      <c r="F15" s="58">
        <f t="shared" si="5"/>
        <v>1222.0085714285715</v>
      </c>
    </row>
    <row r="16" spans="1:6" ht="13.5" thickBot="1" x14ac:dyDescent="0.25">
      <c r="A16" s="60" t="s">
        <v>108</v>
      </c>
      <c r="B16" s="61">
        <f>B15/B3</f>
        <v>0.21427871655328809</v>
      </c>
      <c r="C16" s="61">
        <f t="shared" ref="C16:F16" si="6">C15/C3</f>
        <v>0.27367679365079361</v>
      </c>
      <c r="D16" s="61">
        <f t="shared" si="6"/>
        <v>0.27155746031746031</v>
      </c>
      <c r="E16" s="61">
        <f t="shared" si="6"/>
        <v>0.27155746031746031</v>
      </c>
      <c r="F16" s="61">
        <f t="shared" si="6"/>
        <v>0.27155746031746031</v>
      </c>
    </row>
    <row r="18" spans="1:12" ht="13.5" thickBot="1" x14ac:dyDescent="0.25">
      <c r="A18" s="38" t="s">
        <v>136</v>
      </c>
      <c r="H18" t="s">
        <v>158</v>
      </c>
    </row>
    <row r="19" spans="1:12" ht="13.5" thickBot="1" x14ac:dyDescent="0.25">
      <c r="A19" s="13" t="s">
        <v>64</v>
      </c>
      <c r="B19" s="14">
        <v>2019</v>
      </c>
      <c r="C19" s="14">
        <v>2020</v>
      </c>
      <c r="D19" s="14">
        <v>2021</v>
      </c>
      <c r="E19" s="14">
        <v>2022</v>
      </c>
      <c r="F19" s="14">
        <v>2023</v>
      </c>
      <c r="H19" s="14">
        <v>2019</v>
      </c>
      <c r="I19" s="14">
        <v>2020</v>
      </c>
      <c r="J19" s="14">
        <v>2021</v>
      </c>
      <c r="K19" s="14">
        <v>2022</v>
      </c>
      <c r="L19" s="14">
        <v>2023</v>
      </c>
    </row>
    <row r="20" spans="1:12" x14ac:dyDescent="0.2">
      <c r="A20" s="54" t="s">
        <v>111</v>
      </c>
      <c r="B20" s="55">
        <f>SUM(B21:B28)</f>
        <v>857.12511956947196</v>
      </c>
      <c r="C20" s="55">
        <f>SUM(C21:C28)</f>
        <v>1430.1310900195692</v>
      </c>
      <c r="D20" s="55">
        <f>SUM(D21:D28)</f>
        <v>1432.9228571428571</v>
      </c>
      <c r="E20" s="55">
        <f>SUM(E21:E28)</f>
        <v>1432.9228571428571</v>
      </c>
      <c r="F20" s="55">
        <f>SUM(F21:F28)</f>
        <v>1432.9228571428571</v>
      </c>
      <c r="H20" s="36">
        <f>B20+B29</f>
        <v>-834.27488043052813</v>
      </c>
      <c r="I20" s="36">
        <f t="shared" ref="I20:L20" si="7">C20+C29</f>
        <v>1430.1310900195692</v>
      </c>
      <c r="J20" s="36">
        <f t="shared" si="7"/>
        <v>1432.9228571428571</v>
      </c>
      <c r="K20" s="36">
        <f t="shared" si="7"/>
        <v>1432.9228571428571</v>
      </c>
      <c r="L20" s="36">
        <f t="shared" si="7"/>
        <v>1432.9228571428571</v>
      </c>
    </row>
    <row r="21" spans="1:12" x14ac:dyDescent="0.2">
      <c r="A21" s="62" t="s">
        <v>112</v>
      </c>
      <c r="B21" s="59">
        <f>calc!B11</f>
        <v>3020.5479452054797</v>
      </c>
      <c r="C21" s="59">
        <f>calc!C11</f>
        <v>4444.5205479452052</v>
      </c>
      <c r="D21" s="59">
        <f>calc!D11</f>
        <v>4500</v>
      </c>
      <c r="E21" s="59">
        <f>calc!E11</f>
        <v>4500</v>
      </c>
      <c r="F21" s="59">
        <f>calc!F11</f>
        <v>4500</v>
      </c>
      <c r="H21" s="79" t="s">
        <v>156</v>
      </c>
      <c r="I21" s="80">
        <f>NPV(L26,H20:L20)</f>
        <v>2829.7923900555775</v>
      </c>
    </row>
    <row r="22" spans="1:12" x14ac:dyDescent="0.2">
      <c r="A22" s="62" t="s">
        <v>113</v>
      </c>
      <c r="B22" s="59">
        <f>-calc!B15</f>
        <v>-1649.3150684931506</v>
      </c>
      <c r="C22" s="59">
        <f>-calc!C15</f>
        <v>-2456.8493150684931</v>
      </c>
      <c r="D22" s="59">
        <f>-calc!D15</f>
        <v>-2500</v>
      </c>
      <c r="E22" s="59">
        <f>-calc!E15</f>
        <v>-2500</v>
      </c>
      <c r="F22" s="59">
        <f>-calc!F15</f>
        <v>-2500</v>
      </c>
      <c r="H22" s="79" t="s">
        <v>157</v>
      </c>
      <c r="I22" s="81">
        <f>IRR(H20:L20)</f>
        <v>1.682286800662526</v>
      </c>
    </row>
    <row r="23" spans="1:12" x14ac:dyDescent="0.2">
      <c r="A23" s="62" t="s">
        <v>114</v>
      </c>
      <c r="B23" s="59">
        <f>-OPEX!C3/1000</f>
        <v>0</v>
      </c>
      <c r="C23" s="59">
        <f>-OPEX!D3/1000</f>
        <v>0</v>
      </c>
      <c r="D23" s="59">
        <f>-OPEX!E3/1000</f>
        <v>0</v>
      </c>
      <c r="E23" s="59">
        <f>-OPEX!F3/1000</f>
        <v>0</v>
      </c>
      <c r="F23" s="59">
        <f>-OPEX!G3/1000</f>
        <v>0</v>
      </c>
      <c r="H23" t="s">
        <v>165</v>
      </c>
      <c r="I23" s="107">
        <f>SUM(H31:L31)</f>
        <v>1.3291411401440276</v>
      </c>
      <c r="J23" t="s">
        <v>162</v>
      </c>
    </row>
    <row r="24" spans="1:12" x14ac:dyDescent="0.2">
      <c r="A24" s="62" t="s">
        <v>115</v>
      </c>
      <c r="B24" s="59">
        <f>-OPEX!C19/1000</f>
        <v>-32.93399999999999</v>
      </c>
      <c r="C24" s="59">
        <f>-OPEX!D19/1000</f>
        <v>-47.048571428571421</v>
      </c>
      <c r="D24" s="59">
        <f>-OPEX!E19/1000</f>
        <v>-47.048571428571421</v>
      </c>
      <c r="E24" s="59">
        <f>-OPEX!F19/1000</f>
        <v>-47.048571428571421</v>
      </c>
      <c r="F24" s="59">
        <f>-OPEX!G19/1000</f>
        <v>-47.048571428571421</v>
      </c>
    </row>
    <row r="25" spans="1:12" x14ac:dyDescent="0.2">
      <c r="A25" s="62" t="s">
        <v>116</v>
      </c>
      <c r="B25" s="59">
        <f>-staff!C41/1000</f>
        <v>-96.06</v>
      </c>
      <c r="C25" s="59">
        <f>-staff!D41/1000</f>
        <v>-113.16</v>
      </c>
      <c r="D25" s="59">
        <f>-staff!E41/1000</f>
        <v>-124.38</v>
      </c>
      <c r="E25" s="59">
        <f>-staff!F41/1000</f>
        <v>-124.38</v>
      </c>
      <c r="F25" s="59">
        <f>-staff!G41/1000</f>
        <v>-124.38</v>
      </c>
    </row>
    <row r="26" spans="1:12" x14ac:dyDescent="0.2">
      <c r="A26" s="109" t="s">
        <v>163</v>
      </c>
      <c r="B26" s="59">
        <f>B8</f>
        <v>-126</v>
      </c>
      <c r="C26" s="59">
        <f t="shared" ref="C26:F26" si="8">C8</f>
        <v>-180</v>
      </c>
      <c r="D26" s="59">
        <f t="shared" si="8"/>
        <v>-180</v>
      </c>
      <c r="E26" s="59">
        <f t="shared" si="8"/>
        <v>-180</v>
      </c>
      <c r="F26" s="59">
        <f t="shared" si="8"/>
        <v>-180</v>
      </c>
      <c r="H26" s="21" t="s">
        <v>161</v>
      </c>
      <c r="I26" s="21"/>
      <c r="J26" s="21"/>
      <c r="K26" s="21"/>
      <c r="L26" s="81">
        <v>0.15</v>
      </c>
    </row>
    <row r="27" spans="1:12" x14ac:dyDescent="0.2">
      <c r="A27" s="62" t="s">
        <v>149</v>
      </c>
      <c r="B27" s="59">
        <f>B14</f>
        <v>-119.11375714285718</v>
      </c>
      <c r="C27" s="59">
        <f t="shared" ref="C27:F27" si="9">C14</f>
        <v>-217.33157142857138</v>
      </c>
      <c r="D27" s="59">
        <f t="shared" si="9"/>
        <v>-215.64857142857142</v>
      </c>
      <c r="E27" s="59">
        <f t="shared" si="9"/>
        <v>-215.64857142857142</v>
      </c>
      <c r="F27" s="59">
        <f t="shared" si="9"/>
        <v>-215.64857142857142</v>
      </c>
    </row>
    <row r="28" spans="1:12" x14ac:dyDescent="0.2">
      <c r="A28" s="62" t="s">
        <v>124</v>
      </c>
      <c r="B28" s="59">
        <f>B11</f>
        <v>-140</v>
      </c>
      <c r="C28" s="59">
        <f t="shared" ref="C28:F28" si="10">C11</f>
        <v>0</v>
      </c>
      <c r="D28" s="59">
        <f t="shared" si="10"/>
        <v>0</v>
      </c>
      <c r="E28" s="59">
        <f t="shared" si="10"/>
        <v>0</v>
      </c>
      <c r="F28" s="59">
        <f t="shared" si="10"/>
        <v>0</v>
      </c>
      <c r="H28">
        <v>1</v>
      </c>
      <c r="I28">
        <v>2</v>
      </c>
      <c r="J28">
        <v>3</v>
      </c>
      <c r="K28">
        <v>4</v>
      </c>
      <c r="L28">
        <v>5</v>
      </c>
    </row>
    <row r="29" spans="1:12" x14ac:dyDescent="0.2">
      <c r="A29" s="4" t="s">
        <v>117</v>
      </c>
      <c r="B29" s="58">
        <f>SUM(B30:B31)</f>
        <v>-1691.4</v>
      </c>
      <c r="C29" s="58">
        <f>SUM(C30:C31)</f>
        <v>0</v>
      </c>
      <c r="D29" s="58">
        <f>SUM(D30:D31)</f>
        <v>0</v>
      </c>
      <c r="E29" s="58">
        <f>SUM(E30:E31)</f>
        <v>0</v>
      </c>
      <c r="F29" s="58">
        <f>SUM(F30:F31)</f>
        <v>0</v>
      </c>
      <c r="H29" s="59">
        <f>H20/(1+$L$26)^H28</f>
        <v>-725.45641776567663</v>
      </c>
      <c r="I29" s="59">
        <f>I20/(1+$L$26)^I28</f>
        <v>1081.3845671225479</v>
      </c>
      <c r="J29" s="59">
        <f>J20/(1+$L$26)^J28</f>
        <v>942.17003839425172</v>
      </c>
      <c r="K29" s="59">
        <f>K20/(1+$L$26)^K28</f>
        <v>819.27829425587106</v>
      </c>
      <c r="L29" s="59">
        <f>L20/(1+$L$26)^L28</f>
        <v>712.41590804858356</v>
      </c>
    </row>
    <row r="30" spans="1:12" x14ac:dyDescent="0.2">
      <c r="A30" s="62" t="s">
        <v>122</v>
      </c>
      <c r="B30" s="59">
        <f>-SUM(CAPEX!F4:F8,CAPEX!F10)</f>
        <v>-1016.4</v>
      </c>
      <c r="C30" s="59"/>
      <c r="D30" s="59"/>
      <c r="E30" s="59"/>
      <c r="F30" s="59"/>
      <c r="H30" s="36">
        <f>H29</f>
        <v>-725.45641776567663</v>
      </c>
      <c r="I30" s="36">
        <f>H30+I29</f>
        <v>355.92814935687124</v>
      </c>
      <c r="J30" s="36">
        <f t="shared" ref="J30:L30" si="11">I30+J29</f>
        <v>1298.0981877511231</v>
      </c>
      <c r="K30" s="36">
        <f t="shared" si="11"/>
        <v>2117.3764820069941</v>
      </c>
      <c r="L30" s="36">
        <f t="shared" si="11"/>
        <v>2829.7923900555779</v>
      </c>
    </row>
    <row r="31" spans="1:12" x14ac:dyDescent="0.2">
      <c r="A31" s="62" t="s">
        <v>123</v>
      </c>
      <c r="B31" s="59">
        <f>-SUM(CAPEX!F2:F3,CAPEX!F9)</f>
        <v>-675</v>
      </c>
      <c r="C31" s="59"/>
      <c r="D31" s="59"/>
      <c r="E31" s="59"/>
      <c r="F31" s="59"/>
      <c r="H31" s="106" t="str">
        <f>IF(AND(G30&lt;0,H30&gt;0),G28+H30/H29,"")</f>
        <v/>
      </c>
      <c r="I31" s="106">
        <f>IF(AND(H30&lt;0,I30&gt;0),H28+I30/I29,"")</f>
        <v>1.3291411401440276</v>
      </c>
      <c r="J31" s="106" t="str">
        <f>IF(AND(I30&lt;0,J30&gt;0),I28+J30/J29,"")</f>
        <v/>
      </c>
      <c r="K31" s="106" t="str">
        <f>IF(AND(J30&lt;0,K30&gt;0),J28+K30/K29,"")</f>
        <v/>
      </c>
      <c r="L31" s="106" t="str">
        <f>IF(AND(K30&lt;0,L30&gt;0),K28+L30/L29,"")</f>
        <v/>
      </c>
    </row>
    <row r="32" spans="1:12" x14ac:dyDescent="0.2">
      <c r="A32" s="4" t="s">
        <v>118</v>
      </c>
      <c r="B32" s="58">
        <f>SUM(B33:B35)</f>
        <v>1400</v>
      </c>
      <c r="C32" s="58">
        <f>SUM(C33:C35)</f>
        <v>-700</v>
      </c>
      <c r="D32" s="58">
        <f>SUM(D33:D35)</f>
        <v>0</v>
      </c>
      <c r="E32" s="58">
        <f>SUM(E33:E35)</f>
        <v>0</v>
      </c>
      <c r="F32" s="58">
        <f>SUM(F33:F35)</f>
        <v>0</v>
      </c>
    </row>
    <row r="33" spans="1:10" x14ac:dyDescent="0.2">
      <c r="A33" s="62" t="s">
        <v>132</v>
      </c>
      <c r="B33" s="59">
        <v>700</v>
      </c>
      <c r="C33" s="59"/>
      <c r="D33" s="59"/>
      <c r="E33" s="59"/>
      <c r="F33" s="59"/>
    </row>
    <row r="34" spans="1:10" x14ac:dyDescent="0.2">
      <c r="A34" s="62" t="s">
        <v>133</v>
      </c>
      <c r="B34" s="59">
        <v>700</v>
      </c>
      <c r="C34" s="59"/>
      <c r="D34" s="59"/>
      <c r="E34" s="59"/>
      <c r="F34" s="59"/>
      <c r="J34" s="36"/>
    </row>
    <row r="35" spans="1:10" x14ac:dyDescent="0.2">
      <c r="A35" s="62" t="s">
        <v>134</v>
      </c>
      <c r="B35" s="59"/>
      <c r="C35" s="59">
        <v>-700</v>
      </c>
      <c r="D35" s="59"/>
      <c r="E35" s="59"/>
      <c r="F35" s="59"/>
    </row>
    <row r="36" spans="1:10" x14ac:dyDescent="0.2">
      <c r="A36" s="4" t="s">
        <v>119</v>
      </c>
      <c r="B36" s="58">
        <f>B20+B29+B32</f>
        <v>565.72511956947187</v>
      </c>
      <c r="C36" s="58">
        <f>C20+C29+C32</f>
        <v>730.13109001956923</v>
      </c>
      <c r="D36" s="58">
        <f>D20+D29+D32</f>
        <v>1432.9228571428571</v>
      </c>
      <c r="E36" s="58">
        <f>E20+E29+E32</f>
        <v>1432.9228571428571</v>
      </c>
      <c r="F36" s="58">
        <f>F20+F29+F32</f>
        <v>1432.9228571428571</v>
      </c>
    </row>
    <row r="37" spans="1:10" x14ac:dyDescent="0.2">
      <c r="A37" s="56" t="s">
        <v>120</v>
      </c>
      <c r="B37" s="59">
        <v>0</v>
      </c>
      <c r="C37" s="59">
        <f>B38</f>
        <v>565.72511956947187</v>
      </c>
      <c r="D37" s="59">
        <f>C38</f>
        <v>1295.8562095890411</v>
      </c>
      <c r="E37" s="59">
        <f>D38</f>
        <v>2728.7790667318982</v>
      </c>
      <c r="F37" s="59">
        <f>E38</f>
        <v>4161.7019238747553</v>
      </c>
    </row>
    <row r="38" spans="1:10" x14ac:dyDescent="0.2">
      <c r="A38" s="56" t="s">
        <v>121</v>
      </c>
      <c r="B38" s="59">
        <f>B37+B36</f>
        <v>565.72511956947187</v>
      </c>
      <c r="C38" s="59">
        <f>C37+C36</f>
        <v>1295.8562095890411</v>
      </c>
      <c r="D38" s="59">
        <f>D37+D36</f>
        <v>2728.7790667318982</v>
      </c>
      <c r="E38" s="59">
        <f>E37+E36</f>
        <v>4161.7019238747553</v>
      </c>
      <c r="F38" s="59">
        <f>F37+F36</f>
        <v>5594.6247810176119</v>
      </c>
    </row>
    <row r="40" spans="1:10" ht="13.5" thickBot="1" x14ac:dyDescent="0.25">
      <c r="A40" s="38" t="s">
        <v>137</v>
      </c>
    </row>
    <row r="41" spans="1:10" ht="13.5" thickBot="1" x14ac:dyDescent="0.25">
      <c r="A41" s="13" t="s">
        <v>64</v>
      </c>
      <c r="B41" s="14">
        <v>2019</v>
      </c>
      <c r="C41" s="14">
        <v>2020</v>
      </c>
      <c r="D41" s="14">
        <v>2021</v>
      </c>
      <c r="E41" s="14">
        <v>2022</v>
      </c>
      <c r="F41" s="14">
        <v>2023</v>
      </c>
    </row>
    <row r="42" spans="1:10" x14ac:dyDescent="0.2">
      <c r="A42" s="54" t="s">
        <v>138</v>
      </c>
      <c r="B42" s="55">
        <f>SUM(B43:B46)</f>
        <v>2175.6628886497065</v>
      </c>
      <c r="C42" s="55">
        <f>SUM(C43:C46)</f>
        <v>2750.3591450097847</v>
      </c>
      <c r="D42" s="55">
        <f>SUM(D43:D46)</f>
        <v>3972.3677164383562</v>
      </c>
      <c r="E42" s="55">
        <f>SUM(E43:E46)</f>
        <v>5194.3762878669277</v>
      </c>
      <c r="F42" s="55">
        <f>SUM(F43:F46)</f>
        <v>6416.3848592954982</v>
      </c>
    </row>
    <row r="43" spans="1:10" x14ac:dyDescent="0.2">
      <c r="A43" s="56" t="s">
        <v>139</v>
      </c>
      <c r="B43" s="59">
        <f>B38</f>
        <v>565.72511956947187</v>
      </c>
      <c r="C43" s="59">
        <f t="shared" ref="C43:F43" si="12">C38</f>
        <v>1295.8562095890411</v>
      </c>
      <c r="D43" s="59">
        <f t="shared" si="12"/>
        <v>2728.7790667318982</v>
      </c>
      <c r="E43" s="59">
        <f t="shared" si="12"/>
        <v>4161.7019238747553</v>
      </c>
      <c r="F43" s="59">
        <f t="shared" si="12"/>
        <v>5594.6247810176119</v>
      </c>
    </row>
    <row r="44" spans="1:10" x14ac:dyDescent="0.2">
      <c r="A44" s="56" t="s">
        <v>130</v>
      </c>
      <c r="B44" s="59">
        <f>calc!B9</f>
        <v>129.45205479452056</v>
      </c>
      <c r="C44" s="59">
        <f>calc!C9</f>
        <v>184.93150684931507</v>
      </c>
      <c r="D44" s="59">
        <f>calc!D9</f>
        <v>184.93150684931507</v>
      </c>
      <c r="E44" s="59">
        <f>calc!E9</f>
        <v>184.93150684931507</v>
      </c>
      <c r="F44" s="59">
        <f>calc!F9</f>
        <v>184.93150684931507</v>
      </c>
    </row>
    <row r="45" spans="1:10" x14ac:dyDescent="0.2">
      <c r="A45" s="56" t="s">
        <v>150</v>
      </c>
      <c r="B45" s="63">
        <f>calc!B22</f>
        <v>0</v>
      </c>
      <c r="C45" s="63">
        <f>calc!C22</f>
        <v>0</v>
      </c>
      <c r="D45" s="63">
        <f>calc!D22</f>
        <v>0</v>
      </c>
      <c r="E45" s="63">
        <f>calc!E22</f>
        <v>0</v>
      </c>
      <c r="F45" s="63">
        <f>calc!F22</f>
        <v>0</v>
      </c>
    </row>
    <row r="46" spans="1:10" x14ac:dyDescent="0.2">
      <c r="A46" s="56" t="s">
        <v>140</v>
      </c>
      <c r="B46" s="59">
        <f>CAPEX!F11+B12</f>
        <v>1480.4857142857143</v>
      </c>
      <c r="C46" s="59">
        <f>B46+C12</f>
        <v>1269.5714285714284</v>
      </c>
      <c r="D46" s="59">
        <f t="shared" ref="D46:F46" si="13">C46+D12</f>
        <v>1058.6571428571426</v>
      </c>
      <c r="E46" s="59">
        <f t="shared" si="13"/>
        <v>847.74285714285691</v>
      </c>
      <c r="F46" s="59">
        <f t="shared" si="13"/>
        <v>636.82857142857119</v>
      </c>
    </row>
    <row r="48" spans="1:10" x14ac:dyDescent="0.2">
      <c r="A48" s="4" t="s">
        <v>141</v>
      </c>
      <c r="B48" s="58">
        <f>SUM(B49:B51)</f>
        <v>1374.9779571428576</v>
      </c>
      <c r="C48" s="58">
        <f t="shared" ref="C48:F48" si="14">SUM(C49:C51)</f>
        <v>2606.5235285714289</v>
      </c>
      <c r="D48" s="58">
        <f t="shared" si="14"/>
        <v>3828.5321000000004</v>
      </c>
      <c r="E48" s="58">
        <f t="shared" si="14"/>
        <v>5050.5406714285718</v>
      </c>
      <c r="F48" s="58">
        <f t="shared" si="14"/>
        <v>6272.5492428571433</v>
      </c>
    </row>
    <row r="49" spans="1:6" x14ac:dyDescent="0.2">
      <c r="A49" s="56" t="s">
        <v>148</v>
      </c>
      <c r="B49" s="59">
        <f>B33</f>
        <v>700</v>
      </c>
      <c r="C49" s="59">
        <f>B49+C33</f>
        <v>700</v>
      </c>
      <c r="D49" s="59">
        <f>C49+D33</f>
        <v>700</v>
      </c>
      <c r="E49" s="59">
        <f>D49+E33</f>
        <v>700</v>
      </c>
      <c r="F49" s="59">
        <f>E49+F33</f>
        <v>700</v>
      </c>
    </row>
    <row r="50" spans="1:6" x14ac:dyDescent="0.2">
      <c r="A50" s="56" t="s">
        <v>145</v>
      </c>
      <c r="B50" s="59">
        <f>B15</f>
        <v>674.97795714285746</v>
      </c>
      <c r="C50" s="59">
        <f>B50+C15</f>
        <v>1906.5235285714289</v>
      </c>
      <c r="D50" s="59">
        <f>C50+D15</f>
        <v>3128.5321000000004</v>
      </c>
      <c r="E50" s="59">
        <f>D50+E15</f>
        <v>4350.5406714285718</v>
      </c>
      <c r="F50" s="59">
        <f>E50+F15</f>
        <v>5572.5492428571433</v>
      </c>
    </row>
    <row r="52" spans="1:6" x14ac:dyDescent="0.2">
      <c r="A52" s="4" t="s">
        <v>142</v>
      </c>
      <c r="B52" s="58">
        <f>SUM(B53:B54)</f>
        <v>800.68493150684935</v>
      </c>
      <c r="C52" s="58">
        <f t="shared" ref="C52:F52" si="15">SUM(C53:C54)</f>
        <v>143.83561643835617</v>
      </c>
      <c r="D52" s="58">
        <f t="shared" si="15"/>
        <v>143.83561643835617</v>
      </c>
      <c r="E52" s="58">
        <f t="shared" si="15"/>
        <v>143.83561643835617</v>
      </c>
      <c r="F52" s="58">
        <f t="shared" si="15"/>
        <v>143.83561643835617</v>
      </c>
    </row>
    <row r="53" spans="1:6" x14ac:dyDescent="0.2">
      <c r="A53" s="56" t="s">
        <v>143</v>
      </c>
      <c r="B53" s="59">
        <f>SUM(B34:B35)</f>
        <v>700</v>
      </c>
      <c r="C53" s="59">
        <f>B53+SUM(C34:C35)</f>
        <v>0</v>
      </c>
      <c r="D53" s="59">
        <f>C53+SUM(D34:D35)</f>
        <v>0</v>
      </c>
      <c r="E53" s="59">
        <f>D53+SUM(E34:E35)</f>
        <v>0</v>
      </c>
      <c r="F53" s="59">
        <f>E53+SUM(F34:F35)</f>
        <v>0</v>
      </c>
    </row>
    <row r="54" spans="1:6" x14ac:dyDescent="0.2">
      <c r="A54" s="56" t="s">
        <v>144</v>
      </c>
      <c r="B54" s="59">
        <f>calc!B13</f>
        <v>100.68493150684932</v>
      </c>
      <c r="C54" s="59">
        <f>calc!C13</f>
        <v>143.83561643835617</v>
      </c>
      <c r="D54" s="59">
        <f>calc!D13</f>
        <v>143.83561643835617</v>
      </c>
      <c r="E54" s="59">
        <f>calc!E13</f>
        <v>143.83561643835617</v>
      </c>
      <c r="F54" s="59">
        <f>calc!F13</f>
        <v>143.83561643835617</v>
      </c>
    </row>
    <row r="56" spans="1:6" x14ac:dyDescent="0.2">
      <c r="A56" t="s">
        <v>146</v>
      </c>
      <c r="B56" s="36">
        <f>ROUND(B42-B48-B52,5)</f>
        <v>0</v>
      </c>
      <c r="C56" s="36">
        <f>ROUND(C42-C48-C52,5)</f>
        <v>0</v>
      </c>
      <c r="D56" s="36">
        <f>ROUND(D42-D48-D52,5)</f>
        <v>0</v>
      </c>
      <c r="E56" s="36">
        <f>ROUND(E42-E48-E52,5)</f>
        <v>0</v>
      </c>
      <c r="F56" s="36">
        <f>ROUND(F42-F48-F52,5)</f>
        <v>0</v>
      </c>
    </row>
    <row r="58" spans="1:6" x14ac:dyDescent="0.2">
      <c r="B58" s="36"/>
      <c r="C58" s="36"/>
      <c r="D58" s="36"/>
      <c r="E58" s="36"/>
      <c r="F58" s="36"/>
    </row>
    <row r="59" spans="1:6" x14ac:dyDescent="0.2">
      <c r="B59" s="20"/>
    </row>
  </sheetData>
  <conditionalFormatting sqref="B56:F5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</vt:lpstr>
      <vt:lpstr>calc</vt:lpstr>
      <vt:lpstr>prod</vt:lpstr>
      <vt:lpstr>staff</vt:lpstr>
      <vt:lpstr>CAPEX</vt:lpstr>
      <vt:lpstr>OPEX</vt:lpstr>
      <vt:lpstr>PL-CF-BS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Dmytro Stashchuk</dc:creator>
  <cp:lastModifiedBy>Dmytro Stashchuk</cp:lastModifiedBy>
  <dcterms:created xsi:type="dcterms:W3CDTF">2018-10-27T19:21:26Z</dcterms:created>
  <dcterms:modified xsi:type="dcterms:W3CDTF">2019-01-22T20:30:46Z</dcterms:modified>
</cp:coreProperties>
</file>