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229"/>
  <workbookPr/>
  <mc:AlternateContent xmlns:mc="http://schemas.openxmlformats.org/markup-compatibility/2006">
    <mc:Choice Requires="x15">
      <x15ac:absPath xmlns:x15ac="http://schemas.microsoft.com/office/spreadsheetml/2010/11/ac" url="D:\CLOUD\OneDrive\Cicoresky\Clients\trout\"/>
    </mc:Choice>
  </mc:AlternateContent>
  <bookViews>
    <workbookView xWindow="0" yWindow="0" windowWidth="20490" windowHeight="7800" tabRatio="649"/>
  </bookViews>
  <sheets>
    <sheet name="0" sheetId="3" r:id="rId1"/>
    <sheet name="cost" sheetId="8" r:id="rId2"/>
    <sheet name="M" sheetId="1" r:id="rId3"/>
    <sheet name="work" sheetId="6" state="hidden" r:id="rId4"/>
    <sheet name="QY" sheetId="2" r:id="rId5"/>
    <sheet name="Q" sheetId="16" r:id="rId6"/>
    <sheet name="Y" sheetId="17" r:id="rId7"/>
    <sheet name="NPV" sheetId="19" r:id="rId8"/>
    <sheet name="Infographics" sheetId="18" state="hidden" r:id="rId9"/>
  </sheets>
  <definedNames>
    <definedName name="admin">cost!$B$6:$F$22</definedName>
    <definedName name="comm">cost!$B$26:$E$36</definedName>
    <definedName name="feed">work!$V$59:$W$70</definedName>
    <definedName name="month">#REF!</definedName>
    <definedName name="_xlnm.Print_Area" localSheetId="0">'0'!$A$1:$J$30</definedName>
    <definedName name="_xlnm.Print_Titles" localSheetId="2">M!$A:$B,M!$1:$3</definedName>
    <definedName name="solver_eng" localSheetId="2" hidden="1">1</definedName>
    <definedName name="solver_neg" localSheetId="2" hidden="1">1</definedName>
    <definedName name="solver_num" localSheetId="2" hidden="1">0</definedName>
    <definedName name="solver_opt" localSheetId="2" hidden="1">M!$A$116</definedName>
    <definedName name="solver_typ" localSheetId="2" hidden="1">1</definedName>
    <definedName name="solver_val" localSheetId="2" hidden="1">0</definedName>
    <definedName name="solver_ver" localSheetId="2" hidden="1">3</definedName>
  </definedNames>
  <calcPr calcId="162913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" i="19" l="1"/>
  <c r="AB3" i="18" l="1"/>
  <c r="AB4" i="18"/>
  <c r="AB5" i="18"/>
  <c r="AB6" i="18"/>
  <c r="AB7" i="18"/>
  <c r="AB2" i="18"/>
  <c r="AA8" i="18"/>
  <c r="AA6" i="18"/>
  <c r="AA7" i="18"/>
  <c r="AA5" i="18"/>
  <c r="AA4" i="18"/>
  <c r="AA3" i="18"/>
  <c r="AA2" i="18"/>
  <c r="F59" i="8"/>
  <c r="F58" i="8"/>
  <c r="F71" i="8"/>
  <c r="F70" i="8"/>
  <c r="F66" i="8"/>
  <c r="X3" i="18"/>
  <c r="X4" i="18"/>
  <c r="X5" i="18"/>
  <c r="X6" i="18"/>
  <c r="X7" i="18"/>
  <c r="X2" i="18"/>
  <c r="W8" i="18"/>
  <c r="W2" i="18"/>
  <c r="W3" i="18"/>
  <c r="W6" i="18"/>
  <c r="W4" i="18"/>
  <c r="W5" i="18"/>
  <c r="W7" i="18"/>
  <c r="C165" i="1" l="1"/>
  <c r="D165" i="1" s="1"/>
  <c r="C174" i="1"/>
  <c r="B21" i="17"/>
  <c r="B27" i="17"/>
  <c r="B33" i="17"/>
  <c r="B41" i="17"/>
  <c r="B55" i="17"/>
  <c r="C55" i="17"/>
  <c r="D55" i="17"/>
  <c r="E55" i="17"/>
  <c r="B66" i="17"/>
  <c r="C66" i="17"/>
  <c r="B70" i="17"/>
  <c r="B76" i="17"/>
  <c r="O91" i="16"/>
  <c r="N91" i="16"/>
  <c r="M91" i="16"/>
  <c r="L91" i="16"/>
  <c r="K91" i="16"/>
  <c r="J91" i="16"/>
  <c r="I91" i="16"/>
  <c r="H91" i="16"/>
  <c r="G91" i="16"/>
  <c r="F91" i="16"/>
  <c r="E91" i="16"/>
  <c r="D91" i="16"/>
  <c r="C91" i="16"/>
  <c r="B91" i="16"/>
  <c r="O90" i="16"/>
  <c r="N90" i="16"/>
  <c r="M90" i="16"/>
  <c r="L90" i="16"/>
  <c r="K90" i="16"/>
  <c r="J90" i="16"/>
  <c r="I90" i="16"/>
  <c r="H90" i="16"/>
  <c r="G90" i="16"/>
  <c r="F90" i="16"/>
  <c r="E90" i="16"/>
  <c r="D90" i="16"/>
  <c r="C90" i="16"/>
  <c r="B90" i="16"/>
  <c r="O88" i="16"/>
  <c r="N88" i="16"/>
  <c r="M88" i="16"/>
  <c r="L88" i="16"/>
  <c r="K88" i="16"/>
  <c r="J88" i="16"/>
  <c r="I88" i="16"/>
  <c r="H88" i="16"/>
  <c r="G88" i="16"/>
  <c r="F88" i="16"/>
  <c r="E88" i="16"/>
  <c r="D88" i="16"/>
  <c r="C88" i="16"/>
  <c r="B88" i="16"/>
  <c r="B86" i="16"/>
  <c r="E49" i="16"/>
  <c r="D49" i="16"/>
  <c r="C49" i="16"/>
  <c r="B49" i="16"/>
  <c r="O22" i="16"/>
  <c r="N22" i="16"/>
  <c r="M22" i="16"/>
  <c r="L22" i="16"/>
  <c r="K22" i="16"/>
  <c r="J22" i="16"/>
  <c r="I22" i="16"/>
  <c r="H22" i="16"/>
  <c r="G22" i="16"/>
  <c r="F22" i="16"/>
  <c r="E22" i="16"/>
  <c r="D22" i="16"/>
  <c r="C22" i="16"/>
  <c r="B22" i="16"/>
  <c r="I18" i="16"/>
  <c r="H18" i="16"/>
  <c r="G18" i="16"/>
  <c r="F18" i="16"/>
  <c r="E18" i="16"/>
  <c r="D18" i="16"/>
  <c r="C18" i="16"/>
  <c r="B18" i="16"/>
  <c r="O17" i="16"/>
  <c r="N17" i="16"/>
  <c r="G17" i="16"/>
  <c r="F17" i="16"/>
  <c r="E17" i="16"/>
  <c r="D17" i="16"/>
  <c r="C17" i="16"/>
  <c r="B17" i="16"/>
  <c r="O16" i="16"/>
  <c r="N16" i="16"/>
  <c r="M16" i="16"/>
  <c r="L16" i="16"/>
  <c r="E16" i="16"/>
  <c r="D16" i="16"/>
  <c r="C16" i="16"/>
  <c r="B16" i="16"/>
  <c r="O15" i="16"/>
  <c r="N15" i="16"/>
  <c r="M15" i="16"/>
  <c r="L15" i="16"/>
  <c r="K15" i="16"/>
  <c r="J15" i="16"/>
  <c r="C15" i="16"/>
  <c r="B15" i="16"/>
  <c r="O14" i="16"/>
  <c r="N14" i="16"/>
  <c r="M14" i="16"/>
  <c r="L14" i="16"/>
  <c r="K14" i="16"/>
  <c r="J14" i="16"/>
  <c r="I14" i="16"/>
  <c r="H14" i="16"/>
  <c r="E7" i="16"/>
  <c r="D7" i="16"/>
  <c r="C7" i="16"/>
  <c r="B7" i="16"/>
  <c r="E6" i="16"/>
  <c r="D6" i="16"/>
  <c r="C6" i="16"/>
  <c r="B6" i="16"/>
  <c r="E5" i="16"/>
  <c r="D5" i="16"/>
  <c r="C5" i="16"/>
  <c r="C4" i="16" s="1"/>
  <c r="B5" i="16"/>
  <c r="E4" i="16" l="1"/>
  <c r="C154" i="1"/>
  <c r="B4" i="16"/>
  <c r="D4" i="16"/>
  <c r="B86" i="2"/>
  <c r="C90" i="1"/>
  <c r="F105" i="1"/>
  <c r="G105" i="1"/>
  <c r="I105" i="1"/>
  <c r="J105" i="1"/>
  <c r="L105" i="1"/>
  <c r="M105" i="1"/>
  <c r="O105" i="1"/>
  <c r="P105" i="1"/>
  <c r="R105" i="1"/>
  <c r="S105" i="1"/>
  <c r="U105" i="1"/>
  <c r="V105" i="1"/>
  <c r="X105" i="1"/>
  <c r="Y105" i="1"/>
  <c r="AA105" i="1"/>
  <c r="AB105" i="1"/>
  <c r="AD105" i="1"/>
  <c r="AE105" i="1"/>
  <c r="AG105" i="1"/>
  <c r="AH105" i="1"/>
  <c r="AJ105" i="1"/>
  <c r="AK105" i="1"/>
  <c r="AM105" i="1"/>
  <c r="AN105" i="1"/>
  <c r="AP105" i="1"/>
  <c r="AQ105" i="1"/>
  <c r="C105" i="1"/>
  <c r="D105" i="1"/>
  <c r="C98" i="1"/>
  <c r="C143" i="1" s="1"/>
  <c r="D98" i="1"/>
  <c r="D143" i="1" s="1"/>
  <c r="E98" i="1"/>
  <c r="F98" i="1"/>
  <c r="F143" i="1" s="1"/>
  <c r="G98" i="1"/>
  <c r="G143" i="1" s="1"/>
  <c r="I98" i="1"/>
  <c r="I143" i="1" s="1"/>
  <c r="J98" i="1"/>
  <c r="J143" i="1" s="1"/>
  <c r="K98" i="1"/>
  <c r="L98" i="1"/>
  <c r="L143" i="1" s="1"/>
  <c r="M98" i="1"/>
  <c r="M143" i="1" s="1"/>
  <c r="N98" i="1"/>
  <c r="O98" i="1"/>
  <c r="O143" i="1" s="1"/>
  <c r="P98" i="1"/>
  <c r="P143" i="1" s="1"/>
  <c r="Q98" i="1"/>
  <c r="R98" i="1"/>
  <c r="R143" i="1" s="1"/>
  <c r="S98" i="1"/>
  <c r="S143" i="1" s="1"/>
  <c r="U98" i="1"/>
  <c r="U143" i="1" s="1"/>
  <c r="V98" i="1"/>
  <c r="V143" i="1" s="1"/>
  <c r="W98" i="1"/>
  <c r="X98" i="1"/>
  <c r="X143" i="1" s="1"/>
  <c r="Y98" i="1"/>
  <c r="Y143" i="1" s="1"/>
  <c r="Z98" i="1"/>
  <c r="AA98" i="1"/>
  <c r="AA143" i="1" s="1"/>
  <c r="AB98" i="1"/>
  <c r="AB143" i="1" s="1"/>
  <c r="AC98" i="1"/>
  <c r="AD98" i="1"/>
  <c r="AD143" i="1" s="1"/>
  <c r="AE98" i="1"/>
  <c r="AE143" i="1" s="1"/>
  <c r="AG98" i="1"/>
  <c r="AG143" i="1" s="1"/>
  <c r="AH98" i="1"/>
  <c r="AH143" i="1" s="1"/>
  <c r="AI98" i="1"/>
  <c r="AJ98" i="1"/>
  <c r="AJ143" i="1" s="1"/>
  <c r="AK98" i="1"/>
  <c r="AK143" i="1" s="1"/>
  <c r="AL98" i="1"/>
  <c r="AM98" i="1"/>
  <c r="AM143" i="1" s="1"/>
  <c r="AN98" i="1"/>
  <c r="AN143" i="1" s="1"/>
  <c r="AO98" i="1"/>
  <c r="AO143" i="1" s="1"/>
  <c r="AP98" i="1"/>
  <c r="AP143" i="1" s="1"/>
  <c r="F66" i="2" l="1"/>
  <c r="K66" i="2"/>
  <c r="C66" i="2"/>
  <c r="Q66" i="2"/>
  <c r="B66" i="16"/>
  <c r="AI143" i="1"/>
  <c r="M66" i="16"/>
  <c r="Z143" i="1"/>
  <c r="J66" i="16"/>
  <c r="Q143" i="1"/>
  <c r="G66" i="16"/>
  <c r="B66" i="2"/>
  <c r="P66" i="2"/>
  <c r="H66" i="2"/>
  <c r="W143" i="1"/>
  <c r="I66" i="16"/>
  <c r="N143" i="1"/>
  <c r="F66" i="16"/>
  <c r="E143" i="1"/>
  <c r="C66" i="16"/>
  <c r="G66" i="2"/>
  <c r="AL143" i="1"/>
  <c r="N66" i="16"/>
  <c r="AC143" i="1"/>
  <c r="K66" i="16"/>
  <c r="M66" i="2"/>
  <c r="K143" i="1"/>
  <c r="E66" i="16"/>
  <c r="L66" i="2"/>
  <c r="G80" i="16" l="1"/>
  <c r="H80" i="2"/>
  <c r="C80" i="16"/>
  <c r="C80" i="2"/>
  <c r="F80" i="16"/>
  <c r="G80" i="2"/>
  <c r="E80" i="16"/>
  <c r="F80" i="2"/>
  <c r="K80" i="16"/>
  <c r="M80" i="2"/>
  <c r="J80" i="16"/>
  <c r="L80" i="2"/>
  <c r="I80" i="16"/>
  <c r="K80" i="2"/>
  <c r="N80" i="16"/>
  <c r="Q80" i="2"/>
  <c r="M80" i="16"/>
  <c r="P80" i="2"/>
  <c r="B80" i="16"/>
  <c r="B80" i="2"/>
  <c r="D80" i="2" s="1"/>
  <c r="B80" i="17" s="1"/>
  <c r="E55" i="8"/>
  <c r="E84" i="8"/>
  <c r="E83" i="8"/>
  <c r="E82" i="8"/>
  <c r="E74" i="8"/>
  <c r="E70" i="8"/>
  <c r="E69" i="8"/>
  <c r="E68" i="8"/>
  <c r="E67" i="8"/>
  <c r="E65" i="8"/>
  <c r="F65" i="8" s="1"/>
  <c r="E64" i="8"/>
  <c r="F64" i="8" s="1"/>
  <c r="E63" i="8"/>
  <c r="F63" i="8" s="1"/>
  <c r="E62" i="8"/>
  <c r="F62" i="8" s="1"/>
  <c r="E61" i="8"/>
  <c r="F61" i="8" s="1"/>
  <c r="E58" i="8"/>
  <c r="E81" i="8"/>
  <c r="E80" i="8"/>
  <c r="E78" i="8"/>
  <c r="E77" i="8"/>
  <c r="E71" i="8"/>
  <c r="E37" i="8"/>
  <c r="F23" i="8"/>
  <c r="E23" i="8"/>
  <c r="E50" i="8"/>
  <c r="E43" i="8"/>
  <c r="E44" i="8"/>
  <c r="E42" i="8"/>
  <c r="H127" i="1" l="1"/>
  <c r="P127" i="1"/>
  <c r="X127" i="1"/>
  <c r="AF127" i="1"/>
  <c r="AN127" i="1"/>
  <c r="C127" i="1"/>
  <c r="I127" i="1"/>
  <c r="Q127" i="1"/>
  <c r="Y127" i="1"/>
  <c r="AG127" i="1"/>
  <c r="AO127" i="1"/>
  <c r="J127" i="1"/>
  <c r="R127" i="1"/>
  <c r="Z127" i="1"/>
  <c r="AH127" i="1"/>
  <c r="AP127" i="1"/>
  <c r="K127" i="1"/>
  <c r="S127" i="1"/>
  <c r="AA127" i="1"/>
  <c r="AI127" i="1"/>
  <c r="AQ127" i="1"/>
  <c r="D127" i="1"/>
  <c r="L127" i="1"/>
  <c r="T127" i="1"/>
  <c r="AB127" i="1"/>
  <c r="AJ127" i="1"/>
  <c r="E127" i="1"/>
  <c r="M127" i="1"/>
  <c r="U127" i="1"/>
  <c r="AC127" i="1"/>
  <c r="AK127" i="1"/>
  <c r="F127" i="1"/>
  <c r="AL127" i="1"/>
  <c r="G127" i="1"/>
  <c r="AM127" i="1"/>
  <c r="W127" i="1"/>
  <c r="N127" i="1"/>
  <c r="O127" i="1"/>
  <c r="V127" i="1"/>
  <c r="AD127" i="1"/>
  <c r="AE127" i="1"/>
  <c r="H128" i="1"/>
  <c r="P128" i="1"/>
  <c r="X128" i="1"/>
  <c r="AF128" i="1"/>
  <c r="AN128" i="1"/>
  <c r="I128" i="1"/>
  <c r="Q128" i="1"/>
  <c r="Y128" i="1"/>
  <c r="AG128" i="1"/>
  <c r="AO128" i="1"/>
  <c r="C128" i="1"/>
  <c r="J128" i="1"/>
  <c r="R128" i="1"/>
  <c r="Z128" i="1"/>
  <c r="AH128" i="1"/>
  <c r="AP128" i="1"/>
  <c r="K128" i="1"/>
  <c r="S128" i="1"/>
  <c r="AA128" i="1"/>
  <c r="AI128" i="1"/>
  <c r="AQ128" i="1"/>
  <c r="D128" i="1"/>
  <c r="L128" i="1"/>
  <c r="T128" i="1"/>
  <c r="AB128" i="1"/>
  <c r="AJ128" i="1"/>
  <c r="E128" i="1"/>
  <c r="M128" i="1"/>
  <c r="U128" i="1"/>
  <c r="AC128" i="1"/>
  <c r="AK128" i="1"/>
  <c r="AD128" i="1"/>
  <c r="AE128" i="1"/>
  <c r="F128" i="1"/>
  <c r="AL128" i="1"/>
  <c r="N128" i="1"/>
  <c r="G128" i="1"/>
  <c r="AM128" i="1"/>
  <c r="O128" i="1"/>
  <c r="V128" i="1"/>
  <c r="W128" i="1"/>
  <c r="H129" i="1"/>
  <c r="P129" i="1"/>
  <c r="X129" i="1"/>
  <c r="AF129" i="1"/>
  <c r="AN129" i="1"/>
  <c r="I129" i="1"/>
  <c r="Q129" i="1"/>
  <c r="Y129" i="1"/>
  <c r="AG129" i="1"/>
  <c r="AO129" i="1"/>
  <c r="J129" i="1"/>
  <c r="R129" i="1"/>
  <c r="Z129" i="1"/>
  <c r="AH129" i="1"/>
  <c r="AP129" i="1"/>
  <c r="C129" i="1"/>
  <c r="K129" i="1"/>
  <c r="S129" i="1"/>
  <c r="AA129" i="1"/>
  <c r="AI129" i="1"/>
  <c r="AQ129" i="1"/>
  <c r="D129" i="1"/>
  <c r="L129" i="1"/>
  <c r="T129" i="1"/>
  <c r="AB129" i="1"/>
  <c r="AJ129" i="1"/>
  <c r="E129" i="1"/>
  <c r="M129" i="1"/>
  <c r="U129" i="1"/>
  <c r="AC129" i="1"/>
  <c r="AK129" i="1"/>
  <c r="V129" i="1"/>
  <c r="AM129" i="1"/>
  <c r="W129" i="1"/>
  <c r="AD129" i="1"/>
  <c r="F129" i="1"/>
  <c r="AE129" i="1"/>
  <c r="AL129" i="1"/>
  <c r="N129" i="1"/>
  <c r="O129" i="1"/>
  <c r="G129" i="1"/>
  <c r="AF110" i="1"/>
  <c r="H110" i="1"/>
  <c r="AO110" i="1"/>
  <c r="Q110" i="1"/>
  <c r="Z110" i="1"/>
  <c r="AI110" i="1"/>
  <c r="K110" i="1"/>
  <c r="T110" i="1"/>
  <c r="AC110" i="1"/>
  <c r="W110" i="1"/>
  <c r="AL110" i="1"/>
  <c r="N110" i="1"/>
  <c r="E110" i="1"/>
  <c r="H125" i="1"/>
  <c r="P125" i="1"/>
  <c r="X125" i="1"/>
  <c r="AF125" i="1"/>
  <c r="AN125" i="1"/>
  <c r="I125" i="1"/>
  <c r="Q125" i="1"/>
  <c r="Y125" i="1"/>
  <c r="AG125" i="1"/>
  <c r="AO125" i="1"/>
  <c r="J125" i="1"/>
  <c r="R125" i="1"/>
  <c r="Z125" i="1"/>
  <c r="AH125" i="1"/>
  <c r="AP125" i="1"/>
  <c r="K125" i="1"/>
  <c r="S125" i="1"/>
  <c r="AA125" i="1"/>
  <c r="AI125" i="1"/>
  <c r="AQ125" i="1"/>
  <c r="D125" i="1"/>
  <c r="L125" i="1"/>
  <c r="T125" i="1"/>
  <c r="AB125" i="1"/>
  <c r="AJ125" i="1"/>
  <c r="E125" i="1"/>
  <c r="M125" i="1"/>
  <c r="U125" i="1"/>
  <c r="AC125" i="1"/>
  <c r="AK125" i="1"/>
  <c r="V125" i="1"/>
  <c r="AM125" i="1"/>
  <c r="W125" i="1"/>
  <c r="AD125" i="1"/>
  <c r="F125" i="1"/>
  <c r="AL125" i="1"/>
  <c r="AE125" i="1"/>
  <c r="N125" i="1"/>
  <c r="C125" i="1"/>
  <c r="O125" i="1"/>
  <c r="G125" i="1"/>
  <c r="K112" i="1"/>
  <c r="S112" i="1"/>
  <c r="AA112" i="1"/>
  <c r="AI112" i="1"/>
  <c r="AQ112" i="1"/>
  <c r="L112" i="1"/>
  <c r="T112" i="1"/>
  <c r="AB112" i="1"/>
  <c r="AJ112" i="1"/>
  <c r="M112" i="1"/>
  <c r="U112" i="1"/>
  <c r="AC112" i="1"/>
  <c r="AK112" i="1"/>
  <c r="N112" i="1"/>
  <c r="V112" i="1"/>
  <c r="AD112" i="1"/>
  <c r="AL112" i="1"/>
  <c r="O112" i="1"/>
  <c r="W112" i="1"/>
  <c r="AE112" i="1"/>
  <c r="AM112" i="1"/>
  <c r="H112" i="1"/>
  <c r="P112" i="1"/>
  <c r="X112" i="1"/>
  <c r="AF112" i="1"/>
  <c r="AN112" i="1"/>
  <c r="Y112" i="1"/>
  <c r="F112" i="1"/>
  <c r="J112" i="1"/>
  <c r="Z112" i="1"/>
  <c r="G112" i="1"/>
  <c r="AG112" i="1"/>
  <c r="AH112" i="1"/>
  <c r="I112" i="1"/>
  <c r="AO112" i="1"/>
  <c r="Q112" i="1"/>
  <c r="D112" i="1"/>
  <c r="C112" i="1"/>
  <c r="R112" i="1"/>
  <c r="E112" i="1"/>
  <c r="AP112" i="1"/>
  <c r="W109" i="1"/>
  <c r="AF109" i="1"/>
  <c r="H109" i="1"/>
  <c r="AO109" i="1"/>
  <c r="Q109" i="1"/>
  <c r="Z109" i="1"/>
  <c r="AI109" i="1"/>
  <c r="K109" i="1"/>
  <c r="T109" i="1"/>
  <c r="AC109" i="1"/>
  <c r="N109" i="1"/>
  <c r="E109" i="1"/>
  <c r="AL109" i="1"/>
  <c r="H123" i="1"/>
  <c r="P123" i="1"/>
  <c r="X123" i="1"/>
  <c r="AF123" i="1"/>
  <c r="AN123" i="1"/>
  <c r="I123" i="1"/>
  <c r="Q123" i="1"/>
  <c r="Y123" i="1"/>
  <c r="AG123" i="1"/>
  <c r="AO123" i="1"/>
  <c r="J123" i="1"/>
  <c r="R123" i="1"/>
  <c r="Z123" i="1"/>
  <c r="AH123" i="1"/>
  <c r="AP123" i="1"/>
  <c r="K123" i="1"/>
  <c r="S123" i="1"/>
  <c r="AA123" i="1"/>
  <c r="AI123" i="1"/>
  <c r="AQ123" i="1"/>
  <c r="D123" i="1"/>
  <c r="L123" i="1"/>
  <c r="T123" i="1"/>
  <c r="AB123" i="1"/>
  <c r="AJ123" i="1"/>
  <c r="E123" i="1"/>
  <c r="M123" i="1"/>
  <c r="U123" i="1"/>
  <c r="AC123" i="1"/>
  <c r="AK123" i="1"/>
  <c r="C123" i="1"/>
  <c r="AD123" i="1"/>
  <c r="AE123" i="1"/>
  <c r="F123" i="1"/>
  <c r="AL123" i="1"/>
  <c r="N123" i="1"/>
  <c r="G123" i="1"/>
  <c r="AM123" i="1"/>
  <c r="O123" i="1"/>
  <c r="V123" i="1"/>
  <c r="W123" i="1"/>
  <c r="H126" i="1"/>
  <c r="P126" i="1"/>
  <c r="X126" i="1"/>
  <c r="AF126" i="1"/>
  <c r="AN126" i="1"/>
  <c r="I126" i="1"/>
  <c r="Q126" i="1"/>
  <c r="Y126" i="1"/>
  <c r="AG126" i="1"/>
  <c r="AO126" i="1"/>
  <c r="J126" i="1"/>
  <c r="R126" i="1"/>
  <c r="Z126" i="1"/>
  <c r="AH126" i="1"/>
  <c r="AP126" i="1"/>
  <c r="K126" i="1"/>
  <c r="S126" i="1"/>
  <c r="AA126" i="1"/>
  <c r="AA124" i="1" s="1"/>
  <c r="AI126" i="1"/>
  <c r="AQ126" i="1"/>
  <c r="AQ124" i="1" s="1"/>
  <c r="D126" i="1"/>
  <c r="L126" i="1"/>
  <c r="T126" i="1"/>
  <c r="AB126" i="1"/>
  <c r="AJ126" i="1"/>
  <c r="E126" i="1"/>
  <c r="M126" i="1"/>
  <c r="U126" i="1"/>
  <c r="AC126" i="1"/>
  <c r="AK126" i="1"/>
  <c r="N126" i="1"/>
  <c r="O126" i="1"/>
  <c r="V126" i="1"/>
  <c r="AD126" i="1"/>
  <c r="AE126" i="1"/>
  <c r="W126" i="1"/>
  <c r="F126" i="1"/>
  <c r="AL126" i="1"/>
  <c r="G126" i="1"/>
  <c r="AM126" i="1"/>
  <c r="C126" i="1"/>
  <c r="O113" i="1"/>
  <c r="W113" i="1"/>
  <c r="AE113" i="1"/>
  <c r="AM113" i="1"/>
  <c r="H113" i="1"/>
  <c r="P113" i="1"/>
  <c r="X113" i="1"/>
  <c r="AF113" i="1"/>
  <c r="AN113" i="1"/>
  <c r="I113" i="1"/>
  <c r="Q113" i="1"/>
  <c r="Y113" i="1"/>
  <c r="AG113" i="1"/>
  <c r="AO113" i="1"/>
  <c r="J113" i="1"/>
  <c r="R113" i="1"/>
  <c r="Z113" i="1"/>
  <c r="AH113" i="1"/>
  <c r="AP113" i="1"/>
  <c r="K113" i="1"/>
  <c r="S113" i="1"/>
  <c r="AA113" i="1"/>
  <c r="AI113" i="1"/>
  <c r="AQ113" i="1"/>
  <c r="L113" i="1"/>
  <c r="T113" i="1"/>
  <c r="AB113" i="1"/>
  <c r="AJ113" i="1"/>
  <c r="U113" i="1"/>
  <c r="V113" i="1"/>
  <c r="AC113" i="1"/>
  <c r="D113" i="1"/>
  <c r="AD113" i="1"/>
  <c r="E113" i="1"/>
  <c r="AK113" i="1"/>
  <c r="AL113" i="1"/>
  <c r="C113" i="1"/>
  <c r="F113" i="1"/>
  <c r="G113" i="1"/>
  <c r="M113" i="1"/>
  <c r="N113" i="1"/>
  <c r="K116" i="1"/>
  <c r="N116" i="1"/>
  <c r="O116" i="1"/>
  <c r="W116" i="1"/>
  <c r="AE116" i="1"/>
  <c r="H116" i="1"/>
  <c r="P116" i="1"/>
  <c r="X116" i="1"/>
  <c r="AF116" i="1"/>
  <c r="AN116" i="1"/>
  <c r="Q116" i="1"/>
  <c r="AA116" i="1"/>
  <c r="AK116" i="1"/>
  <c r="AQ116" i="1"/>
  <c r="R116" i="1"/>
  <c r="AB116" i="1"/>
  <c r="AL116" i="1"/>
  <c r="G116" i="1"/>
  <c r="J116" i="1"/>
  <c r="S116" i="1"/>
  <c r="AC116" i="1"/>
  <c r="AM116" i="1"/>
  <c r="C116" i="1"/>
  <c r="AD116" i="1"/>
  <c r="AO116" i="1"/>
  <c r="U116" i="1"/>
  <c r="AP116" i="1"/>
  <c r="AH116" i="1"/>
  <c r="T116" i="1"/>
  <c r="I116" i="1"/>
  <c r="AG116" i="1"/>
  <c r="L116" i="1"/>
  <c r="Y116" i="1"/>
  <c r="AI116" i="1"/>
  <c r="D116" i="1"/>
  <c r="M116" i="1"/>
  <c r="Z116" i="1"/>
  <c r="E116" i="1"/>
  <c r="F116" i="1"/>
  <c r="V116" i="1"/>
  <c r="AJ116" i="1"/>
  <c r="H122" i="1"/>
  <c r="P122" i="1"/>
  <c r="P121" i="1" s="1"/>
  <c r="X122" i="1"/>
  <c r="X121" i="1" s="1"/>
  <c r="AF122" i="1"/>
  <c r="AN122" i="1"/>
  <c r="AN121" i="1" s="1"/>
  <c r="I122" i="1"/>
  <c r="I121" i="1" s="1"/>
  <c r="Q122" i="1"/>
  <c r="Y122" i="1"/>
  <c r="AG122" i="1"/>
  <c r="AO122" i="1"/>
  <c r="AO121" i="1" s="1"/>
  <c r="J122" i="1"/>
  <c r="J121" i="1" s="1"/>
  <c r="R122" i="1"/>
  <c r="Z122" i="1"/>
  <c r="Z121" i="1" s="1"/>
  <c r="AH122" i="1"/>
  <c r="AH121" i="1" s="1"/>
  <c r="AP122" i="1"/>
  <c r="K122" i="1"/>
  <c r="S122" i="1"/>
  <c r="AA122" i="1"/>
  <c r="AA121" i="1" s="1"/>
  <c r="AI122" i="1"/>
  <c r="AI121" i="1" s="1"/>
  <c r="AQ122" i="1"/>
  <c r="D122" i="1"/>
  <c r="D121" i="1" s="1"/>
  <c r="L122" i="1"/>
  <c r="L121" i="1" s="1"/>
  <c r="T122" i="1"/>
  <c r="AB122" i="1"/>
  <c r="AJ122" i="1"/>
  <c r="C122" i="1"/>
  <c r="E122" i="1"/>
  <c r="E121" i="1" s="1"/>
  <c r="M122" i="1"/>
  <c r="M121" i="1" s="1"/>
  <c r="U122" i="1"/>
  <c r="U121" i="1" s="1"/>
  <c r="AC122" i="1"/>
  <c r="AC121" i="1" s="1"/>
  <c r="AK122" i="1"/>
  <c r="AK121" i="1" s="1"/>
  <c r="F122" i="1"/>
  <c r="F121" i="1" s="1"/>
  <c r="AL122" i="1"/>
  <c r="AL121" i="1" s="1"/>
  <c r="G122" i="1"/>
  <c r="G121" i="1" s="1"/>
  <c r="AM122" i="1"/>
  <c r="AM121" i="1" s="1"/>
  <c r="N122" i="1"/>
  <c r="V122" i="1"/>
  <c r="O122" i="1"/>
  <c r="AD122" i="1"/>
  <c r="AE122" i="1"/>
  <c r="W122" i="1"/>
  <c r="E59" i="8"/>
  <c r="K103" i="1"/>
  <c r="S103" i="1"/>
  <c r="AA103" i="1"/>
  <c r="AI103" i="1"/>
  <c r="AQ103" i="1"/>
  <c r="L103" i="1"/>
  <c r="T103" i="1"/>
  <c r="AB103" i="1"/>
  <c r="AJ103" i="1"/>
  <c r="M103" i="1"/>
  <c r="U103" i="1"/>
  <c r="AC103" i="1"/>
  <c r="AK103" i="1"/>
  <c r="N103" i="1"/>
  <c r="V103" i="1"/>
  <c r="AD103" i="1"/>
  <c r="AL103" i="1"/>
  <c r="O103" i="1"/>
  <c r="W103" i="1"/>
  <c r="AE103" i="1"/>
  <c r="AM103" i="1"/>
  <c r="H103" i="1"/>
  <c r="P103" i="1"/>
  <c r="X103" i="1"/>
  <c r="AF103" i="1"/>
  <c r="AN103" i="1"/>
  <c r="AG103" i="1"/>
  <c r="E103" i="1"/>
  <c r="C103" i="1"/>
  <c r="AH103" i="1"/>
  <c r="F103" i="1"/>
  <c r="I103" i="1"/>
  <c r="AO103" i="1"/>
  <c r="G103" i="1"/>
  <c r="J103" i="1"/>
  <c r="AP103" i="1"/>
  <c r="Q103" i="1"/>
  <c r="R103" i="1"/>
  <c r="Y103" i="1"/>
  <c r="Z103" i="1"/>
  <c r="D103" i="1"/>
  <c r="F69" i="8"/>
  <c r="K114" i="1"/>
  <c r="S114" i="1"/>
  <c r="AA114" i="1"/>
  <c r="AI114" i="1"/>
  <c r="AQ114" i="1"/>
  <c r="L114" i="1"/>
  <c r="T114" i="1"/>
  <c r="AB114" i="1"/>
  <c r="AJ114" i="1"/>
  <c r="M114" i="1"/>
  <c r="U114" i="1"/>
  <c r="AC114" i="1"/>
  <c r="AK114" i="1"/>
  <c r="N114" i="1"/>
  <c r="V114" i="1"/>
  <c r="AD114" i="1"/>
  <c r="AL114" i="1"/>
  <c r="O114" i="1"/>
  <c r="W114" i="1"/>
  <c r="AE114" i="1"/>
  <c r="AM114" i="1"/>
  <c r="H114" i="1"/>
  <c r="P114" i="1"/>
  <c r="X114" i="1"/>
  <c r="AF114" i="1"/>
  <c r="AN114" i="1"/>
  <c r="Q114" i="1"/>
  <c r="F114" i="1"/>
  <c r="R114" i="1"/>
  <c r="G114" i="1"/>
  <c r="Y114" i="1"/>
  <c r="Z114" i="1"/>
  <c r="AG114" i="1"/>
  <c r="AH114" i="1"/>
  <c r="I114" i="1"/>
  <c r="AO114" i="1"/>
  <c r="D114" i="1"/>
  <c r="J114" i="1"/>
  <c r="AP114" i="1"/>
  <c r="E114" i="1"/>
  <c r="C114" i="1"/>
  <c r="AL108" i="1"/>
  <c r="N108" i="1"/>
  <c r="W108" i="1"/>
  <c r="AF108" i="1"/>
  <c r="H108" i="1"/>
  <c r="AO108" i="1"/>
  <c r="Q108" i="1"/>
  <c r="Z108" i="1"/>
  <c r="AI108" i="1"/>
  <c r="K108" i="1"/>
  <c r="AC108" i="1"/>
  <c r="E108" i="1"/>
  <c r="T108" i="1"/>
  <c r="T106" i="1"/>
  <c r="AC106" i="1"/>
  <c r="AL106" i="1"/>
  <c r="N106" i="1"/>
  <c r="W106" i="1"/>
  <c r="AF106" i="1"/>
  <c r="H106" i="1"/>
  <c r="AO106" i="1"/>
  <c r="Q106" i="1"/>
  <c r="K106" i="1"/>
  <c r="Z106" i="1"/>
  <c r="E106" i="1"/>
  <c r="AI106" i="1"/>
  <c r="O115" i="1"/>
  <c r="W115" i="1"/>
  <c r="AE115" i="1"/>
  <c r="AM115" i="1"/>
  <c r="H115" i="1"/>
  <c r="I115" i="1"/>
  <c r="Q115" i="1"/>
  <c r="Y115" i="1"/>
  <c r="AG115" i="1"/>
  <c r="AO115" i="1"/>
  <c r="J115" i="1"/>
  <c r="R115" i="1"/>
  <c r="Z115" i="1"/>
  <c r="AH115" i="1"/>
  <c r="AP115" i="1"/>
  <c r="K115" i="1"/>
  <c r="S115" i="1"/>
  <c r="AA115" i="1"/>
  <c r="AI115" i="1"/>
  <c r="AQ115" i="1"/>
  <c r="L115" i="1"/>
  <c r="T115" i="1"/>
  <c r="AB115" i="1"/>
  <c r="AJ115" i="1"/>
  <c r="M115" i="1"/>
  <c r="AF115" i="1"/>
  <c r="X115" i="1"/>
  <c r="N115" i="1"/>
  <c r="AK115" i="1"/>
  <c r="G115" i="1"/>
  <c r="P115" i="1"/>
  <c r="AL115" i="1"/>
  <c r="D115" i="1"/>
  <c r="U115" i="1"/>
  <c r="AN115" i="1"/>
  <c r="E115" i="1"/>
  <c r="C115" i="1"/>
  <c r="V115" i="1"/>
  <c r="F115" i="1"/>
  <c r="AC115" i="1"/>
  <c r="AD115" i="1"/>
  <c r="AC107" i="1"/>
  <c r="AL107" i="1"/>
  <c r="N107" i="1"/>
  <c r="W107" i="1"/>
  <c r="AF107" i="1"/>
  <c r="H107" i="1"/>
  <c r="AO107" i="1"/>
  <c r="Q107" i="1"/>
  <c r="Z107" i="1"/>
  <c r="K107" i="1"/>
  <c r="E107" i="1"/>
  <c r="T107" i="1"/>
  <c r="AI107" i="1"/>
  <c r="E75" i="8"/>
  <c r="H119" i="1"/>
  <c r="P119" i="1"/>
  <c r="X119" i="1"/>
  <c r="AF119" i="1"/>
  <c r="AN119" i="1"/>
  <c r="I119" i="1"/>
  <c r="Q119" i="1"/>
  <c r="Y119" i="1"/>
  <c r="AG119" i="1"/>
  <c r="AO119" i="1"/>
  <c r="J119" i="1"/>
  <c r="R119" i="1"/>
  <c r="Z119" i="1"/>
  <c r="AH119" i="1"/>
  <c r="AP119" i="1"/>
  <c r="K119" i="1"/>
  <c r="S119" i="1"/>
  <c r="AA119" i="1"/>
  <c r="AI119" i="1"/>
  <c r="AQ119" i="1"/>
  <c r="D119" i="1"/>
  <c r="L119" i="1"/>
  <c r="T119" i="1"/>
  <c r="AB119" i="1"/>
  <c r="AJ119" i="1"/>
  <c r="C119" i="1"/>
  <c r="E119" i="1"/>
  <c r="M119" i="1"/>
  <c r="U119" i="1"/>
  <c r="AC119" i="1"/>
  <c r="AK119" i="1"/>
  <c r="V119" i="1"/>
  <c r="G119" i="1"/>
  <c r="W119" i="1"/>
  <c r="AM119" i="1"/>
  <c r="AD119" i="1"/>
  <c r="F119" i="1"/>
  <c r="AL119" i="1"/>
  <c r="AE119" i="1"/>
  <c r="N119" i="1"/>
  <c r="O119" i="1"/>
  <c r="V151" i="1"/>
  <c r="AD151" i="1"/>
  <c r="AL151" i="1"/>
  <c r="K151" i="1"/>
  <c r="F151" i="1"/>
  <c r="AA151" i="1"/>
  <c r="H151" i="1"/>
  <c r="T151" i="1"/>
  <c r="Q151" i="1"/>
  <c r="D151" i="1"/>
  <c r="U151" i="1"/>
  <c r="W151" i="1"/>
  <c r="AE151" i="1"/>
  <c r="AM151" i="1"/>
  <c r="L151" i="1"/>
  <c r="G151" i="1"/>
  <c r="AQ151" i="1"/>
  <c r="X151" i="1"/>
  <c r="AF151" i="1"/>
  <c r="AN151" i="1"/>
  <c r="M151" i="1"/>
  <c r="C151" i="1"/>
  <c r="S151" i="1"/>
  <c r="Y151" i="1"/>
  <c r="AG151" i="1"/>
  <c r="AO151" i="1"/>
  <c r="N151" i="1"/>
  <c r="AI151" i="1"/>
  <c r="P151" i="1"/>
  <c r="AJ151" i="1"/>
  <c r="I151" i="1"/>
  <c r="AC151" i="1"/>
  <c r="J151" i="1"/>
  <c r="Z151" i="1"/>
  <c r="AH151" i="1"/>
  <c r="AP151" i="1"/>
  <c r="O151" i="1"/>
  <c r="AB151" i="1"/>
  <c r="AK151" i="1"/>
  <c r="R151" i="1"/>
  <c r="E151" i="1"/>
  <c r="W150" i="1"/>
  <c r="AE150" i="1"/>
  <c r="AM150" i="1"/>
  <c r="N150" i="1"/>
  <c r="U150" i="1"/>
  <c r="V150" i="1"/>
  <c r="M150" i="1"/>
  <c r="X150" i="1"/>
  <c r="AF150" i="1"/>
  <c r="AN150" i="1"/>
  <c r="O150" i="1"/>
  <c r="AB150" i="1"/>
  <c r="Y150" i="1"/>
  <c r="AG150" i="1"/>
  <c r="AO150" i="1"/>
  <c r="H150" i="1"/>
  <c r="P150" i="1"/>
  <c r="D150" i="1"/>
  <c r="G150" i="1"/>
  <c r="AC150" i="1"/>
  <c r="Z150" i="1"/>
  <c r="AH150" i="1"/>
  <c r="AP150" i="1"/>
  <c r="I150" i="1"/>
  <c r="Q150" i="1"/>
  <c r="E150" i="1"/>
  <c r="C150" i="1"/>
  <c r="T150" i="1"/>
  <c r="AK150" i="1"/>
  <c r="AD150" i="1"/>
  <c r="S150" i="1"/>
  <c r="AA150" i="1"/>
  <c r="AI150" i="1"/>
  <c r="AQ150" i="1"/>
  <c r="J150" i="1"/>
  <c r="R150" i="1"/>
  <c r="F150" i="1"/>
  <c r="AJ150" i="1"/>
  <c r="K150" i="1"/>
  <c r="L150" i="1"/>
  <c r="AL150" i="1"/>
  <c r="E79" i="8"/>
  <c r="F60" i="8"/>
  <c r="E76" i="8"/>
  <c r="E66" i="8"/>
  <c r="E60" i="8"/>
  <c r="E45" i="8"/>
  <c r="Z105" i="1" l="1"/>
  <c r="AL105" i="1"/>
  <c r="V121" i="1"/>
  <c r="R111" i="1"/>
  <c r="P111" i="1"/>
  <c r="V111" i="1"/>
  <c r="AB121" i="1"/>
  <c r="K121" i="1"/>
  <c r="Y121" i="1"/>
  <c r="AD121" i="1"/>
  <c r="O124" i="1"/>
  <c r="C121" i="1"/>
  <c r="AF105" i="1"/>
  <c r="AE121" i="1"/>
  <c r="AN111" i="1"/>
  <c r="O111" i="1"/>
  <c r="M111" i="1"/>
  <c r="S111" i="1"/>
  <c r="F124" i="1"/>
  <c r="T121" i="1"/>
  <c r="AP121" i="1"/>
  <c r="Q121" i="1"/>
  <c r="O121" i="1"/>
  <c r="K105" i="1"/>
  <c r="AC105" i="1"/>
  <c r="N121" i="1"/>
  <c r="AQ121" i="1"/>
  <c r="R121" i="1"/>
  <c r="AF121" i="1"/>
  <c r="C111" i="1"/>
  <c r="Z111" i="1"/>
  <c r="H111" i="1"/>
  <c r="N111" i="1"/>
  <c r="L111" i="1"/>
  <c r="C124" i="1"/>
  <c r="V124" i="1"/>
  <c r="T124" i="1"/>
  <c r="AP124" i="1"/>
  <c r="Q124" i="1"/>
  <c r="G111" i="1"/>
  <c r="T111" i="1"/>
  <c r="AB124" i="1"/>
  <c r="Y124" i="1"/>
  <c r="XFC107" i="1"/>
  <c r="Q105" i="1"/>
  <c r="T105" i="1"/>
  <c r="XFC109" i="1"/>
  <c r="D111" i="1"/>
  <c r="J111" i="1"/>
  <c r="AM111" i="1"/>
  <c r="AK111" i="1"/>
  <c r="AQ111" i="1"/>
  <c r="N124" i="1"/>
  <c r="AK124" i="1"/>
  <c r="L124" i="1"/>
  <c r="AH124" i="1"/>
  <c r="I124" i="1"/>
  <c r="K124" i="1"/>
  <c r="AO105" i="1"/>
  <c r="O104" i="1"/>
  <c r="O102" i="1" s="1"/>
  <c r="W104" i="1"/>
  <c r="W102" i="1" s="1"/>
  <c r="AE104" i="1"/>
  <c r="AE102" i="1" s="1"/>
  <c r="AM104" i="1"/>
  <c r="AM102" i="1" s="1"/>
  <c r="H104" i="1"/>
  <c r="H102" i="1" s="1"/>
  <c r="P104" i="1"/>
  <c r="P102" i="1" s="1"/>
  <c r="P101" i="1" s="1"/>
  <c r="X104" i="1"/>
  <c r="X102" i="1" s="1"/>
  <c r="AF104" i="1"/>
  <c r="AF102" i="1" s="1"/>
  <c r="AN104" i="1"/>
  <c r="AN102" i="1" s="1"/>
  <c r="AN101" i="1" s="1"/>
  <c r="AN152" i="1" s="1"/>
  <c r="I104" i="1"/>
  <c r="I102" i="1" s="1"/>
  <c r="Q104" i="1"/>
  <c r="Q102" i="1" s="1"/>
  <c r="Y104" i="1"/>
  <c r="Y102" i="1" s="1"/>
  <c r="AG104" i="1"/>
  <c r="AG102" i="1" s="1"/>
  <c r="AO104" i="1"/>
  <c r="AO102" i="1" s="1"/>
  <c r="J104" i="1"/>
  <c r="J102" i="1" s="1"/>
  <c r="R104" i="1"/>
  <c r="R102" i="1" s="1"/>
  <c r="R101" i="1" s="1"/>
  <c r="Z104" i="1"/>
  <c r="Z102" i="1" s="1"/>
  <c r="Z101" i="1" s="1"/>
  <c r="Z152" i="1" s="1"/>
  <c r="AH104" i="1"/>
  <c r="AH102" i="1" s="1"/>
  <c r="AH101" i="1" s="1"/>
  <c r="AH152" i="1" s="1"/>
  <c r="AP104" i="1"/>
  <c r="AP102" i="1" s="1"/>
  <c r="K104" i="1"/>
  <c r="K102" i="1" s="1"/>
  <c r="S104" i="1"/>
  <c r="S102" i="1" s="1"/>
  <c r="AA104" i="1"/>
  <c r="AA102" i="1" s="1"/>
  <c r="AI104" i="1"/>
  <c r="AQ104" i="1"/>
  <c r="AQ102" i="1" s="1"/>
  <c r="AQ101" i="1" s="1"/>
  <c r="AQ152" i="1" s="1"/>
  <c r="L104" i="1"/>
  <c r="L102" i="1" s="1"/>
  <c r="T104" i="1"/>
  <c r="AB104" i="1"/>
  <c r="AB102" i="1" s="1"/>
  <c r="AJ104" i="1"/>
  <c r="AJ102" i="1" s="1"/>
  <c r="AC104" i="1"/>
  <c r="AD104" i="1"/>
  <c r="AD102" i="1" s="1"/>
  <c r="N104" i="1"/>
  <c r="N102" i="1" s="1"/>
  <c r="AK104" i="1"/>
  <c r="AK102" i="1" s="1"/>
  <c r="D104" i="1"/>
  <c r="D102" i="1" s="1"/>
  <c r="D101" i="1" s="1"/>
  <c r="D152" i="1" s="1"/>
  <c r="M104" i="1"/>
  <c r="M102" i="1" s="1"/>
  <c r="M101" i="1" s="1"/>
  <c r="C104" i="1"/>
  <c r="C102" i="1" s="1"/>
  <c r="AL104" i="1"/>
  <c r="AL102" i="1" s="1"/>
  <c r="E104" i="1"/>
  <c r="U104" i="1"/>
  <c r="U102" i="1" s="1"/>
  <c r="G104" i="1"/>
  <c r="G102" i="1" s="1"/>
  <c r="V104" i="1"/>
  <c r="V102" i="1" s="1"/>
  <c r="V101" i="1" s="1"/>
  <c r="F104" i="1"/>
  <c r="Q111" i="1"/>
  <c r="F111" i="1"/>
  <c r="AE111" i="1"/>
  <c r="AC111" i="1"/>
  <c r="AI111" i="1"/>
  <c r="AE124" i="1"/>
  <c r="AC124" i="1"/>
  <c r="D124" i="1"/>
  <c r="Z124" i="1"/>
  <c r="AN124" i="1"/>
  <c r="AM124" i="1"/>
  <c r="XFC110" i="1"/>
  <c r="H105" i="1"/>
  <c r="XFC108" i="1"/>
  <c r="F102" i="1"/>
  <c r="T102" i="1"/>
  <c r="W121" i="1"/>
  <c r="AJ121" i="1"/>
  <c r="S121" i="1"/>
  <c r="AG121" i="1"/>
  <c r="H121" i="1"/>
  <c r="AO111" i="1"/>
  <c r="Y111" i="1"/>
  <c r="W111" i="1"/>
  <c r="U111" i="1"/>
  <c r="AA111" i="1"/>
  <c r="AL124" i="1"/>
  <c r="U124" i="1"/>
  <c r="R124" i="1"/>
  <c r="AF124" i="1"/>
  <c r="AI124" i="1"/>
  <c r="X124" i="1"/>
  <c r="AI105" i="1"/>
  <c r="W105" i="1"/>
  <c r="AP111" i="1"/>
  <c r="AH111" i="1"/>
  <c r="AF111" i="1"/>
  <c r="AL111" i="1"/>
  <c r="AJ111" i="1"/>
  <c r="K111" i="1"/>
  <c r="AD124" i="1"/>
  <c r="E124" i="1"/>
  <c r="AO124" i="1"/>
  <c r="P124" i="1"/>
  <c r="I111" i="1"/>
  <c r="M124" i="1"/>
  <c r="J124" i="1"/>
  <c r="H120" i="1"/>
  <c r="H118" i="1" s="1"/>
  <c r="P120" i="1"/>
  <c r="P118" i="1" s="1"/>
  <c r="X120" i="1"/>
  <c r="X118" i="1" s="1"/>
  <c r="AF120" i="1"/>
  <c r="AF118" i="1" s="1"/>
  <c r="AN120" i="1"/>
  <c r="AN118" i="1" s="1"/>
  <c r="I120" i="1"/>
  <c r="I118" i="1" s="1"/>
  <c r="I117" i="1" s="1"/>
  <c r="I153" i="1" s="1"/>
  <c r="Q120" i="1"/>
  <c r="Q118" i="1" s="1"/>
  <c r="Y120" i="1"/>
  <c r="Y118" i="1" s="1"/>
  <c r="Y117" i="1" s="1"/>
  <c r="Y153" i="1" s="1"/>
  <c r="AG120" i="1"/>
  <c r="AG118" i="1" s="1"/>
  <c r="AO120" i="1"/>
  <c r="AO118" i="1" s="1"/>
  <c r="AO117" i="1" s="1"/>
  <c r="AO153" i="1" s="1"/>
  <c r="J120" i="1"/>
  <c r="J118" i="1" s="1"/>
  <c r="J117" i="1" s="1"/>
  <c r="J153" i="1" s="1"/>
  <c r="R120" i="1"/>
  <c r="R118" i="1" s="1"/>
  <c r="R117" i="1" s="1"/>
  <c r="Z120" i="1"/>
  <c r="Z118" i="1" s="1"/>
  <c r="AH120" i="1"/>
  <c r="AH118" i="1" s="1"/>
  <c r="AH117" i="1" s="1"/>
  <c r="AH153" i="1" s="1"/>
  <c r="AP120" i="1"/>
  <c r="AP118" i="1" s="1"/>
  <c r="K120" i="1"/>
  <c r="K118" i="1" s="1"/>
  <c r="S120" i="1"/>
  <c r="S118" i="1" s="1"/>
  <c r="AA120" i="1"/>
  <c r="AA118" i="1" s="1"/>
  <c r="AA117" i="1" s="1"/>
  <c r="AI120" i="1"/>
  <c r="AI118" i="1" s="1"/>
  <c r="AQ120" i="1"/>
  <c r="AQ118" i="1" s="1"/>
  <c r="AQ117" i="1" s="1"/>
  <c r="AQ153" i="1" s="1"/>
  <c r="C120" i="1"/>
  <c r="C118" i="1" s="1"/>
  <c r="C117" i="1" s="1"/>
  <c r="D120" i="1"/>
  <c r="D118" i="1" s="1"/>
  <c r="L120" i="1"/>
  <c r="L118" i="1" s="1"/>
  <c r="T120" i="1"/>
  <c r="T118" i="1" s="1"/>
  <c r="AB120" i="1"/>
  <c r="AB118" i="1" s="1"/>
  <c r="AJ120" i="1"/>
  <c r="AJ118" i="1" s="1"/>
  <c r="E120" i="1"/>
  <c r="E118" i="1" s="1"/>
  <c r="E117" i="1" s="1"/>
  <c r="M120" i="1"/>
  <c r="M118" i="1" s="1"/>
  <c r="U120" i="1"/>
  <c r="U118" i="1" s="1"/>
  <c r="AC120" i="1"/>
  <c r="AC118" i="1" s="1"/>
  <c r="AK120" i="1"/>
  <c r="AK118" i="1" s="1"/>
  <c r="N120" i="1"/>
  <c r="N118" i="1" s="1"/>
  <c r="O120" i="1"/>
  <c r="O118" i="1" s="1"/>
  <c r="V120" i="1"/>
  <c r="V118" i="1" s="1"/>
  <c r="V117" i="1" s="1"/>
  <c r="AE120" i="1"/>
  <c r="AE118" i="1" s="1"/>
  <c r="W120" i="1"/>
  <c r="W118" i="1" s="1"/>
  <c r="AD120" i="1"/>
  <c r="AD118" i="1" s="1"/>
  <c r="F120" i="1"/>
  <c r="F118" i="1" s="1"/>
  <c r="F117" i="1" s="1"/>
  <c r="F153" i="1" s="1"/>
  <c r="AL120" i="1"/>
  <c r="AL118" i="1" s="1"/>
  <c r="G120" i="1"/>
  <c r="G118" i="1" s="1"/>
  <c r="AM120" i="1"/>
  <c r="AM118" i="1" s="1"/>
  <c r="AM117" i="1" s="1"/>
  <c r="AM153" i="1" s="1"/>
  <c r="E105" i="1"/>
  <c r="XFC106" i="1"/>
  <c r="N105" i="1"/>
  <c r="E102" i="1"/>
  <c r="AC102" i="1"/>
  <c r="AC101" i="1" s="1"/>
  <c r="AC152" i="1" s="1"/>
  <c r="AI102" i="1"/>
  <c r="E111" i="1"/>
  <c r="AG111" i="1"/>
  <c r="X111" i="1"/>
  <c r="AD111" i="1"/>
  <c r="AB111" i="1"/>
  <c r="G124" i="1"/>
  <c r="W124" i="1"/>
  <c r="AJ124" i="1"/>
  <c r="S124" i="1"/>
  <c r="AG124" i="1"/>
  <c r="H124" i="1"/>
  <c r="E46" i="8"/>
  <c r="K117" i="1" l="1"/>
  <c r="AE101" i="1"/>
  <c r="AE152" i="1" s="1"/>
  <c r="AI101" i="1"/>
  <c r="AI152" i="1" s="1"/>
  <c r="L101" i="1"/>
  <c r="L152" i="1" s="1"/>
  <c r="O101" i="1"/>
  <c r="O152" i="1" s="1"/>
  <c r="Z117" i="1"/>
  <c r="Z153" i="1" s="1"/>
  <c r="U117" i="1"/>
  <c r="G101" i="1"/>
  <c r="G152" i="1" s="1"/>
  <c r="J101" i="1"/>
  <c r="J152" i="1" s="1"/>
  <c r="AA101" i="1"/>
  <c r="S101" i="1"/>
  <c r="E101" i="1"/>
  <c r="W117" i="1"/>
  <c r="W153" i="1" s="1"/>
  <c r="W101" i="1"/>
  <c r="W152" i="1" s="1"/>
  <c r="O117" i="1"/>
  <c r="O153" i="1" s="1"/>
  <c r="AB117" i="1"/>
  <c r="AB153" i="1" s="1"/>
  <c r="AG117" i="1"/>
  <c r="AG153" i="1" s="1"/>
  <c r="H117" i="1"/>
  <c r="E68" i="2" s="1"/>
  <c r="N101" i="1"/>
  <c r="X101" i="1"/>
  <c r="U101" i="1"/>
  <c r="AO101" i="1"/>
  <c r="AO152" i="1" s="1"/>
  <c r="N117" i="1"/>
  <c r="AP117" i="1"/>
  <c r="AP153" i="1" s="1"/>
  <c r="O84" i="16" s="1"/>
  <c r="AC117" i="1"/>
  <c r="AC153" i="1" s="1"/>
  <c r="D117" i="1"/>
  <c r="D153" i="1" s="1"/>
  <c r="C101" i="1"/>
  <c r="Q101" i="1"/>
  <c r="S117" i="1"/>
  <c r="T117" i="1"/>
  <c r="T153" i="1" s="1"/>
  <c r="AL117" i="1"/>
  <c r="AL153" i="1" s="1"/>
  <c r="AK117" i="1"/>
  <c r="AK153" i="1" s="1"/>
  <c r="L117" i="1"/>
  <c r="L153" i="1" s="1"/>
  <c r="Q117" i="1"/>
  <c r="Q153" i="1" s="1"/>
  <c r="AL101" i="1"/>
  <c r="AL152" i="1" s="1"/>
  <c r="AJ101" i="1"/>
  <c r="AJ152" i="1" s="1"/>
  <c r="AD117" i="1"/>
  <c r="AD153" i="1" s="1"/>
  <c r="AN117" i="1"/>
  <c r="AN153" i="1" s="1"/>
  <c r="N84" i="16" s="1"/>
  <c r="I101" i="1"/>
  <c r="I152" i="1" s="1"/>
  <c r="M117" i="1"/>
  <c r="H68" i="16" s="1"/>
  <c r="AF117" i="1"/>
  <c r="AF153" i="1" s="1"/>
  <c r="L84" i="16" s="1"/>
  <c r="Y101" i="1"/>
  <c r="Y152" i="1" s="1"/>
  <c r="AE117" i="1"/>
  <c r="AE153" i="1" s="1"/>
  <c r="AI117" i="1"/>
  <c r="AI153" i="1" s="1"/>
  <c r="X117" i="1"/>
  <c r="AK101" i="1"/>
  <c r="AK152" i="1" s="1"/>
  <c r="AF101" i="1"/>
  <c r="AF152" i="1" s="1"/>
  <c r="AJ117" i="1"/>
  <c r="AJ153" i="1" s="1"/>
  <c r="P117" i="1"/>
  <c r="AD101" i="1"/>
  <c r="AD152" i="1" s="1"/>
  <c r="M83" i="2" s="1"/>
  <c r="K101" i="1"/>
  <c r="C153" i="1"/>
  <c r="M152" i="1"/>
  <c r="H67" i="16"/>
  <c r="J67" i="2"/>
  <c r="M153" i="1"/>
  <c r="R153" i="1"/>
  <c r="O68" i="2"/>
  <c r="P68" i="2"/>
  <c r="U153" i="1"/>
  <c r="M68" i="16"/>
  <c r="E153" i="1"/>
  <c r="X153" i="1"/>
  <c r="Q68" i="2"/>
  <c r="N68" i="16"/>
  <c r="V152" i="1"/>
  <c r="K67" i="16"/>
  <c r="V153" i="1"/>
  <c r="M68" i="2"/>
  <c r="K68" i="16"/>
  <c r="AA153" i="1"/>
  <c r="S153" i="1"/>
  <c r="L68" i="2"/>
  <c r="H153" i="1"/>
  <c r="U152" i="1"/>
  <c r="M67" i="16"/>
  <c r="P67" i="2"/>
  <c r="AA152" i="1"/>
  <c r="K67" i="2"/>
  <c r="I67" i="16"/>
  <c r="P152" i="1"/>
  <c r="S152" i="1"/>
  <c r="N153" i="1"/>
  <c r="G68" i="2"/>
  <c r="Q84" i="2"/>
  <c r="Q152" i="1"/>
  <c r="G67" i="16"/>
  <c r="H67" i="2"/>
  <c r="K152" i="1"/>
  <c r="E67" i="16"/>
  <c r="F67" i="2"/>
  <c r="K153" i="1"/>
  <c r="H101" i="1"/>
  <c r="T101" i="1"/>
  <c r="T152" i="1" s="1"/>
  <c r="E152" i="1"/>
  <c r="B67" i="16"/>
  <c r="B67" i="2"/>
  <c r="C152" i="1"/>
  <c r="G117" i="1"/>
  <c r="G153" i="1" s="1"/>
  <c r="AG101" i="1"/>
  <c r="AG152" i="1" s="1"/>
  <c r="L83" i="16" s="1"/>
  <c r="X152" i="1"/>
  <c r="R152" i="1"/>
  <c r="AP101" i="1"/>
  <c r="AP152" i="1" s="1"/>
  <c r="R83" i="2" s="1"/>
  <c r="AM101" i="1"/>
  <c r="AM152" i="1" s="1"/>
  <c r="N83" i="16" s="1"/>
  <c r="F101" i="1"/>
  <c r="F152" i="1" s="1"/>
  <c r="AB101" i="1"/>
  <c r="AB152" i="1" s="1"/>
  <c r="N152" i="1"/>
  <c r="F67" i="16"/>
  <c r="G67" i="2"/>
  <c r="G146" i="1"/>
  <c r="O146" i="1"/>
  <c r="P146" i="1"/>
  <c r="AJ146" i="1"/>
  <c r="R146" i="1"/>
  <c r="V146" i="1"/>
  <c r="K146" i="1"/>
  <c r="AO146" i="1"/>
  <c r="N146" i="1"/>
  <c r="AQ146" i="1"/>
  <c r="F146" i="1"/>
  <c r="AN146" i="1"/>
  <c r="L146" i="1"/>
  <c r="AM146" i="1"/>
  <c r="M146" i="1"/>
  <c r="AK146" i="1"/>
  <c r="I146" i="1"/>
  <c r="AI146" i="1"/>
  <c r="Q146" i="1"/>
  <c r="D146" i="1"/>
  <c r="C146" i="1"/>
  <c r="J146" i="1"/>
  <c r="T146" i="1"/>
  <c r="AP146" i="1"/>
  <c r="AH146" i="1"/>
  <c r="AE146" i="1"/>
  <c r="AL146" i="1"/>
  <c r="AC146" i="1"/>
  <c r="H146" i="1"/>
  <c r="AA146" i="1"/>
  <c r="AG146" i="1"/>
  <c r="E146" i="1"/>
  <c r="AF146" i="1"/>
  <c r="AB146" i="1"/>
  <c r="X146" i="1"/>
  <c r="Z146" i="1"/>
  <c r="W146" i="1"/>
  <c r="AD146" i="1"/>
  <c r="U146" i="1"/>
  <c r="Y146" i="1"/>
  <c r="S146" i="1"/>
  <c r="C158" i="1"/>
  <c r="D158" i="1"/>
  <c r="E158" i="1"/>
  <c r="F158" i="1"/>
  <c r="G158" i="1"/>
  <c r="H158" i="1"/>
  <c r="I158" i="1"/>
  <c r="J158" i="1"/>
  <c r="K158" i="1"/>
  <c r="L158" i="1"/>
  <c r="M158" i="1"/>
  <c r="N158" i="1"/>
  <c r="O158" i="1"/>
  <c r="W5" i="1"/>
  <c r="X5" i="1"/>
  <c r="V5" i="1"/>
  <c r="J68" i="16" l="1"/>
  <c r="M84" i="16"/>
  <c r="P83" i="2"/>
  <c r="M67" i="2"/>
  <c r="F68" i="2"/>
  <c r="L68" i="16"/>
  <c r="R84" i="2"/>
  <c r="E68" i="16"/>
  <c r="J68" i="2"/>
  <c r="I68" i="16"/>
  <c r="K84" i="16"/>
  <c r="O84" i="2"/>
  <c r="R68" i="2"/>
  <c r="S68" i="2" s="1"/>
  <c r="E68" i="17" s="1"/>
  <c r="N67" i="16"/>
  <c r="I83" i="16"/>
  <c r="D68" i="16"/>
  <c r="F68" i="16"/>
  <c r="O68" i="16"/>
  <c r="M83" i="16"/>
  <c r="J84" i="16"/>
  <c r="L67" i="16"/>
  <c r="K83" i="16"/>
  <c r="G68" i="16"/>
  <c r="M84" i="2"/>
  <c r="P153" i="1"/>
  <c r="F84" i="16" s="1"/>
  <c r="Q67" i="2"/>
  <c r="H68" i="2"/>
  <c r="K68" i="2"/>
  <c r="B68" i="2"/>
  <c r="J83" i="2"/>
  <c r="B68" i="16"/>
  <c r="O67" i="2"/>
  <c r="O83" i="16"/>
  <c r="J84" i="2"/>
  <c r="L67" i="2"/>
  <c r="N67" i="2" s="1"/>
  <c r="D67" i="17" s="1"/>
  <c r="P84" i="2"/>
  <c r="I68" i="2"/>
  <c r="C68" i="17" s="1"/>
  <c r="G83" i="2"/>
  <c r="F83" i="16"/>
  <c r="C83" i="2"/>
  <c r="C83" i="16"/>
  <c r="J67" i="16"/>
  <c r="L84" i="2"/>
  <c r="I84" i="16"/>
  <c r="K84" i="2"/>
  <c r="C67" i="16"/>
  <c r="G83" i="16"/>
  <c r="H83" i="2"/>
  <c r="R67" i="2"/>
  <c r="D84" i="16"/>
  <c r="E84" i="2"/>
  <c r="O83" i="2"/>
  <c r="S83" i="2" s="1"/>
  <c r="E83" i="17" s="1"/>
  <c r="S84" i="2"/>
  <c r="E84" i="17" s="1"/>
  <c r="C67" i="2"/>
  <c r="D67" i="2" s="1"/>
  <c r="B67" i="17" s="1"/>
  <c r="Q83" i="2"/>
  <c r="H84" i="16"/>
  <c r="O67" i="16"/>
  <c r="J83" i="16"/>
  <c r="L83" i="2"/>
  <c r="C84" i="16"/>
  <c r="C84" i="2"/>
  <c r="H84" i="2"/>
  <c r="G84" i="16"/>
  <c r="K83" i="2"/>
  <c r="G84" i="2"/>
  <c r="C68" i="16"/>
  <c r="B84" i="2"/>
  <c r="B84" i="16"/>
  <c r="E84" i="16"/>
  <c r="F84" i="2"/>
  <c r="E67" i="2"/>
  <c r="I67" i="2" s="1"/>
  <c r="C67" i="17" s="1"/>
  <c r="H152" i="1"/>
  <c r="D67" i="16"/>
  <c r="B83" i="16"/>
  <c r="B83" i="2"/>
  <c r="H83" i="16"/>
  <c r="C68" i="2"/>
  <c r="D68" i="2" s="1"/>
  <c r="B68" i="17" s="1"/>
  <c r="E83" i="16"/>
  <c r="F83" i="2"/>
  <c r="N68" i="2"/>
  <c r="D68" i="17" s="1"/>
  <c r="C89" i="16"/>
  <c r="D89" i="16"/>
  <c r="E89" i="16"/>
  <c r="E89" i="8"/>
  <c r="AC5" i="1"/>
  <c r="AB5" i="1"/>
  <c r="AE5" i="1"/>
  <c r="AD5" i="1"/>
  <c r="S5" i="1"/>
  <c r="O34" i="1"/>
  <c r="P5" i="1"/>
  <c r="N84" i="2" l="1"/>
  <c r="D84" i="17" s="1"/>
  <c r="D83" i="2"/>
  <c r="B83" i="17" s="1"/>
  <c r="D84" i="2"/>
  <c r="B84" i="17" s="1"/>
  <c r="S67" i="2"/>
  <c r="E67" i="17" s="1"/>
  <c r="N83" i="2"/>
  <c r="D83" i="17" s="1"/>
  <c r="I84" i="2"/>
  <c r="C84" i="17" s="1"/>
  <c r="D83" i="16"/>
  <c r="E83" i="2"/>
  <c r="I83" i="2" s="1"/>
  <c r="C83" i="17" s="1"/>
  <c r="E99" i="8"/>
  <c r="E93" i="8"/>
  <c r="C17" i="1"/>
  <c r="B18" i="1"/>
  <c r="D17" i="1" l="1"/>
  <c r="E17" i="1" s="1"/>
  <c r="B23" i="1"/>
  <c r="B22" i="1"/>
  <c r="C37" i="3"/>
  <c r="B27" i="3"/>
  <c r="B14" i="16" l="1"/>
  <c r="F17" i="1"/>
  <c r="C12" i="1"/>
  <c r="F12" i="1"/>
  <c r="AL12" i="1"/>
  <c r="AP12" i="1"/>
  <c r="AH12" i="1"/>
  <c r="Z12" i="1"/>
  <c r="AO12" i="1"/>
  <c r="AK12" i="1"/>
  <c r="AG12" i="1"/>
  <c r="Y12" i="1"/>
  <c r="M12" i="1"/>
  <c r="AN12" i="1"/>
  <c r="AJ12" i="1"/>
  <c r="AF12" i="1"/>
  <c r="X12" i="1"/>
  <c r="T12" i="1"/>
  <c r="L12" i="1"/>
  <c r="H12" i="1"/>
  <c r="N12" i="1"/>
  <c r="AQ12" i="1"/>
  <c r="AM12" i="1"/>
  <c r="AI12" i="1"/>
  <c r="AE12" i="1"/>
  <c r="S12" i="1"/>
  <c r="G12" i="1"/>
  <c r="L11" i="16" l="1"/>
  <c r="M11" i="16"/>
  <c r="N11" i="16"/>
  <c r="C62" i="1"/>
  <c r="O11" i="16"/>
  <c r="B57" i="1"/>
  <c r="B58" i="1"/>
  <c r="B56" i="1"/>
  <c r="B7" i="1"/>
  <c r="B8" i="1"/>
  <c r="B6" i="1"/>
  <c r="AQ5" i="1"/>
  <c r="AP5" i="1"/>
  <c r="AC12" i="1" s="1"/>
  <c r="AO5" i="1"/>
  <c r="AN5" i="1"/>
  <c r="AI5" i="1"/>
  <c r="AJ5" i="1"/>
  <c r="W12" i="1" s="1"/>
  <c r="I11" i="16" s="1"/>
  <c r="AH5" i="1"/>
  <c r="R12" i="1"/>
  <c r="Q12" i="1"/>
  <c r="K12" i="1"/>
  <c r="E11" i="16" s="1"/>
  <c r="Q5" i="1"/>
  <c r="R5" i="1"/>
  <c r="E12" i="1" s="1"/>
  <c r="C11" i="16" s="1"/>
  <c r="G11" i="16" l="1"/>
  <c r="E90" i="8"/>
  <c r="B17" i="1"/>
  <c r="P7" i="1"/>
  <c r="F6" i="16" s="1"/>
  <c r="S7" i="1"/>
  <c r="AD12" i="1"/>
  <c r="K11" i="16" s="1"/>
  <c r="AQ42" i="1"/>
  <c r="I12" i="1"/>
  <c r="J12" i="1"/>
  <c r="B21" i="1"/>
  <c r="AA12" i="1"/>
  <c r="B19" i="1"/>
  <c r="O12" i="1"/>
  <c r="AB12" i="1"/>
  <c r="D12" i="1"/>
  <c r="B11" i="16" s="1"/>
  <c r="B20" i="1"/>
  <c r="U12" i="1"/>
  <c r="P12" i="1"/>
  <c r="V12" i="1"/>
  <c r="T56" i="1"/>
  <c r="U56" i="1"/>
  <c r="Y56" i="1"/>
  <c r="Z56" i="1"/>
  <c r="AA56" i="1"/>
  <c r="AF56" i="1"/>
  <c r="AG56" i="1"/>
  <c r="AK56" i="1"/>
  <c r="AL56" i="1"/>
  <c r="AM56" i="1"/>
  <c r="T57" i="1"/>
  <c r="U57" i="1"/>
  <c r="Y57" i="1"/>
  <c r="Z57" i="1"/>
  <c r="AA57" i="1"/>
  <c r="AF57" i="1"/>
  <c r="AG57" i="1"/>
  <c r="AK57" i="1"/>
  <c r="AL57" i="1"/>
  <c r="AM57" i="1"/>
  <c r="T58" i="1"/>
  <c r="U58" i="1"/>
  <c r="Y58" i="1"/>
  <c r="Z58" i="1"/>
  <c r="AA58" i="1"/>
  <c r="AF58" i="1"/>
  <c r="AG58" i="1"/>
  <c r="AK58" i="1"/>
  <c r="AL58" i="1"/>
  <c r="AM58" i="1"/>
  <c r="C56" i="1"/>
  <c r="D56" i="1"/>
  <c r="E56" i="1"/>
  <c r="F56" i="1"/>
  <c r="G56" i="1"/>
  <c r="H56" i="1"/>
  <c r="I56" i="1"/>
  <c r="J56" i="1"/>
  <c r="K56" i="1"/>
  <c r="L56" i="1"/>
  <c r="M56" i="1"/>
  <c r="N56" i="1"/>
  <c r="O56" i="1"/>
  <c r="C57" i="1"/>
  <c r="D57" i="1"/>
  <c r="E57" i="1"/>
  <c r="F57" i="1"/>
  <c r="G57" i="1"/>
  <c r="H57" i="1"/>
  <c r="I57" i="1"/>
  <c r="J57" i="1"/>
  <c r="K57" i="1"/>
  <c r="L57" i="1"/>
  <c r="M57" i="1"/>
  <c r="N57" i="1"/>
  <c r="O57" i="1"/>
  <c r="C58" i="1"/>
  <c r="D58" i="1"/>
  <c r="E58" i="1"/>
  <c r="F58" i="1"/>
  <c r="G58" i="1"/>
  <c r="H58" i="1"/>
  <c r="I58" i="1"/>
  <c r="J58" i="1"/>
  <c r="K58" i="1"/>
  <c r="L58" i="1"/>
  <c r="M58" i="1"/>
  <c r="N58" i="1"/>
  <c r="O58" i="1"/>
  <c r="F49" i="2"/>
  <c r="E49" i="2"/>
  <c r="C49" i="2"/>
  <c r="B49" i="2"/>
  <c r="D41" i="2"/>
  <c r="D33" i="2"/>
  <c r="D27" i="2"/>
  <c r="G22" i="2"/>
  <c r="H22" i="2"/>
  <c r="D21" i="2"/>
  <c r="B22" i="2"/>
  <c r="C22" i="2"/>
  <c r="E22" i="2"/>
  <c r="F22" i="2"/>
  <c r="J22" i="2"/>
  <c r="K22" i="2"/>
  <c r="L22" i="2"/>
  <c r="M22" i="2"/>
  <c r="O22" i="2"/>
  <c r="P22" i="2"/>
  <c r="Q22" i="2"/>
  <c r="R22" i="2"/>
  <c r="J14" i="2"/>
  <c r="K14" i="2"/>
  <c r="L14" i="2"/>
  <c r="M14" i="2"/>
  <c r="O14" i="2"/>
  <c r="P14" i="2"/>
  <c r="Q14" i="2"/>
  <c r="R14" i="2"/>
  <c r="B15" i="2"/>
  <c r="C15" i="2"/>
  <c r="L15" i="2"/>
  <c r="M15" i="2"/>
  <c r="O15" i="2"/>
  <c r="P15" i="2"/>
  <c r="Q15" i="2"/>
  <c r="R15" i="2"/>
  <c r="B16" i="2"/>
  <c r="C16" i="2"/>
  <c r="E16" i="2"/>
  <c r="F16" i="2"/>
  <c r="O16" i="2"/>
  <c r="P16" i="2"/>
  <c r="Q16" i="2"/>
  <c r="R16" i="2"/>
  <c r="B17" i="2"/>
  <c r="C17" i="2"/>
  <c r="E17" i="2"/>
  <c r="F17" i="2"/>
  <c r="G17" i="2"/>
  <c r="H17" i="2"/>
  <c r="Q17" i="2"/>
  <c r="R17" i="2"/>
  <c r="B18" i="2"/>
  <c r="C18" i="2"/>
  <c r="E18" i="2"/>
  <c r="F18" i="2"/>
  <c r="G18" i="2"/>
  <c r="H18" i="2"/>
  <c r="J18" i="2"/>
  <c r="K18" i="2"/>
  <c r="B6" i="2"/>
  <c r="C6" i="2"/>
  <c r="E6" i="2"/>
  <c r="F6" i="2"/>
  <c r="B7" i="2"/>
  <c r="C7" i="2"/>
  <c r="E7" i="2"/>
  <c r="F7" i="2"/>
  <c r="F5" i="2"/>
  <c r="E5" i="2"/>
  <c r="C5" i="2"/>
  <c r="B5" i="2"/>
  <c r="C34" i="1"/>
  <c r="Z62" i="1"/>
  <c r="AL62" i="1"/>
  <c r="B51" i="16" l="1"/>
  <c r="D11" i="16"/>
  <c r="D50" i="16"/>
  <c r="D52" i="16"/>
  <c r="E52" i="16"/>
  <c r="B52" i="16"/>
  <c r="D51" i="16"/>
  <c r="C50" i="16"/>
  <c r="F11" i="16"/>
  <c r="C51" i="16"/>
  <c r="E50" i="16"/>
  <c r="J11" i="16"/>
  <c r="B50" i="16"/>
  <c r="C52" i="16"/>
  <c r="E51" i="16"/>
  <c r="H11" i="16"/>
  <c r="O55" i="1"/>
  <c r="E52" i="2"/>
  <c r="F51" i="2"/>
  <c r="AP62" i="1"/>
  <c r="AG62" i="1"/>
  <c r="AN62" i="1"/>
  <c r="AJ62" i="1"/>
  <c r="AF62" i="1"/>
  <c r="X62" i="1"/>
  <c r="M62" i="1"/>
  <c r="Q11" i="2"/>
  <c r="F62" i="1"/>
  <c r="B52" i="2"/>
  <c r="AO62" i="1"/>
  <c r="G62" i="1"/>
  <c r="R11" i="2"/>
  <c r="AQ62" i="1"/>
  <c r="AI62" i="1"/>
  <c r="L62" i="1"/>
  <c r="E62" i="1"/>
  <c r="P11" i="2"/>
  <c r="AH62" i="1"/>
  <c r="AK62" i="1"/>
  <c r="Y62" i="1"/>
  <c r="C11" i="2"/>
  <c r="B50" i="2"/>
  <c r="AM62" i="1"/>
  <c r="AE62" i="1"/>
  <c r="T62" i="1"/>
  <c r="S62" i="1"/>
  <c r="H62" i="1"/>
  <c r="D62" i="1"/>
  <c r="O11" i="2"/>
  <c r="N62" i="1"/>
  <c r="E51" i="2"/>
  <c r="F52" i="2"/>
  <c r="C51" i="2"/>
  <c r="B51" i="2"/>
  <c r="E50" i="2"/>
  <c r="C52" i="2"/>
  <c r="F50" i="2"/>
  <c r="C50" i="2"/>
  <c r="F4" i="2"/>
  <c r="C4" i="2"/>
  <c r="D49" i="2"/>
  <c r="B49" i="17" s="1"/>
  <c r="D7" i="2"/>
  <c r="B7" i="17" s="1"/>
  <c r="I22" i="2"/>
  <c r="C22" i="17" s="1"/>
  <c r="S16" i="2"/>
  <c r="E16" i="17" s="1"/>
  <c r="D16" i="2"/>
  <c r="B16" i="17" s="1"/>
  <c r="S14" i="2"/>
  <c r="E14" i="17" s="1"/>
  <c r="S22" i="2"/>
  <c r="E22" i="17" s="1"/>
  <c r="D17" i="2"/>
  <c r="B17" i="17" s="1"/>
  <c r="B4" i="2"/>
  <c r="E4" i="2"/>
  <c r="D5" i="2"/>
  <c r="B5" i="17" s="1"/>
  <c r="I17" i="2"/>
  <c r="C17" i="17" s="1"/>
  <c r="N22" i="2"/>
  <c r="D22" i="17" s="1"/>
  <c r="D22" i="2"/>
  <c r="B22" i="17" s="1"/>
  <c r="D6" i="2"/>
  <c r="B6" i="17" s="1"/>
  <c r="D18" i="2"/>
  <c r="B18" i="17" s="1"/>
  <c r="S15" i="2"/>
  <c r="E15" i="17" s="1"/>
  <c r="I18" i="2"/>
  <c r="C18" i="17" s="1"/>
  <c r="D15" i="2"/>
  <c r="B15" i="17" s="1"/>
  <c r="N14" i="2"/>
  <c r="D14" i="17" s="1"/>
  <c r="D54" i="8"/>
  <c r="E1" i="8"/>
  <c r="E53" i="8" s="1"/>
  <c r="O95" i="1" l="1"/>
  <c r="Z147" i="1"/>
  <c r="AH147" i="1"/>
  <c r="AP147" i="1"/>
  <c r="O147" i="1"/>
  <c r="W147" i="1"/>
  <c r="S147" i="1"/>
  <c r="AA147" i="1"/>
  <c r="AI147" i="1"/>
  <c r="AQ147" i="1"/>
  <c r="H147" i="1"/>
  <c r="P147" i="1"/>
  <c r="AE147" i="1"/>
  <c r="AM147" i="1"/>
  <c r="T147" i="1"/>
  <c r="AB147" i="1"/>
  <c r="AJ147" i="1"/>
  <c r="I147" i="1"/>
  <c r="Q147" i="1"/>
  <c r="L147" i="1"/>
  <c r="X147" i="1"/>
  <c r="U147" i="1"/>
  <c r="AC147" i="1"/>
  <c r="AK147" i="1"/>
  <c r="J147" i="1"/>
  <c r="R147" i="1"/>
  <c r="AF147" i="1"/>
  <c r="V147" i="1"/>
  <c r="AD147" i="1"/>
  <c r="AL147" i="1"/>
  <c r="K147" i="1"/>
  <c r="AN147" i="1"/>
  <c r="M147" i="1"/>
  <c r="N147" i="1"/>
  <c r="Y147" i="1"/>
  <c r="AG147" i="1"/>
  <c r="AO147" i="1"/>
  <c r="E95" i="8"/>
  <c r="D147" i="1"/>
  <c r="C147" i="1"/>
  <c r="E147" i="1"/>
  <c r="F147" i="1"/>
  <c r="G147" i="1"/>
  <c r="D51" i="2"/>
  <c r="B51" i="17" s="1"/>
  <c r="D4" i="2"/>
  <c r="B4" i="17" s="1"/>
  <c r="S11" i="2"/>
  <c r="E11" i="17" s="1"/>
  <c r="D50" i="2"/>
  <c r="B50" i="17" s="1"/>
  <c r="D52" i="2"/>
  <c r="B52" i="17" s="1"/>
  <c r="E52" i="8"/>
  <c r="E54" i="8"/>
  <c r="D93" i="2"/>
  <c r="B93" i="17" s="1"/>
  <c r="B88" i="2"/>
  <c r="C88" i="2"/>
  <c r="E88" i="2"/>
  <c r="F88" i="2"/>
  <c r="G88" i="2"/>
  <c r="H88" i="2"/>
  <c r="J88" i="2"/>
  <c r="K88" i="2"/>
  <c r="L88" i="2"/>
  <c r="M88" i="2"/>
  <c r="O88" i="2"/>
  <c r="P88" i="2"/>
  <c r="Q88" i="2"/>
  <c r="R88" i="2"/>
  <c r="B90" i="2"/>
  <c r="C90" i="2"/>
  <c r="E90" i="2"/>
  <c r="F90" i="2"/>
  <c r="G90" i="2"/>
  <c r="H90" i="2"/>
  <c r="J90" i="2"/>
  <c r="K90" i="2"/>
  <c r="L90" i="2"/>
  <c r="M90" i="2"/>
  <c r="O90" i="2"/>
  <c r="P90" i="2"/>
  <c r="Q90" i="2"/>
  <c r="R90" i="2"/>
  <c r="B91" i="2"/>
  <c r="C91" i="2"/>
  <c r="E91" i="2"/>
  <c r="F91" i="2"/>
  <c r="G91" i="2"/>
  <c r="H91" i="2"/>
  <c r="J91" i="2"/>
  <c r="K91" i="2"/>
  <c r="L91" i="2"/>
  <c r="M91" i="2"/>
  <c r="O91" i="2"/>
  <c r="P91" i="2"/>
  <c r="Q91" i="2"/>
  <c r="R91" i="2"/>
  <c r="P158" i="1"/>
  <c r="F89" i="16" s="1"/>
  <c r="Q158" i="1"/>
  <c r="R158" i="1"/>
  <c r="S158" i="1"/>
  <c r="T158" i="1"/>
  <c r="U158" i="1"/>
  <c r="V158" i="1"/>
  <c r="W158" i="1"/>
  <c r="X158" i="1"/>
  <c r="Y158" i="1"/>
  <c r="Z158" i="1"/>
  <c r="AA158" i="1"/>
  <c r="AB158" i="1"/>
  <c r="AC158" i="1"/>
  <c r="AD158" i="1"/>
  <c r="AE158" i="1"/>
  <c r="AF158" i="1"/>
  <c r="AG158" i="1"/>
  <c r="AH158" i="1"/>
  <c r="AI158" i="1"/>
  <c r="AJ158" i="1"/>
  <c r="AK158" i="1"/>
  <c r="AL158" i="1"/>
  <c r="AM158" i="1"/>
  <c r="AN158" i="1"/>
  <c r="AO158" i="1"/>
  <c r="AP158" i="1"/>
  <c r="AQ158" i="1"/>
  <c r="B89" i="16"/>
  <c r="N89" i="16" l="1"/>
  <c r="M89" i="16"/>
  <c r="O89" i="16"/>
  <c r="G89" i="16"/>
  <c r="L89" i="16"/>
  <c r="I89" i="16"/>
  <c r="K89" i="16"/>
  <c r="J89" i="16"/>
  <c r="H89" i="16"/>
  <c r="X149" i="1"/>
  <c r="AF149" i="1"/>
  <c r="AN149" i="1"/>
  <c r="I149" i="1"/>
  <c r="Q149" i="1"/>
  <c r="AK149" i="1"/>
  <c r="V149" i="1"/>
  <c r="Y149" i="1"/>
  <c r="AG149" i="1"/>
  <c r="AO149" i="1"/>
  <c r="J149" i="1"/>
  <c r="R149" i="1"/>
  <c r="U149" i="1"/>
  <c r="N149" i="1"/>
  <c r="Z149" i="1"/>
  <c r="AH149" i="1"/>
  <c r="AP149" i="1"/>
  <c r="K149" i="1"/>
  <c r="AC149" i="1"/>
  <c r="O149" i="1"/>
  <c r="S149" i="1"/>
  <c r="AA149" i="1"/>
  <c r="AI149" i="1"/>
  <c r="AQ149" i="1"/>
  <c r="L149" i="1"/>
  <c r="AD149" i="1"/>
  <c r="H149" i="1"/>
  <c r="T149" i="1"/>
  <c r="AB149" i="1"/>
  <c r="AJ149" i="1"/>
  <c r="M149" i="1"/>
  <c r="AL149" i="1"/>
  <c r="AM149" i="1"/>
  <c r="P149" i="1"/>
  <c r="W149" i="1"/>
  <c r="AE149" i="1"/>
  <c r="Y148" i="1"/>
  <c r="AG148" i="1"/>
  <c r="AO148" i="1"/>
  <c r="L148" i="1"/>
  <c r="AD148" i="1"/>
  <c r="I148" i="1"/>
  <c r="W148" i="1"/>
  <c r="W145" i="1" s="1"/>
  <c r="R148" i="1"/>
  <c r="R145" i="1" s="1"/>
  <c r="K148" i="1"/>
  <c r="Z148" i="1"/>
  <c r="AH148" i="1"/>
  <c r="AP148" i="1"/>
  <c r="AP145" i="1" s="1"/>
  <c r="M148" i="1"/>
  <c r="S148" i="1"/>
  <c r="AA148" i="1"/>
  <c r="AI148" i="1"/>
  <c r="AQ148" i="1"/>
  <c r="N148" i="1"/>
  <c r="N145" i="1" s="1"/>
  <c r="T148" i="1"/>
  <c r="AB148" i="1"/>
  <c r="AJ148" i="1"/>
  <c r="O148" i="1"/>
  <c r="V148" i="1"/>
  <c r="Q148" i="1"/>
  <c r="AE148" i="1"/>
  <c r="J148" i="1"/>
  <c r="U148" i="1"/>
  <c r="AC148" i="1"/>
  <c r="AC145" i="1" s="1"/>
  <c r="AK148" i="1"/>
  <c r="H148" i="1"/>
  <c r="P148" i="1"/>
  <c r="AL148" i="1"/>
  <c r="AM148" i="1"/>
  <c r="X148" i="1"/>
  <c r="AF148" i="1"/>
  <c r="AN148" i="1"/>
  <c r="AN145" i="1" s="1"/>
  <c r="E97" i="8"/>
  <c r="D149" i="1"/>
  <c r="E149" i="1"/>
  <c r="C149" i="1"/>
  <c r="F149" i="1"/>
  <c r="G149" i="1"/>
  <c r="E96" i="8"/>
  <c r="D148" i="1"/>
  <c r="D145" i="1" s="1"/>
  <c r="F148" i="1"/>
  <c r="G148" i="1"/>
  <c r="E148" i="1"/>
  <c r="E50" i="1" s="1"/>
  <c r="C148" i="1"/>
  <c r="C50" i="1" s="1"/>
  <c r="F156" i="1"/>
  <c r="V156" i="1"/>
  <c r="AD156" i="1"/>
  <c r="G156" i="1"/>
  <c r="AM156" i="1"/>
  <c r="O156" i="1"/>
  <c r="AE156" i="1"/>
  <c r="P156" i="1"/>
  <c r="X156" i="1"/>
  <c r="AN156" i="1"/>
  <c r="I156" i="1"/>
  <c r="Y156" i="1"/>
  <c r="AG156" i="1"/>
  <c r="AP156" i="1"/>
  <c r="AA156" i="1"/>
  <c r="AQ156" i="1"/>
  <c r="U156" i="1"/>
  <c r="J156" i="1"/>
  <c r="R156" i="1"/>
  <c r="AH156" i="1"/>
  <c r="AK156" i="1"/>
  <c r="C156" i="1"/>
  <c r="S156" i="1"/>
  <c r="D156" i="1"/>
  <c r="L156" i="1"/>
  <c r="AB156" i="1"/>
  <c r="AJ156" i="1"/>
  <c r="M156" i="1"/>
  <c r="E165" i="1"/>
  <c r="F165" i="1" s="1"/>
  <c r="G165" i="1" s="1"/>
  <c r="H165" i="1" s="1"/>
  <c r="I165" i="1" s="1"/>
  <c r="J165" i="1" s="1"/>
  <c r="K165" i="1" s="1"/>
  <c r="L165" i="1" s="1"/>
  <c r="M165" i="1" s="1"/>
  <c r="N165" i="1" s="1"/>
  <c r="O165" i="1" s="1"/>
  <c r="P165" i="1" s="1"/>
  <c r="Q165" i="1" s="1"/>
  <c r="R165" i="1" s="1"/>
  <c r="S165" i="1" s="1"/>
  <c r="T165" i="1" s="1"/>
  <c r="U165" i="1" s="1"/>
  <c r="V165" i="1" s="1"/>
  <c r="W165" i="1" s="1"/>
  <c r="X165" i="1" s="1"/>
  <c r="Y165" i="1" s="1"/>
  <c r="Z165" i="1" s="1"/>
  <c r="AA165" i="1" s="1"/>
  <c r="AB165" i="1" s="1"/>
  <c r="AC165" i="1" s="1"/>
  <c r="AD165" i="1" s="1"/>
  <c r="AE165" i="1" s="1"/>
  <c r="AF165" i="1" s="1"/>
  <c r="AG165" i="1" s="1"/>
  <c r="AH165" i="1" s="1"/>
  <c r="AI165" i="1" s="1"/>
  <c r="AJ165" i="1" s="1"/>
  <c r="AK165" i="1" s="1"/>
  <c r="AL165" i="1" s="1"/>
  <c r="AM165" i="1" s="1"/>
  <c r="AN165" i="1" s="1"/>
  <c r="AO165" i="1" s="1"/>
  <c r="AP165" i="1" s="1"/>
  <c r="AQ165" i="1" s="1"/>
  <c r="P89" i="2"/>
  <c r="G89" i="2"/>
  <c r="F89" i="2"/>
  <c r="B89" i="2"/>
  <c r="J89" i="2"/>
  <c r="L89" i="2"/>
  <c r="R89" i="2"/>
  <c r="H89" i="2"/>
  <c r="E89" i="2"/>
  <c r="O89" i="2"/>
  <c r="S88" i="2"/>
  <c r="E88" i="17" s="1"/>
  <c r="Q89" i="2"/>
  <c r="C89" i="2"/>
  <c r="M89" i="2"/>
  <c r="K89" i="2"/>
  <c r="N91" i="2"/>
  <c r="D91" i="17" s="1"/>
  <c r="D91" i="2"/>
  <c r="B91" i="17" s="1"/>
  <c r="D88" i="2"/>
  <c r="B88" i="17" s="1"/>
  <c r="S90" i="2"/>
  <c r="E90" i="17" s="1"/>
  <c r="I90" i="2"/>
  <c r="C90" i="17" s="1"/>
  <c r="D90" i="2"/>
  <c r="B90" i="17" s="1"/>
  <c r="N88" i="2"/>
  <c r="D88" i="17" s="1"/>
  <c r="I91" i="2"/>
  <c r="C91" i="17" s="1"/>
  <c r="N90" i="2"/>
  <c r="D90" i="17" s="1"/>
  <c r="I88" i="2"/>
  <c r="C88" i="17" s="1"/>
  <c r="S91" i="2"/>
  <c r="E91" i="17" s="1"/>
  <c r="C95" i="1"/>
  <c r="D95" i="1"/>
  <c r="E95" i="1"/>
  <c r="F95" i="1"/>
  <c r="G95" i="1"/>
  <c r="H95" i="1"/>
  <c r="I95" i="1"/>
  <c r="J95" i="1"/>
  <c r="K95" i="1"/>
  <c r="L95" i="1"/>
  <c r="M95" i="1"/>
  <c r="N95" i="1"/>
  <c r="T95" i="1"/>
  <c r="U95" i="1"/>
  <c r="Y95" i="1"/>
  <c r="Z95" i="1"/>
  <c r="AA95" i="1"/>
  <c r="AF95" i="1"/>
  <c r="AG95" i="1"/>
  <c r="AK95" i="1"/>
  <c r="AL95" i="1"/>
  <c r="AM95" i="1"/>
  <c r="D34" i="1"/>
  <c r="B28" i="16" s="1"/>
  <c r="E34" i="1"/>
  <c r="F34" i="1"/>
  <c r="G34" i="1"/>
  <c r="H34" i="1"/>
  <c r="I34" i="1"/>
  <c r="J34" i="1"/>
  <c r="K34" i="1"/>
  <c r="L34" i="1"/>
  <c r="M34" i="1"/>
  <c r="N34" i="1"/>
  <c r="P34" i="1"/>
  <c r="Q34" i="1"/>
  <c r="R34" i="1"/>
  <c r="S34" i="1"/>
  <c r="T34" i="1"/>
  <c r="U34" i="1"/>
  <c r="V34" i="1"/>
  <c r="W34" i="1"/>
  <c r="X34" i="1"/>
  <c r="Y34" i="1"/>
  <c r="Z34" i="1"/>
  <c r="AA34" i="1"/>
  <c r="AB34" i="1"/>
  <c r="AC34" i="1"/>
  <c r="AD34" i="1"/>
  <c r="AE34" i="1"/>
  <c r="AF34" i="1"/>
  <c r="AG34" i="1"/>
  <c r="AH34" i="1"/>
  <c r="AI34" i="1"/>
  <c r="AJ34" i="1"/>
  <c r="AK34" i="1"/>
  <c r="AL34" i="1"/>
  <c r="AM34" i="1"/>
  <c r="AN34" i="1"/>
  <c r="AO34" i="1"/>
  <c r="AP34" i="1"/>
  <c r="AQ34" i="1"/>
  <c r="D42" i="1"/>
  <c r="E42" i="1"/>
  <c r="F42" i="1"/>
  <c r="G42" i="1"/>
  <c r="H42" i="1"/>
  <c r="I42" i="1"/>
  <c r="J42" i="1"/>
  <c r="K42" i="1"/>
  <c r="L42" i="1"/>
  <c r="M42" i="1"/>
  <c r="N42" i="1"/>
  <c r="O42" i="1"/>
  <c r="Q42" i="1"/>
  <c r="R42" i="1"/>
  <c r="S42" i="1"/>
  <c r="T42" i="1"/>
  <c r="U42" i="1"/>
  <c r="Y42" i="1"/>
  <c r="Z42" i="1"/>
  <c r="AA42" i="1"/>
  <c r="AF42" i="1"/>
  <c r="AG42" i="1"/>
  <c r="AK42" i="1"/>
  <c r="AL42" i="1"/>
  <c r="AM42" i="1"/>
  <c r="C42" i="1"/>
  <c r="C14" i="1"/>
  <c r="D14" i="1"/>
  <c r="E14" i="1"/>
  <c r="F14" i="1"/>
  <c r="G14" i="1"/>
  <c r="H14" i="1"/>
  <c r="I14" i="1"/>
  <c r="J14" i="1"/>
  <c r="K14" i="1"/>
  <c r="L14" i="1"/>
  <c r="M14" i="1"/>
  <c r="N14" i="1"/>
  <c r="O14" i="1"/>
  <c r="P14" i="1"/>
  <c r="Q14" i="1"/>
  <c r="R14" i="1"/>
  <c r="S14" i="1"/>
  <c r="T14" i="1"/>
  <c r="U14" i="1"/>
  <c r="V14" i="1"/>
  <c r="W14" i="1"/>
  <c r="X14" i="1"/>
  <c r="Y14" i="1"/>
  <c r="Z14" i="1"/>
  <c r="AA14" i="1"/>
  <c r="AB14" i="1"/>
  <c r="AC14" i="1"/>
  <c r="AD14" i="1"/>
  <c r="AE14" i="1"/>
  <c r="AF14" i="1"/>
  <c r="AG14" i="1"/>
  <c r="AH14" i="1"/>
  <c r="AI14" i="1"/>
  <c r="AJ14" i="1"/>
  <c r="AK14" i="1"/>
  <c r="AL14" i="1"/>
  <c r="AM14" i="1"/>
  <c r="AN14" i="1"/>
  <c r="AO14" i="1"/>
  <c r="AP14" i="1"/>
  <c r="AQ14" i="1"/>
  <c r="T32" i="6"/>
  <c r="T33" i="6"/>
  <c r="T34" i="6"/>
  <c r="T35" i="6"/>
  <c r="T36" i="6"/>
  <c r="T37" i="6"/>
  <c r="T38" i="6"/>
  <c r="T39" i="6"/>
  <c r="T40" i="6"/>
  <c r="T41" i="6"/>
  <c r="T42" i="6"/>
  <c r="T43" i="6"/>
  <c r="T44" i="6"/>
  <c r="T45" i="6"/>
  <c r="T46" i="6"/>
  <c r="T47" i="6"/>
  <c r="T48" i="6"/>
  <c r="T49" i="6"/>
  <c r="T50" i="6"/>
  <c r="T51" i="6"/>
  <c r="T52" i="6"/>
  <c r="T53" i="6"/>
  <c r="P70" i="6" s="1"/>
  <c r="T54" i="6"/>
  <c r="R32" i="6"/>
  <c r="N63" i="6" s="1"/>
  <c r="R33" i="6"/>
  <c r="R34" i="6"/>
  <c r="R35" i="6"/>
  <c r="R36" i="6"/>
  <c r="R37" i="6"/>
  <c r="R38" i="6"/>
  <c r="R39" i="6"/>
  <c r="R40" i="6"/>
  <c r="R41" i="6"/>
  <c r="R42" i="6"/>
  <c r="R43" i="6"/>
  <c r="R44" i="6"/>
  <c r="R45" i="6"/>
  <c r="R46" i="6"/>
  <c r="R47" i="6"/>
  <c r="R48" i="6"/>
  <c r="R49" i="6"/>
  <c r="R50" i="6"/>
  <c r="R51" i="6"/>
  <c r="R52" i="6"/>
  <c r="R53" i="6"/>
  <c r="R54" i="6"/>
  <c r="S33" i="6"/>
  <c r="S34" i="6"/>
  <c r="S35" i="6"/>
  <c r="S36" i="6"/>
  <c r="S37" i="6"/>
  <c r="S38" i="6"/>
  <c r="S39" i="6"/>
  <c r="S40" i="6"/>
  <c r="S41" i="6"/>
  <c r="S42" i="6"/>
  <c r="S43" i="6"/>
  <c r="S44" i="6"/>
  <c r="S45" i="6"/>
  <c r="S46" i="6"/>
  <c r="S47" i="6"/>
  <c r="S48" i="6"/>
  <c r="S49" i="6"/>
  <c r="S50" i="6"/>
  <c r="O69" i="6" s="1"/>
  <c r="S51" i="6"/>
  <c r="S52" i="6"/>
  <c r="S53" i="6"/>
  <c r="S54" i="6"/>
  <c r="S32" i="6"/>
  <c r="B63" i="16" l="1"/>
  <c r="B36" i="16"/>
  <c r="C36" i="16"/>
  <c r="AQ50" i="1"/>
  <c r="G36" i="16"/>
  <c r="D36" i="16"/>
  <c r="L28" i="16"/>
  <c r="C63" i="16"/>
  <c r="X145" i="1"/>
  <c r="AM145" i="1"/>
  <c r="H28" i="16"/>
  <c r="E28" i="16"/>
  <c r="H145" i="1"/>
  <c r="E63" i="16"/>
  <c r="E36" i="16"/>
  <c r="D63" i="16"/>
  <c r="J28" i="16"/>
  <c r="I28" i="16"/>
  <c r="F28" i="16"/>
  <c r="N28" i="16"/>
  <c r="C28" i="16"/>
  <c r="K28" i="16"/>
  <c r="M28" i="16"/>
  <c r="O28" i="16"/>
  <c r="G28" i="16"/>
  <c r="D28" i="16"/>
  <c r="T145" i="1"/>
  <c r="AF50" i="1"/>
  <c r="AO145" i="1"/>
  <c r="K145" i="1"/>
  <c r="P145" i="1"/>
  <c r="AD145" i="1"/>
  <c r="AE145" i="1"/>
  <c r="AA145" i="1"/>
  <c r="AK145" i="1"/>
  <c r="AJ145" i="1"/>
  <c r="AH145" i="1"/>
  <c r="Z145" i="1"/>
  <c r="AQ145" i="1"/>
  <c r="AL145" i="1"/>
  <c r="L145" i="1"/>
  <c r="J145" i="1"/>
  <c r="AG145" i="1"/>
  <c r="Y145" i="1"/>
  <c r="V145" i="1"/>
  <c r="G145" i="1"/>
  <c r="O145" i="1"/>
  <c r="I145" i="1"/>
  <c r="M145" i="1"/>
  <c r="Q145" i="1"/>
  <c r="AI145" i="1"/>
  <c r="AF145" i="1"/>
  <c r="S145" i="1"/>
  <c r="F145" i="1"/>
  <c r="AB145" i="1"/>
  <c r="U145" i="1"/>
  <c r="Z50" i="1"/>
  <c r="E145" i="1"/>
  <c r="L50" i="1"/>
  <c r="C145" i="1"/>
  <c r="U50" i="1"/>
  <c r="T50" i="1"/>
  <c r="I50" i="1"/>
  <c r="H100" i="1"/>
  <c r="AJ50" i="1"/>
  <c r="Q50" i="1"/>
  <c r="S50" i="1"/>
  <c r="AO50" i="1"/>
  <c r="K50" i="1"/>
  <c r="P50" i="1"/>
  <c r="AH50" i="1"/>
  <c r="T100" i="1"/>
  <c r="AQ100" i="1"/>
  <c r="AF100" i="1"/>
  <c r="M50" i="1"/>
  <c r="X50" i="1"/>
  <c r="AE50" i="1"/>
  <c r="Y50" i="1"/>
  <c r="AA50" i="1"/>
  <c r="AK50" i="1"/>
  <c r="AL50" i="1"/>
  <c r="R50" i="1"/>
  <c r="W50" i="1"/>
  <c r="H50" i="1"/>
  <c r="AC50" i="1"/>
  <c r="AN50" i="1"/>
  <c r="J50" i="1"/>
  <c r="N50" i="1"/>
  <c r="AG50" i="1"/>
  <c r="AM50" i="1"/>
  <c r="AI50" i="1"/>
  <c r="V50" i="1"/>
  <c r="B28" i="2"/>
  <c r="E92" i="8"/>
  <c r="AB50" i="1"/>
  <c r="G50" i="1"/>
  <c r="AP50" i="1"/>
  <c r="AD50" i="1"/>
  <c r="O50" i="1"/>
  <c r="F50" i="1"/>
  <c r="D50" i="1"/>
  <c r="B44" i="16" s="1"/>
  <c r="O68" i="6"/>
  <c r="N70" i="6"/>
  <c r="P69" i="6"/>
  <c r="O63" i="6"/>
  <c r="N66" i="6"/>
  <c r="P63" i="6"/>
  <c r="J18" i="1"/>
  <c r="M17" i="1"/>
  <c r="L18" i="1"/>
  <c r="H18" i="1"/>
  <c r="G17" i="1"/>
  <c r="C14" i="16" s="1"/>
  <c r="P68" i="6"/>
  <c r="O66" i="6"/>
  <c r="M18" i="1"/>
  <c r="AF156" i="1"/>
  <c r="W156" i="1"/>
  <c r="AL156" i="1"/>
  <c r="Z156" i="1"/>
  <c r="AO156" i="1"/>
  <c r="AC156" i="1"/>
  <c r="H156" i="1"/>
  <c r="E156" i="1"/>
  <c r="AI156" i="1"/>
  <c r="N156" i="1"/>
  <c r="T156" i="1"/>
  <c r="B87" i="16"/>
  <c r="Q156" i="1"/>
  <c r="K156" i="1"/>
  <c r="N65" i="6"/>
  <c r="P67" i="6"/>
  <c r="B36" i="2"/>
  <c r="O65" i="6"/>
  <c r="O70" i="6"/>
  <c r="O59" i="6" s="1"/>
  <c r="N64" i="6"/>
  <c r="F36" i="2"/>
  <c r="P64" i="6"/>
  <c r="O67" i="6"/>
  <c r="N69" i="6"/>
  <c r="P66" i="6"/>
  <c r="O64" i="6"/>
  <c r="H36" i="2"/>
  <c r="C36" i="2"/>
  <c r="E36" i="2"/>
  <c r="N67" i="6"/>
  <c r="N68" i="6"/>
  <c r="P65" i="6"/>
  <c r="P28" i="2"/>
  <c r="K28" i="2"/>
  <c r="Q28" i="2"/>
  <c r="L28" i="2"/>
  <c r="R28" i="2"/>
  <c r="M28" i="2"/>
  <c r="H28" i="2"/>
  <c r="F28" i="2"/>
  <c r="C28" i="2"/>
  <c r="O28" i="2"/>
  <c r="J28" i="2"/>
  <c r="G28" i="2"/>
  <c r="E28" i="2"/>
  <c r="AQ84" i="1"/>
  <c r="AE84" i="1"/>
  <c r="S84" i="1"/>
  <c r="G84" i="1"/>
  <c r="AP84" i="1"/>
  <c r="AL84" i="1"/>
  <c r="AH84" i="1"/>
  <c r="AD84" i="1"/>
  <c r="Z84" i="1"/>
  <c r="V84" i="1"/>
  <c r="R84" i="1"/>
  <c r="N84" i="1"/>
  <c r="J84" i="1"/>
  <c r="F84" i="1"/>
  <c r="AI84" i="1"/>
  <c r="W84" i="1"/>
  <c r="K84" i="1"/>
  <c r="AO84" i="1"/>
  <c r="AK84" i="1"/>
  <c r="AG84" i="1"/>
  <c r="AC84" i="1"/>
  <c r="Y84" i="1"/>
  <c r="U84" i="1"/>
  <c r="Q84" i="1"/>
  <c r="M84" i="1"/>
  <c r="I84" i="1"/>
  <c r="E84" i="1"/>
  <c r="AM84" i="1"/>
  <c r="AA84" i="1"/>
  <c r="O84" i="1"/>
  <c r="C84" i="1"/>
  <c r="AN84" i="1"/>
  <c r="AJ84" i="1"/>
  <c r="AF84" i="1"/>
  <c r="AB84" i="1"/>
  <c r="X84" i="1"/>
  <c r="T84" i="1"/>
  <c r="P84" i="1"/>
  <c r="L84" i="1"/>
  <c r="H84" i="1"/>
  <c r="D84" i="1"/>
  <c r="D178" i="1"/>
  <c r="C132" i="1"/>
  <c r="C178" i="1"/>
  <c r="S89" i="2"/>
  <c r="E89" i="17" s="1"/>
  <c r="I89" i="2"/>
  <c r="C89" i="17" s="1"/>
  <c r="D89" i="2"/>
  <c r="B89" i="17" s="1"/>
  <c r="N89" i="2"/>
  <c r="D89" i="17" s="1"/>
  <c r="C63" i="2"/>
  <c r="E63" i="2"/>
  <c r="F63" i="2"/>
  <c r="B63" i="2"/>
  <c r="E178" i="1"/>
  <c r="D154" i="1"/>
  <c r="N62" i="6"/>
  <c r="N61" i="6"/>
  <c r="N59" i="6"/>
  <c r="N60" i="6"/>
  <c r="P61" i="6"/>
  <c r="P62" i="6"/>
  <c r="P60" i="6"/>
  <c r="P59" i="6"/>
  <c r="O61" i="6"/>
  <c r="O62" i="6"/>
  <c r="J15" i="3"/>
  <c r="I15" i="3"/>
  <c r="H15" i="3"/>
  <c r="G15" i="3"/>
  <c r="C66" i="1"/>
  <c r="D66" i="1"/>
  <c r="E66" i="1"/>
  <c r="F66" i="1"/>
  <c r="G66" i="1"/>
  <c r="H66" i="1"/>
  <c r="I66" i="1"/>
  <c r="J66" i="1"/>
  <c r="K66" i="1"/>
  <c r="L66" i="1"/>
  <c r="M66" i="1"/>
  <c r="N66" i="1"/>
  <c r="O66" i="1"/>
  <c r="T66" i="1"/>
  <c r="U66" i="1"/>
  <c r="Y66" i="1"/>
  <c r="Z66" i="1"/>
  <c r="AA66" i="1"/>
  <c r="AF66" i="1"/>
  <c r="AG66" i="1"/>
  <c r="AK66" i="1"/>
  <c r="AL66" i="1"/>
  <c r="AM66" i="1"/>
  <c r="I11" i="3"/>
  <c r="J11" i="3"/>
  <c r="H11" i="3"/>
  <c r="G11" i="3"/>
  <c r="J7" i="3"/>
  <c r="I7" i="3"/>
  <c r="H7" i="3"/>
  <c r="G7" i="3"/>
  <c r="Q6" i="1"/>
  <c r="R6" i="1"/>
  <c r="R56" i="1" s="1"/>
  <c r="S6" i="1"/>
  <c r="S56" i="1" s="1"/>
  <c r="Q7" i="1"/>
  <c r="R7" i="1"/>
  <c r="R57" i="1" s="1"/>
  <c r="S57" i="1"/>
  <c r="Q8" i="1"/>
  <c r="R8" i="1"/>
  <c r="R58" i="1" s="1"/>
  <c r="S8" i="1"/>
  <c r="S58" i="1" s="1"/>
  <c r="C44" i="16" l="1"/>
  <c r="F82" i="16"/>
  <c r="D82" i="16"/>
  <c r="D132" i="1"/>
  <c r="K82" i="2"/>
  <c r="G7" i="16"/>
  <c r="G6" i="16"/>
  <c r="O87" i="2"/>
  <c r="L87" i="16"/>
  <c r="C87" i="2"/>
  <c r="C87" i="16"/>
  <c r="E87" i="2"/>
  <c r="D87" i="16"/>
  <c r="F87" i="2"/>
  <c r="E87" i="16"/>
  <c r="M87" i="2"/>
  <c r="K87" i="16"/>
  <c r="H87" i="2"/>
  <c r="G87" i="16"/>
  <c r="R87" i="2"/>
  <c r="O87" i="16"/>
  <c r="K82" i="16"/>
  <c r="L87" i="2"/>
  <c r="J87" i="16"/>
  <c r="P87" i="2"/>
  <c r="M87" i="16"/>
  <c r="J87" i="2"/>
  <c r="H87" i="16"/>
  <c r="Q87" i="2"/>
  <c r="N87" i="16"/>
  <c r="G87" i="2"/>
  <c r="F87" i="16"/>
  <c r="K87" i="2"/>
  <c r="I87" i="16"/>
  <c r="M82" i="2"/>
  <c r="L82" i="16"/>
  <c r="O82" i="2"/>
  <c r="M44" i="16"/>
  <c r="P44" i="2"/>
  <c r="I44" i="16"/>
  <c r="K44" i="2"/>
  <c r="M82" i="16"/>
  <c r="P82" i="2"/>
  <c r="H82" i="16"/>
  <c r="J82" i="2"/>
  <c r="C44" i="2"/>
  <c r="B82" i="16"/>
  <c r="B82" i="2"/>
  <c r="L44" i="16"/>
  <c r="O44" i="2"/>
  <c r="G44" i="16"/>
  <c r="H44" i="2"/>
  <c r="C82" i="16"/>
  <c r="C82" i="2"/>
  <c r="G82" i="16"/>
  <c r="H82" i="2"/>
  <c r="G82" i="2"/>
  <c r="I82" i="16"/>
  <c r="N44" i="16"/>
  <c r="Q44" i="2"/>
  <c r="J44" i="16"/>
  <c r="L44" i="2"/>
  <c r="O44" i="16"/>
  <c r="R44" i="2"/>
  <c r="F44" i="16"/>
  <c r="G44" i="2"/>
  <c r="N82" i="16"/>
  <c r="Q82" i="2"/>
  <c r="B44" i="2"/>
  <c r="G5" i="16"/>
  <c r="E82" i="2"/>
  <c r="D44" i="16"/>
  <c r="E44" i="2"/>
  <c r="H44" i="16"/>
  <c r="J44" i="2"/>
  <c r="J82" i="16"/>
  <c r="L82" i="2"/>
  <c r="E82" i="16"/>
  <c r="F82" i="2"/>
  <c r="K44" i="16"/>
  <c r="M44" i="2"/>
  <c r="E44" i="16"/>
  <c r="F44" i="2"/>
  <c r="O82" i="16"/>
  <c r="R82" i="2"/>
  <c r="B105" i="2"/>
  <c r="B105" i="16"/>
  <c r="B71" i="16"/>
  <c r="B85" i="2"/>
  <c r="B85" i="16"/>
  <c r="B87" i="2"/>
  <c r="D28" i="2"/>
  <c r="B28" i="17" s="1"/>
  <c r="Q57" i="1"/>
  <c r="G51" i="16" s="1"/>
  <c r="H6" i="2"/>
  <c r="O60" i="6"/>
  <c r="D36" i="2"/>
  <c r="B36" i="17" s="1"/>
  <c r="Q56" i="1"/>
  <c r="G50" i="16" s="1"/>
  <c r="H5" i="2"/>
  <c r="Q58" i="1"/>
  <c r="G52" i="16" s="1"/>
  <c r="H7" i="2"/>
  <c r="R62" i="1"/>
  <c r="AB62" i="1"/>
  <c r="N28" i="2"/>
  <c r="D28" i="17" s="1"/>
  <c r="K62" i="1"/>
  <c r="F11" i="2"/>
  <c r="AC62" i="1"/>
  <c r="M11" i="2"/>
  <c r="I28" i="2"/>
  <c r="C28" i="17" s="1"/>
  <c r="S28" i="2"/>
  <c r="E28" i="17" s="1"/>
  <c r="Q62" i="1"/>
  <c r="H11" i="2"/>
  <c r="V62" i="1"/>
  <c r="P62" i="1"/>
  <c r="W62" i="1"/>
  <c r="K11" i="2"/>
  <c r="AD62" i="1"/>
  <c r="AN42" i="1"/>
  <c r="N36" i="16" s="1"/>
  <c r="V42" i="1"/>
  <c r="H36" i="16" s="1"/>
  <c r="W6" i="1"/>
  <c r="AH42" i="1"/>
  <c r="L36" i="16" s="1"/>
  <c r="AB42" i="1"/>
  <c r="J36" i="16" s="1"/>
  <c r="B71" i="2"/>
  <c r="D63" i="2"/>
  <c r="B63" i="17" s="1"/>
  <c r="K11" i="3"/>
  <c r="B67" i="1" a="1"/>
  <c r="B68" i="1" s="1"/>
  <c r="AH68" i="1" s="1"/>
  <c r="F178" i="1"/>
  <c r="E154" i="1"/>
  <c r="B85" i="1" a="1"/>
  <c r="B88" i="1" s="1"/>
  <c r="H88" i="1" s="1"/>
  <c r="O71" i="6"/>
  <c r="N71" i="6"/>
  <c r="P71" i="6"/>
  <c r="T61" i="6" s="1"/>
  <c r="B76" i="1" a="1"/>
  <c r="B76" i="1" s="1"/>
  <c r="K7" i="3"/>
  <c r="K15" i="3"/>
  <c r="AJ7" i="1"/>
  <c r="AJ57" i="1" s="1"/>
  <c r="AJ42" i="1"/>
  <c r="X6" i="1"/>
  <c r="X56" i="1" s="1"/>
  <c r="X42" i="1"/>
  <c r="W7" i="1"/>
  <c r="W42" i="1"/>
  <c r="I36" i="16" s="1"/>
  <c r="AO7" i="1"/>
  <c r="AO42" i="1"/>
  <c r="AQ6" i="1"/>
  <c r="AQ56" i="1" s="1"/>
  <c r="AP6" i="1"/>
  <c r="AP56" i="1" s="1"/>
  <c r="AP42" i="1"/>
  <c r="AE7" i="1"/>
  <c r="AE57" i="1" s="1"/>
  <c r="AE42" i="1"/>
  <c r="AC6" i="1"/>
  <c r="AC42" i="1"/>
  <c r="AI8" i="1"/>
  <c r="AI42" i="1"/>
  <c r="AD7" i="1"/>
  <c r="AD57" i="1" s="1"/>
  <c r="AD42" i="1"/>
  <c r="AE8" i="1"/>
  <c r="AE58" i="1" s="1"/>
  <c r="AJ8" i="1"/>
  <c r="AJ58" i="1" s="1"/>
  <c r="AN7" i="1"/>
  <c r="N6" i="16" s="1"/>
  <c r="AB6" i="1"/>
  <c r="J5" i="16" s="1"/>
  <c r="X7" i="1"/>
  <c r="X57" i="1" s="1"/>
  <c r="AE6" i="1"/>
  <c r="AE56" i="1" s="1"/>
  <c r="AP7" i="1"/>
  <c r="AP57" i="1" s="1"/>
  <c r="AB7" i="1"/>
  <c r="J6" i="16" s="1"/>
  <c r="W8" i="1"/>
  <c r="AO8" i="1"/>
  <c r="AO6" i="1"/>
  <c r="X8" i="1"/>
  <c r="X58" i="1" s="1"/>
  <c r="AJ6" i="1"/>
  <c r="AJ56" i="1" s="1"/>
  <c r="AI6" i="1"/>
  <c r="M5" i="16" s="1"/>
  <c r="AC8" i="1"/>
  <c r="AC7" i="1"/>
  <c r="AN6" i="1"/>
  <c r="N5" i="16" s="1"/>
  <c r="AH8" i="1"/>
  <c r="L7" i="16" s="1"/>
  <c r="AP8" i="1"/>
  <c r="AP58" i="1" s="1"/>
  <c r="AD6" i="1"/>
  <c r="AD56" i="1" s="1"/>
  <c r="AQ7" i="1"/>
  <c r="AQ57" i="1" s="1"/>
  <c r="AQ8" i="1"/>
  <c r="AQ58" i="1" s="1"/>
  <c r="AI7" i="1"/>
  <c r="V8" i="1"/>
  <c r="H7" i="16" s="1"/>
  <c r="AH7" i="1"/>
  <c r="L6" i="16" s="1"/>
  <c r="AB8" i="1"/>
  <c r="J7" i="16" s="1"/>
  <c r="V7" i="1"/>
  <c r="H6" i="16" s="1"/>
  <c r="AH6" i="1"/>
  <c r="L5" i="16" s="1"/>
  <c r="V6" i="1"/>
  <c r="H5" i="16" s="1"/>
  <c r="D11" i="1"/>
  <c r="D40" i="1" s="1"/>
  <c r="D48" i="1" s="1"/>
  <c r="K11" i="1"/>
  <c r="AD8" i="1"/>
  <c r="AD58" i="1" s="1"/>
  <c r="AN8" i="1"/>
  <c r="N7" i="16" s="1"/>
  <c r="AM11" i="1"/>
  <c r="AM40" i="1" s="1"/>
  <c r="AM48" i="1" s="1"/>
  <c r="G4" i="16" l="1"/>
  <c r="I7" i="16"/>
  <c r="K5" i="16"/>
  <c r="O36" i="16"/>
  <c r="D44" i="2"/>
  <c r="B44" i="17" s="1"/>
  <c r="S87" i="2"/>
  <c r="E87" i="17" s="1"/>
  <c r="M6" i="16"/>
  <c r="K7" i="16"/>
  <c r="N44" i="2"/>
  <c r="D44" i="17" s="1"/>
  <c r="I5" i="16"/>
  <c r="I87" i="2"/>
  <c r="C87" i="17" s="1"/>
  <c r="N87" i="2"/>
  <c r="D87" i="17" s="1"/>
  <c r="M7" i="16"/>
  <c r="O5" i="16"/>
  <c r="I44" i="2"/>
  <c r="C44" i="17" s="1"/>
  <c r="S44" i="2"/>
  <c r="E44" i="17" s="1"/>
  <c r="O7" i="16"/>
  <c r="I6" i="16"/>
  <c r="I4" i="16" s="1"/>
  <c r="N4" i="16"/>
  <c r="K6" i="16"/>
  <c r="D82" i="2"/>
  <c r="B82" i="17" s="1"/>
  <c r="I82" i="2"/>
  <c r="C82" i="17" s="1"/>
  <c r="M36" i="16"/>
  <c r="H4" i="16"/>
  <c r="N82" i="2"/>
  <c r="D82" i="17" s="1"/>
  <c r="S82" i="2"/>
  <c r="E82" i="17" s="1"/>
  <c r="L4" i="16"/>
  <c r="J4" i="16"/>
  <c r="K36" i="16"/>
  <c r="O6" i="16"/>
  <c r="E132" i="1"/>
  <c r="D87" i="2"/>
  <c r="B87" i="17" s="1"/>
  <c r="H4" i="2"/>
  <c r="AC58" i="1"/>
  <c r="K52" i="16" s="1"/>
  <c r="M7" i="2"/>
  <c r="P5" i="2"/>
  <c r="AI56" i="1"/>
  <c r="M50" i="16" s="1"/>
  <c r="M36" i="2"/>
  <c r="W57" i="1"/>
  <c r="I51" i="16" s="1"/>
  <c r="K6" i="2"/>
  <c r="V58" i="1"/>
  <c r="H52" i="16" s="1"/>
  <c r="J7" i="2"/>
  <c r="M6" i="2"/>
  <c r="AC57" i="1"/>
  <c r="K51" i="16" s="1"/>
  <c r="L6" i="2"/>
  <c r="AB57" i="1"/>
  <c r="J51" i="16" s="1"/>
  <c r="P36" i="2"/>
  <c r="H52" i="2"/>
  <c r="J5" i="2"/>
  <c r="V56" i="1"/>
  <c r="H50" i="16" s="1"/>
  <c r="AN57" i="1"/>
  <c r="N51" i="16" s="1"/>
  <c r="Q6" i="2"/>
  <c r="M5" i="2"/>
  <c r="AC56" i="1"/>
  <c r="K50" i="16" s="1"/>
  <c r="AO57" i="1"/>
  <c r="O51" i="16" s="1"/>
  <c r="R6" i="2"/>
  <c r="L36" i="2"/>
  <c r="Q36" i="2"/>
  <c r="H50" i="2"/>
  <c r="O36" i="2"/>
  <c r="H51" i="2"/>
  <c r="L5" i="2"/>
  <c r="AB56" i="1"/>
  <c r="J50" i="16" s="1"/>
  <c r="R36" i="2"/>
  <c r="AH56" i="1"/>
  <c r="L50" i="16" s="1"/>
  <c r="O5" i="2"/>
  <c r="V57" i="1"/>
  <c r="H51" i="16" s="1"/>
  <c r="J6" i="2"/>
  <c r="O7" i="2"/>
  <c r="AH58" i="1"/>
  <c r="L52" i="16" s="1"/>
  <c r="AO58" i="1"/>
  <c r="O52" i="16" s="1"/>
  <c r="R7" i="2"/>
  <c r="P6" i="2"/>
  <c r="AI57" i="1"/>
  <c r="M51" i="16" s="1"/>
  <c r="AI58" i="1"/>
  <c r="M52" i="16" s="1"/>
  <c r="P7" i="2"/>
  <c r="J36" i="2"/>
  <c r="K36" i="2"/>
  <c r="AO56" i="1"/>
  <c r="O50" i="16" s="1"/>
  <c r="R5" i="2"/>
  <c r="Q7" i="2"/>
  <c r="AN58" i="1"/>
  <c r="N52" i="16" s="1"/>
  <c r="AB58" i="1"/>
  <c r="J52" i="16" s="1"/>
  <c r="L7" i="2"/>
  <c r="O6" i="2"/>
  <c r="AH57" i="1"/>
  <c r="L51" i="16" s="1"/>
  <c r="Q5" i="2"/>
  <c r="AN56" i="1"/>
  <c r="N50" i="16" s="1"/>
  <c r="W58" i="1"/>
  <c r="I52" i="16" s="1"/>
  <c r="K7" i="2"/>
  <c r="W56" i="1"/>
  <c r="I50" i="16" s="1"/>
  <c r="K5" i="2"/>
  <c r="I62" i="1"/>
  <c r="E11" i="2"/>
  <c r="O62" i="1"/>
  <c r="G11" i="2"/>
  <c r="J62" i="1"/>
  <c r="AA62" i="1"/>
  <c r="L11" i="2"/>
  <c r="U62" i="1"/>
  <c r="J11" i="2"/>
  <c r="K40" i="1"/>
  <c r="F11" i="1"/>
  <c r="F40" i="1" s="1"/>
  <c r="F48" i="1" s="1"/>
  <c r="AD11" i="1"/>
  <c r="AD40" i="1" s="1"/>
  <c r="AD48" i="1" s="1"/>
  <c r="U11" i="1"/>
  <c r="U40" i="1" s="1"/>
  <c r="U48" i="1" s="1"/>
  <c r="V61" i="1"/>
  <c r="V75" i="1" s="1"/>
  <c r="T88" i="1"/>
  <c r="L88" i="1"/>
  <c r="AD88" i="1"/>
  <c r="O88" i="1"/>
  <c r="AK88" i="1"/>
  <c r="Q88" i="1"/>
  <c r="P88" i="1"/>
  <c r="AM88" i="1"/>
  <c r="AE88" i="1"/>
  <c r="AP88" i="1"/>
  <c r="AB88" i="1"/>
  <c r="U88" i="1"/>
  <c r="R88" i="1"/>
  <c r="W88" i="1"/>
  <c r="S88" i="1"/>
  <c r="Z88" i="1"/>
  <c r="N88" i="1"/>
  <c r="AF88" i="1"/>
  <c r="F88" i="1"/>
  <c r="AA88" i="1"/>
  <c r="K88" i="1"/>
  <c r="V88" i="1"/>
  <c r="J88" i="1"/>
  <c r="AO88" i="1"/>
  <c r="Y88" i="1"/>
  <c r="I88" i="1"/>
  <c r="AQ88" i="1"/>
  <c r="AI88" i="1"/>
  <c r="AJ88" i="1"/>
  <c r="M88" i="1"/>
  <c r="AN88" i="1"/>
  <c r="X88" i="1"/>
  <c r="G88" i="1"/>
  <c r="AL88" i="1"/>
  <c r="AC88" i="1"/>
  <c r="AH88" i="1"/>
  <c r="AG88" i="1"/>
  <c r="P68" i="1"/>
  <c r="D68" i="1"/>
  <c r="O68" i="1"/>
  <c r="F68" i="1"/>
  <c r="E68" i="1"/>
  <c r="N68" i="1"/>
  <c r="B67" i="1"/>
  <c r="U68" i="1"/>
  <c r="AM68" i="1"/>
  <c r="B69" i="1"/>
  <c r="AN69" i="1" s="1"/>
  <c r="I68" i="1"/>
  <c r="AN68" i="1"/>
  <c r="H68" i="1"/>
  <c r="K68" i="1"/>
  <c r="AG68" i="1"/>
  <c r="M68" i="1"/>
  <c r="AL68" i="1"/>
  <c r="L68" i="1"/>
  <c r="G68" i="1"/>
  <c r="B70" i="1"/>
  <c r="H70" i="1" s="1"/>
  <c r="Z68" i="1"/>
  <c r="J68" i="1"/>
  <c r="AB68" i="1"/>
  <c r="V68" i="1"/>
  <c r="B85" i="1"/>
  <c r="B86" i="1"/>
  <c r="B87" i="1"/>
  <c r="AA68" i="1"/>
  <c r="B78" i="1"/>
  <c r="G178" i="1"/>
  <c r="F154" i="1"/>
  <c r="F132" i="1" s="1"/>
  <c r="B79" i="1"/>
  <c r="B77" i="1"/>
  <c r="T59" i="6"/>
  <c r="R70" i="6"/>
  <c r="R68" i="6"/>
  <c r="R66" i="6"/>
  <c r="R69" i="6"/>
  <c r="R63" i="6"/>
  <c r="R65" i="6"/>
  <c r="R64" i="6"/>
  <c r="R67" i="6"/>
  <c r="T62" i="6"/>
  <c r="R59" i="6"/>
  <c r="S62" i="6"/>
  <c r="S68" i="6"/>
  <c r="S66" i="6"/>
  <c r="S60" i="6"/>
  <c r="S69" i="6"/>
  <c r="S64" i="6"/>
  <c r="S67" i="6"/>
  <c r="S63" i="6"/>
  <c r="S65" i="6"/>
  <c r="S59" i="6"/>
  <c r="S70" i="6"/>
  <c r="R60" i="6"/>
  <c r="R62" i="6"/>
  <c r="T60" i="6"/>
  <c r="R61" i="6"/>
  <c r="T68" i="6"/>
  <c r="T65" i="6"/>
  <c r="T70" i="6"/>
  <c r="T67" i="6"/>
  <c r="T64" i="6"/>
  <c r="T66" i="6"/>
  <c r="T63" i="6"/>
  <c r="T69" i="6"/>
  <c r="S61" i="6"/>
  <c r="S55" i="1"/>
  <c r="Q55" i="1"/>
  <c r="D43" i="1"/>
  <c r="AM43" i="1"/>
  <c r="R55" i="1"/>
  <c r="R95" i="1" s="1"/>
  <c r="M61" i="1"/>
  <c r="M11" i="1"/>
  <c r="M40" i="1" s="1"/>
  <c r="M48" i="1" s="1"/>
  <c r="AQ11" i="1"/>
  <c r="AQ40" i="1" s="1"/>
  <c r="AQ48" i="1" s="1"/>
  <c r="E11" i="1"/>
  <c r="Q11" i="1"/>
  <c r="E61" i="1"/>
  <c r="AF20" i="1"/>
  <c r="W20" i="1"/>
  <c r="AC20" i="1"/>
  <c r="X20" i="1"/>
  <c r="U20" i="1"/>
  <c r="AG20" i="1"/>
  <c r="Y20" i="1"/>
  <c r="V20" i="1"/>
  <c r="AH20" i="1"/>
  <c r="AD20" i="1"/>
  <c r="Z20" i="1"/>
  <c r="AI20" i="1"/>
  <c r="T20" i="1"/>
  <c r="AA20" i="1"/>
  <c r="AE20" i="1"/>
  <c r="AB20" i="1"/>
  <c r="S19" i="1"/>
  <c r="R19" i="1"/>
  <c r="AB19" i="1"/>
  <c r="T19" i="1"/>
  <c r="Z19" i="1"/>
  <c r="AC19" i="1"/>
  <c r="P19" i="1"/>
  <c r="X19" i="1"/>
  <c r="Y19" i="1"/>
  <c r="O19" i="1"/>
  <c r="AA19" i="1"/>
  <c r="Q19" i="1"/>
  <c r="N19" i="1"/>
  <c r="U19" i="1"/>
  <c r="V19" i="1"/>
  <c r="W19" i="1"/>
  <c r="W18" i="1"/>
  <c r="T18" i="1"/>
  <c r="O18" i="1"/>
  <c r="P18" i="1"/>
  <c r="Q18" i="1"/>
  <c r="U18" i="1"/>
  <c r="S18" i="1"/>
  <c r="V18" i="1"/>
  <c r="K18" i="1"/>
  <c r="N18" i="1"/>
  <c r="R18" i="1"/>
  <c r="I18" i="1"/>
  <c r="AJ22" i="1"/>
  <c r="AO22" i="1"/>
  <c r="AF22" i="1"/>
  <c r="AQ22" i="1"/>
  <c r="AK22" i="1"/>
  <c r="AG22" i="1"/>
  <c r="AI22" i="1"/>
  <c r="AN22" i="1"/>
  <c r="AH22" i="1"/>
  <c r="AL22" i="1"/>
  <c r="AP22" i="1"/>
  <c r="AM22" i="1"/>
  <c r="AQ23" i="1"/>
  <c r="AO23" i="1"/>
  <c r="AM23" i="1"/>
  <c r="AN23" i="1"/>
  <c r="AL23" i="1"/>
  <c r="AP23" i="1"/>
  <c r="AO21" i="1"/>
  <c r="AL21" i="1"/>
  <c r="Z21" i="1"/>
  <c r="AD21" i="1"/>
  <c r="AH21" i="1"/>
  <c r="AK21" i="1"/>
  <c r="AA21" i="1"/>
  <c r="AC21" i="1"/>
  <c r="AN21" i="1"/>
  <c r="AJ21" i="1"/>
  <c r="AE21" i="1"/>
  <c r="AF21" i="1"/>
  <c r="AB21" i="1"/>
  <c r="AG21" i="1"/>
  <c r="AM21" i="1"/>
  <c r="AI21" i="1"/>
  <c r="D16" i="1"/>
  <c r="AM61" i="1"/>
  <c r="F61" i="1"/>
  <c r="F75" i="1" s="1"/>
  <c r="D61" i="1"/>
  <c r="D75" i="1" s="1"/>
  <c r="X11" i="1"/>
  <c r="X40" i="1" s="1"/>
  <c r="X48" i="1" s="1"/>
  <c r="K61" i="1"/>
  <c r="T11" i="1"/>
  <c r="AP11" i="1"/>
  <c r="AP40" i="1" s="1"/>
  <c r="AP48" i="1" s="1"/>
  <c r="G61" i="1"/>
  <c r="G11" i="1"/>
  <c r="G40" i="1" s="1"/>
  <c r="G48" i="1" s="1"/>
  <c r="Y11" i="1"/>
  <c r="Y40" i="1" s="1"/>
  <c r="Y48" i="1" s="1"/>
  <c r="AG11" i="1"/>
  <c r="AG40" i="1" s="1"/>
  <c r="AG48" i="1" s="1"/>
  <c r="K4" i="16" l="1"/>
  <c r="M4" i="16"/>
  <c r="O85" i="1"/>
  <c r="AA67" i="1"/>
  <c r="C10" i="16"/>
  <c r="C54" i="16"/>
  <c r="O4" i="16"/>
  <c r="G49" i="16"/>
  <c r="D133" i="1"/>
  <c r="D174" i="1" s="1"/>
  <c r="B102" i="16" s="1"/>
  <c r="C105" i="2"/>
  <c r="C105" i="16"/>
  <c r="O18" i="16"/>
  <c r="K16" i="16"/>
  <c r="E15" i="16"/>
  <c r="I15" i="16"/>
  <c r="D15" i="16"/>
  <c r="M17" i="16"/>
  <c r="I17" i="16"/>
  <c r="J18" i="16"/>
  <c r="L17" i="16"/>
  <c r="L18" i="16"/>
  <c r="F15" i="16"/>
  <c r="N18" i="16"/>
  <c r="H16" i="16"/>
  <c r="M18" i="16"/>
  <c r="K18" i="16"/>
  <c r="G15" i="16"/>
  <c r="F16" i="16"/>
  <c r="J16" i="16"/>
  <c r="H17" i="16"/>
  <c r="G16" i="16"/>
  <c r="I16" i="16"/>
  <c r="J17" i="16"/>
  <c r="K17" i="16"/>
  <c r="H15" i="16"/>
  <c r="M4" i="2"/>
  <c r="P50" i="2"/>
  <c r="L4" i="2"/>
  <c r="K4" i="2"/>
  <c r="N6" i="2"/>
  <c r="D6" i="17" s="1"/>
  <c r="N7" i="2"/>
  <c r="D7" i="17" s="1"/>
  <c r="R52" i="2"/>
  <c r="R50" i="2"/>
  <c r="J51" i="2"/>
  <c r="L50" i="2"/>
  <c r="O4" i="2"/>
  <c r="S5" i="2"/>
  <c r="E5" i="17" s="1"/>
  <c r="L52" i="2"/>
  <c r="N11" i="2"/>
  <c r="D11" i="17" s="1"/>
  <c r="Q4" i="2"/>
  <c r="O52" i="2"/>
  <c r="O50" i="2"/>
  <c r="L51" i="2"/>
  <c r="J52" i="2"/>
  <c r="P52" i="2"/>
  <c r="P51" i="2"/>
  <c r="Q52" i="2"/>
  <c r="N36" i="2"/>
  <c r="D36" i="17" s="1"/>
  <c r="R51" i="2"/>
  <c r="J50" i="2"/>
  <c r="P4" i="2"/>
  <c r="K52" i="2"/>
  <c r="Q51" i="2"/>
  <c r="S7" i="2"/>
  <c r="E7" i="17" s="1"/>
  <c r="S36" i="2"/>
  <c r="E36" i="17" s="1"/>
  <c r="M50" i="2"/>
  <c r="N5" i="2"/>
  <c r="D5" i="17" s="1"/>
  <c r="J4" i="2"/>
  <c r="K50" i="2"/>
  <c r="O51" i="2"/>
  <c r="R4" i="2"/>
  <c r="M51" i="2"/>
  <c r="K51" i="2"/>
  <c r="Q50" i="2"/>
  <c r="F43" i="1"/>
  <c r="S6" i="2"/>
  <c r="E6" i="17" s="1"/>
  <c r="M52" i="2"/>
  <c r="Q40" i="1"/>
  <c r="K48" i="1"/>
  <c r="E40" i="1"/>
  <c r="C10" i="2"/>
  <c r="T40" i="1"/>
  <c r="E75" i="1"/>
  <c r="E76" i="1" s="1"/>
  <c r="C54" i="2"/>
  <c r="K43" i="1"/>
  <c r="I11" i="2"/>
  <c r="C11" i="17" s="1"/>
  <c r="H49" i="2"/>
  <c r="K15" i="2"/>
  <c r="M16" i="2"/>
  <c r="R18" i="2"/>
  <c r="P17" i="2"/>
  <c r="K16" i="2"/>
  <c r="H16" i="2"/>
  <c r="J16" i="2"/>
  <c r="P18" i="2"/>
  <c r="G16" i="2"/>
  <c r="O18" i="2"/>
  <c r="M18" i="2"/>
  <c r="E15" i="2"/>
  <c r="J15" i="2"/>
  <c r="L17" i="2"/>
  <c r="M17" i="2"/>
  <c r="L18" i="2"/>
  <c r="G15" i="2"/>
  <c r="H15" i="2"/>
  <c r="K17" i="2"/>
  <c r="Q18" i="2"/>
  <c r="F15" i="2"/>
  <c r="L16" i="2"/>
  <c r="J17" i="2"/>
  <c r="O17" i="2"/>
  <c r="N11" i="1"/>
  <c r="V11" i="1"/>
  <c r="V40" i="1" s="1"/>
  <c r="V48" i="1" s="1"/>
  <c r="X86" i="1"/>
  <c r="I86" i="1"/>
  <c r="T86" i="1"/>
  <c r="H86" i="1"/>
  <c r="AM86" i="1"/>
  <c r="AE86" i="1"/>
  <c r="W86" i="1"/>
  <c r="O86" i="1"/>
  <c r="G86" i="1"/>
  <c r="AG86" i="1"/>
  <c r="Q86" i="1"/>
  <c r="AQ86" i="1"/>
  <c r="Y86" i="1"/>
  <c r="E86" i="1"/>
  <c r="L86" i="1"/>
  <c r="AF86" i="1"/>
  <c r="D86" i="1"/>
  <c r="AN86" i="1"/>
  <c r="AB86" i="1"/>
  <c r="AH86" i="1"/>
  <c r="V86" i="1"/>
  <c r="AI86" i="1"/>
  <c r="K86" i="1"/>
  <c r="M86" i="1"/>
  <c r="F86" i="1"/>
  <c r="AO86" i="1"/>
  <c r="U86" i="1"/>
  <c r="AP86" i="1"/>
  <c r="J86" i="1"/>
  <c r="AC86" i="1"/>
  <c r="P86" i="1"/>
  <c r="AD86" i="1"/>
  <c r="S86" i="1"/>
  <c r="N86" i="1"/>
  <c r="Z86" i="1"/>
  <c r="AK86" i="1"/>
  <c r="AJ86" i="1"/>
  <c r="R86" i="1"/>
  <c r="AA86" i="1"/>
  <c r="AL86" i="1"/>
  <c r="S85" i="1"/>
  <c r="AD85" i="1"/>
  <c r="N85" i="1"/>
  <c r="F85" i="1"/>
  <c r="E85" i="1"/>
  <c r="AN85" i="1"/>
  <c r="AB85" i="1"/>
  <c r="AQ85" i="1"/>
  <c r="AE85" i="1"/>
  <c r="AH85" i="1"/>
  <c r="R85" i="1"/>
  <c r="AO85" i="1"/>
  <c r="U85" i="1"/>
  <c r="Q85" i="1"/>
  <c r="AF85" i="1"/>
  <c r="P85" i="1"/>
  <c r="AL85" i="1"/>
  <c r="L85" i="1"/>
  <c r="G85" i="1"/>
  <c r="K85" i="1"/>
  <c r="C85" i="1"/>
  <c r="V85" i="1"/>
  <c r="X85" i="1"/>
  <c r="H85" i="1"/>
  <c r="AJ85" i="1"/>
  <c r="M85" i="1"/>
  <c r="J85" i="1"/>
  <c r="AA85" i="1"/>
  <c r="W85" i="1"/>
  <c r="AP85" i="1"/>
  <c r="T85" i="1"/>
  <c r="AG85" i="1"/>
  <c r="Z85" i="1"/>
  <c r="I85" i="1"/>
  <c r="Y85" i="1"/>
  <c r="D85" i="1"/>
  <c r="AM85" i="1"/>
  <c r="AK85" i="1"/>
  <c r="AC85" i="1"/>
  <c r="AI85" i="1"/>
  <c r="E77" i="1"/>
  <c r="I87" i="1"/>
  <c r="AN87" i="1"/>
  <c r="X87" i="1"/>
  <c r="H87" i="1"/>
  <c r="AQ87" i="1"/>
  <c r="AE87" i="1"/>
  <c r="AC87" i="1"/>
  <c r="Y87" i="1"/>
  <c r="G87" i="1"/>
  <c r="T87" i="1"/>
  <c r="M87" i="1"/>
  <c r="W87" i="1"/>
  <c r="AG87" i="1"/>
  <c r="U87" i="1"/>
  <c r="AF87" i="1"/>
  <c r="P87" i="1"/>
  <c r="E87" i="1"/>
  <c r="AH87" i="1"/>
  <c r="R87" i="1"/>
  <c r="AJ87" i="1"/>
  <c r="S87" i="1"/>
  <c r="Z87" i="1"/>
  <c r="AL87" i="1"/>
  <c r="N87" i="1"/>
  <c r="AO87" i="1"/>
  <c r="Q87" i="1"/>
  <c r="AI87" i="1"/>
  <c r="AK87" i="1"/>
  <c r="AP87" i="1"/>
  <c r="J87" i="1"/>
  <c r="AA87" i="1"/>
  <c r="L87" i="1"/>
  <c r="O87" i="1"/>
  <c r="AM87" i="1"/>
  <c r="F87" i="1"/>
  <c r="K87" i="1"/>
  <c r="V87" i="1"/>
  <c r="AD87" i="1"/>
  <c r="AB87" i="1"/>
  <c r="AG67" i="1"/>
  <c r="J67" i="1"/>
  <c r="O67" i="1"/>
  <c r="N67" i="1"/>
  <c r="U67" i="1"/>
  <c r="C67" i="1"/>
  <c r="C65" i="1" s="1"/>
  <c r="C142" i="1" s="1"/>
  <c r="AK67" i="1"/>
  <c r="G67" i="1"/>
  <c r="I67" i="1"/>
  <c r="Z67" i="1"/>
  <c r="AL67" i="1"/>
  <c r="AF67" i="1"/>
  <c r="Y67" i="1"/>
  <c r="E67" i="1"/>
  <c r="K67" i="1"/>
  <c r="H67" i="1"/>
  <c r="M67" i="1"/>
  <c r="D67" i="1"/>
  <c r="W69" i="1"/>
  <c r="V69" i="1"/>
  <c r="AO69" i="1"/>
  <c r="AI69" i="1"/>
  <c r="AH69" i="1"/>
  <c r="L67" i="1"/>
  <c r="AB69" i="1"/>
  <c r="T67" i="1"/>
  <c r="AM67" i="1"/>
  <c r="F67" i="1"/>
  <c r="D105" i="2"/>
  <c r="B105" i="17" s="1"/>
  <c r="F69" i="1"/>
  <c r="G69" i="1"/>
  <c r="N69" i="1"/>
  <c r="Q69" i="1"/>
  <c r="J69" i="1"/>
  <c r="I69" i="1"/>
  <c r="H69" i="1"/>
  <c r="O69" i="1"/>
  <c r="AC69" i="1"/>
  <c r="M69" i="1"/>
  <c r="AA69" i="1"/>
  <c r="P69" i="1"/>
  <c r="K69" i="1"/>
  <c r="I79" i="1"/>
  <c r="E69" i="1"/>
  <c r="L69" i="1"/>
  <c r="AM69" i="1"/>
  <c r="Z11" i="1"/>
  <c r="N70" i="1"/>
  <c r="AB70" i="1"/>
  <c r="AI70" i="1"/>
  <c r="M70" i="1"/>
  <c r="K70" i="1"/>
  <c r="X70" i="1"/>
  <c r="Q70" i="1"/>
  <c r="L70" i="1"/>
  <c r="AJ70" i="1"/>
  <c r="F70" i="1"/>
  <c r="AD70" i="1"/>
  <c r="AN70" i="1"/>
  <c r="R70" i="1"/>
  <c r="P70" i="1"/>
  <c r="AO70" i="1"/>
  <c r="G70" i="1"/>
  <c r="W70" i="1"/>
  <c r="AP70" i="1"/>
  <c r="I70" i="1"/>
  <c r="AC70" i="1"/>
  <c r="J70" i="1"/>
  <c r="O70" i="1"/>
  <c r="H178" i="1"/>
  <c r="G154" i="1"/>
  <c r="S72" i="6"/>
  <c r="T72" i="6"/>
  <c r="R72" i="6"/>
  <c r="AJ55" i="1"/>
  <c r="AJ95" i="1" s="1"/>
  <c r="Q61" i="1"/>
  <c r="AP55" i="1"/>
  <c r="AP95" i="1" s="1"/>
  <c r="AQ61" i="1"/>
  <c r="AQ75" i="1" s="1"/>
  <c r="AQ76" i="1" s="1"/>
  <c r="U61" i="1"/>
  <c r="U75" i="1" s="1"/>
  <c r="V77" i="1" s="1"/>
  <c r="AB55" i="1"/>
  <c r="J49" i="16" s="1"/>
  <c r="AN55" i="1"/>
  <c r="N49" i="16" s="1"/>
  <c r="W55" i="1"/>
  <c r="Q66" i="1"/>
  <c r="R68" i="1" s="1"/>
  <c r="Q95" i="1"/>
  <c r="S66" i="1"/>
  <c r="T68" i="1" s="1"/>
  <c r="S95" i="1"/>
  <c r="AD43" i="1"/>
  <c r="AC55" i="1"/>
  <c r="G43" i="1"/>
  <c r="N61" i="1"/>
  <c r="AP43" i="1"/>
  <c r="AD55" i="1"/>
  <c r="AD95" i="1" s="1"/>
  <c r="AI55" i="1"/>
  <c r="AG43" i="1"/>
  <c r="Y43" i="1"/>
  <c r="X43" i="1"/>
  <c r="AO55" i="1"/>
  <c r="AE55" i="1"/>
  <c r="AE95" i="1" s="1"/>
  <c r="X55" i="1"/>
  <c r="X95" i="1" s="1"/>
  <c r="R66" i="1"/>
  <c r="S68" i="1" s="1"/>
  <c r="AQ43" i="1"/>
  <c r="U43" i="1"/>
  <c r="M43" i="1"/>
  <c r="V55" i="1"/>
  <c r="H49" i="16" s="1"/>
  <c r="AH55" i="1"/>
  <c r="L49" i="16" s="1"/>
  <c r="AQ55" i="1"/>
  <c r="AQ95" i="1" s="1"/>
  <c r="AD61" i="1"/>
  <c r="AD75" i="1" s="1"/>
  <c r="AF78" i="1" s="1"/>
  <c r="AO61" i="1"/>
  <c r="AO11" i="1"/>
  <c r="O10" i="16" s="1"/>
  <c r="D29" i="1"/>
  <c r="D41" i="1"/>
  <c r="AP61" i="1"/>
  <c r="AP75" i="1" s="1"/>
  <c r="AP76" i="1" s="1"/>
  <c r="AB11" i="1"/>
  <c r="AB40" i="1" s="1"/>
  <c r="AB48" i="1" s="1"/>
  <c r="R16" i="1"/>
  <c r="J11" i="1"/>
  <c r="J40" i="1" s="1"/>
  <c r="J48" i="1" s="1"/>
  <c r="AP16" i="1"/>
  <c r="AE16" i="1"/>
  <c r="Y16" i="1"/>
  <c r="AK16" i="1"/>
  <c r="Z16" i="1"/>
  <c r="AJ16" i="1"/>
  <c r="AL16" i="1"/>
  <c r="AB61" i="1"/>
  <c r="AB75" i="1" s="1"/>
  <c r="S16" i="1"/>
  <c r="AH16" i="1"/>
  <c r="AF16" i="1"/>
  <c r="V76" i="1"/>
  <c r="V16" i="1"/>
  <c r="O11" i="1"/>
  <c r="O40" i="1" s="1"/>
  <c r="O48" i="1" s="1"/>
  <c r="W16" i="1"/>
  <c r="O61" i="1"/>
  <c r="O75" i="1" s="1"/>
  <c r="O76" i="1" s="1"/>
  <c r="AQ16" i="1"/>
  <c r="U16" i="1"/>
  <c r="AD16" i="1"/>
  <c r="AN16" i="1"/>
  <c r="AO16" i="1"/>
  <c r="X16" i="1"/>
  <c r="AA61" i="1"/>
  <c r="AA75" i="1" s="1"/>
  <c r="AC78" i="1" s="1"/>
  <c r="AM16" i="1"/>
  <c r="W61" i="1"/>
  <c r="W11" i="1"/>
  <c r="I10" i="16" s="1"/>
  <c r="AC16" i="1"/>
  <c r="AG16" i="1"/>
  <c r="AA11" i="1"/>
  <c r="AA40" i="1" s="1"/>
  <c r="AA48" i="1" s="1"/>
  <c r="R11" i="1"/>
  <c r="R40" i="1" s="1"/>
  <c r="R48" i="1" s="1"/>
  <c r="R61" i="1"/>
  <c r="R75" i="1" s="1"/>
  <c r="U79" i="1" s="1"/>
  <c r="T16" i="1"/>
  <c r="S11" i="1"/>
  <c r="S40" i="1" s="1"/>
  <c r="S48" i="1" s="1"/>
  <c r="AI16" i="1"/>
  <c r="AA16" i="1"/>
  <c r="AB16" i="1"/>
  <c r="W77" i="1"/>
  <c r="AJ61" i="1"/>
  <c r="AJ75" i="1" s="1"/>
  <c r="AK77" i="1" s="1"/>
  <c r="AJ11" i="1"/>
  <c r="AJ40" i="1" s="1"/>
  <c r="AJ48" i="1" s="1"/>
  <c r="AL11" i="1"/>
  <c r="I11" i="1"/>
  <c r="I40" i="1" s="1"/>
  <c r="I48" i="1" s="1"/>
  <c r="X78" i="1"/>
  <c r="AM75" i="1"/>
  <c r="AN77" i="1" s="1"/>
  <c r="F78" i="1"/>
  <c r="J61" i="1"/>
  <c r="J75" i="1" s="1"/>
  <c r="K77" i="1" s="1"/>
  <c r="S61" i="1"/>
  <c r="S75" i="1" s="1"/>
  <c r="V79" i="1" s="1"/>
  <c r="I61" i="1"/>
  <c r="I75" i="1" s="1"/>
  <c r="J77" i="1" s="1"/>
  <c r="Y79" i="1"/>
  <c r="AF61" i="1"/>
  <c r="AF11" i="1"/>
  <c r="AE61" i="1"/>
  <c r="AE75" i="1" s="1"/>
  <c r="AG78" i="1" s="1"/>
  <c r="AE11" i="1"/>
  <c r="AE40" i="1" s="1"/>
  <c r="AE48" i="1" s="1"/>
  <c r="T61" i="1"/>
  <c r="AC11" i="1"/>
  <c r="AG61" i="1"/>
  <c r="AI61" i="1"/>
  <c r="AI11" i="1"/>
  <c r="L61" i="1"/>
  <c r="F54" i="2" s="1"/>
  <c r="L11" i="1"/>
  <c r="E10" i="16" s="1"/>
  <c r="X61" i="1"/>
  <c r="Y61" i="1"/>
  <c r="Y75" i="1" s="1"/>
  <c r="Z77" i="1" s="1"/>
  <c r="AH11" i="1"/>
  <c r="AH40" i="1" s="1"/>
  <c r="AH48" i="1" s="1"/>
  <c r="AH61" i="1"/>
  <c r="AH75" i="1" s="1"/>
  <c r="AJ78" i="1" s="1"/>
  <c r="H61" i="1"/>
  <c r="H11" i="1"/>
  <c r="D10" i="16" s="1"/>
  <c r="AN61" i="1"/>
  <c r="AN11" i="1"/>
  <c r="AN40" i="1" s="1"/>
  <c r="AN48" i="1" s="1"/>
  <c r="H78" i="1"/>
  <c r="AK61" i="1"/>
  <c r="AK11" i="1"/>
  <c r="AK40" i="1" s="1"/>
  <c r="AK48" i="1" s="1"/>
  <c r="P61" i="1"/>
  <c r="P11" i="1"/>
  <c r="P40" i="1" s="1"/>
  <c r="P48" i="1" s="1"/>
  <c r="G77" i="1"/>
  <c r="G79" i="1"/>
  <c r="F76" i="1"/>
  <c r="D76" i="1"/>
  <c r="K75" i="1"/>
  <c r="N79" i="1" s="1"/>
  <c r="M75" i="1"/>
  <c r="P79" i="1" s="1"/>
  <c r="G75" i="1"/>
  <c r="I78" i="1" s="1"/>
  <c r="H54" i="16" l="1"/>
  <c r="G132" i="1"/>
  <c r="C71" i="2" s="1"/>
  <c r="H99" i="1"/>
  <c r="H98" i="1" s="1"/>
  <c r="M49" i="16"/>
  <c r="I49" i="16"/>
  <c r="J10" i="16"/>
  <c r="M10" i="16"/>
  <c r="L54" i="16"/>
  <c r="L10" i="16"/>
  <c r="G10" i="16"/>
  <c r="I54" i="16"/>
  <c r="O54" i="16"/>
  <c r="G63" i="16"/>
  <c r="G54" i="16"/>
  <c r="D54" i="16"/>
  <c r="M54" i="16"/>
  <c r="N10" i="16"/>
  <c r="T43" i="1"/>
  <c r="H34" i="16"/>
  <c r="Q43" i="1"/>
  <c r="G34" i="16"/>
  <c r="F54" i="16"/>
  <c r="K10" i="16"/>
  <c r="O49" i="16"/>
  <c r="F10" i="16"/>
  <c r="E43" i="1"/>
  <c r="C37" i="16" s="1"/>
  <c r="C34" i="16"/>
  <c r="E54" i="16"/>
  <c r="K49" i="16"/>
  <c r="H10" i="16"/>
  <c r="B72" i="16"/>
  <c r="C71" i="16"/>
  <c r="C85" i="16"/>
  <c r="C85" i="2"/>
  <c r="D85" i="2" s="1"/>
  <c r="B85" i="17" s="1"/>
  <c r="O13" i="16"/>
  <c r="K13" i="16"/>
  <c r="I13" i="16"/>
  <c r="N13" i="16"/>
  <c r="J13" i="16"/>
  <c r="L13" i="16"/>
  <c r="M13" i="16"/>
  <c r="H13" i="16"/>
  <c r="B102" i="2"/>
  <c r="E133" i="1"/>
  <c r="B72" i="2"/>
  <c r="N4" i="2"/>
  <c r="D4" i="17" s="1"/>
  <c r="S51" i="2"/>
  <c r="E51" i="17" s="1"/>
  <c r="F77" i="1"/>
  <c r="G78" i="1"/>
  <c r="N50" i="2"/>
  <c r="D50" i="17" s="1"/>
  <c r="N51" i="2"/>
  <c r="D51" i="17" s="1"/>
  <c r="H79" i="1"/>
  <c r="S50" i="2"/>
  <c r="E50" i="17" s="1"/>
  <c r="S4" i="2"/>
  <c r="E4" i="17" s="1"/>
  <c r="S52" i="2"/>
  <c r="E52" i="17" s="1"/>
  <c r="N52" i="2"/>
  <c r="D52" i="17" s="1"/>
  <c r="W40" i="1"/>
  <c r="K10" i="2"/>
  <c r="AO40" i="1"/>
  <c r="R10" i="2"/>
  <c r="L40" i="1"/>
  <c r="F10" i="2"/>
  <c r="AF40" i="1"/>
  <c r="O10" i="2"/>
  <c r="AL40" i="1"/>
  <c r="Q10" i="2"/>
  <c r="K54" i="2"/>
  <c r="AO75" i="1"/>
  <c r="AO76" i="1" s="1"/>
  <c r="R54" i="2"/>
  <c r="N40" i="1"/>
  <c r="F34" i="16" s="1"/>
  <c r="G10" i="2"/>
  <c r="J34" i="2"/>
  <c r="T48" i="1"/>
  <c r="Q48" i="1"/>
  <c r="H34" i="2"/>
  <c r="H75" i="1"/>
  <c r="J78" i="1" s="1"/>
  <c r="E54" i="2"/>
  <c r="AI75" i="1"/>
  <c r="AJ77" i="1" s="1"/>
  <c r="P54" i="2"/>
  <c r="AC40" i="1"/>
  <c r="M10" i="2"/>
  <c r="AF75" i="1"/>
  <c r="AF76" i="1" s="1"/>
  <c r="O54" i="2"/>
  <c r="Z40" i="1"/>
  <c r="J34" i="16" s="1"/>
  <c r="L10" i="2"/>
  <c r="H40" i="1"/>
  <c r="E10" i="2"/>
  <c r="AI40" i="1"/>
  <c r="P10" i="2"/>
  <c r="T75" i="1"/>
  <c r="W79" i="1" s="1"/>
  <c r="J54" i="2"/>
  <c r="V43" i="1"/>
  <c r="N75" i="1"/>
  <c r="O77" i="1" s="1"/>
  <c r="G54" i="2"/>
  <c r="Q75" i="1"/>
  <c r="R77" i="1" s="1"/>
  <c r="H54" i="2"/>
  <c r="J10" i="2"/>
  <c r="E48" i="1"/>
  <c r="C34" i="2"/>
  <c r="H10" i="2"/>
  <c r="I16" i="2"/>
  <c r="C16" i="17" s="1"/>
  <c r="S17" i="2"/>
  <c r="E17" i="17" s="1"/>
  <c r="AH95" i="1"/>
  <c r="L63" i="16" s="1"/>
  <c r="O49" i="2"/>
  <c r="AN95" i="1"/>
  <c r="Q49" i="2"/>
  <c r="AB95" i="1"/>
  <c r="L49" i="2"/>
  <c r="AO95" i="1"/>
  <c r="O63" i="16" s="1"/>
  <c r="R49" i="2"/>
  <c r="V95" i="1"/>
  <c r="H63" i="16" s="1"/>
  <c r="J49" i="2"/>
  <c r="AI95" i="1"/>
  <c r="M63" i="16" s="1"/>
  <c r="P49" i="2"/>
  <c r="AC95" i="1"/>
  <c r="M49" i="2"/>
  <c r="W95" i="1"/>
  <c r="K49" i="2"/>
  <c r="N15" i="2"/>
  <c r="D15" i="17" s="1"/>
  <c r="R13" i="2"/>
  <c r="N16" i="2"/>
  <c r="D16" i="17" s="1"/>
  <c r="P13" i="2"/>
  <c r="N18" i="2"/>
  <c r="D18" i="17" s="1"/>
  <c r="M13" i="2"/>
  <c r="K13" i="2"/>
  <c r="O13" i="2"/>
  <c r="Q13" i="2"/>
  <c r="L13" i="2"/>
  <c r="S18" i="2"/>
  <c r="E18" i="17" s="1"/>
  <c r="J13" i="2"/>
  <c r="N17" i="2"/>
  <c r="D17" i="17" s="1"/>
  <c r="I15" i="2"/>
  <c r="C15" i="17" s="1"/>
  <c r="O65" i="1"/>
  <c r="O142" i="1" s="1"/>
  <c r="D65" i="1"/>
  <c r="D142" i="1" s="1"/>
  <c r="B79" i="16" s="1"/>
  <c r="H65" i="1"/>
  <c r="D71" i="2"/>
  <c r="B71" i="17" s="1"/>
  <c r="J65" i="1"/>
  <c r="J142" i="1" s="1"/>
  <c r="L65" i="1"/>
  <c r="L142" i="1" s="1"/>
  <c r="K65" i="1"/>
  <c r="F65" i="1"/>
  <c r="F142" i="1" s="1"/>
  <c r="D83" i="1"/>
  <c r="H83" i="1"/>
  <c r="G65" i="1"/>
  <c r="G142" i="1" s="1"/>
  <c r="AP83" i="1"/>
  <c r="AJ83" i="1"/>
  <c r="C83" i="1"/>
  <c r="C89" i="1" s="1"/>
  <c r="Z83" i="1"/>
  <c r="N65" i="1"/>
  <c r="P83" i="1"/>
  <c r="I65" i="1"/>
  <c r="I142" i="1" s="1"/>
  <c r="M65" i="1"/>
  <c r="M142" i="1" s="1"/>
  <c r="AG83" i="1"/>
  <c r="K83" i="1"/>
  <c r="E65" i="1"/>
  <c r="AN83" i="1"/>
  <c r="AH83" i="1"/>
  <c r="AB83" i="1"/>
  <c r="X83" i="1"/>
  <c r="V83" i="1"/>
  <c r="L83" i="1"/>
  <c r="E83" i="1"/>
  <c r="AA83" i="1"/>
  <c r="AM83" i="1"/>
  <c r="T83" i="1"/>
  <c r="Y83" i="1"/>
  <c r="C71" i="1"/>
  <c r="C170" i="1" s="1"/>
  <c r="I83" i="1"/>
  <c r="AQ83" i="1"/>
  <c r="Q83" i="1"/>
  <c r="F83" i="1"/>
  <c r="U83" i="1"/>
  <c r="AK83" i="1"/>
  <c r="W83" i="1"/>
  <c r="O83" i="1"/>
  <c r="G83" i="1"/>
  <c r="S83" i="1"/>
  <c r="N83" i="1"/>
  <c r="J83" i="1"/>
  <c r="M83" i="1"/>
  <c r="R83" i="1"/>
  <c r="H63" i="2"/>
  <c r="I178" i="1"/>
  <c r="H154" i="1"/>
  <c r="AB66" i="1"/>
  <c r="AB67" i="1" s="1"/>
  <c r="AB65" i="1" s="1"/>
  <c r="AB142" i="1" s="1"/>
  <c r="AJ66" i="1"/>
  <c r="AL69" i="1" s="1"/>
  <c r="W66" i="1"/>
  <c r="X68" i="1" s="1"/>
  <c r="AG79" i="1"/>
  <c r="AE77" i="1"/>
  <c r="AP66" i="1"/>
  <c r="AQ68" i="1" s="1"/>
  <c r="Z61" i="1"/>
  <c r="J54" i="16" s="1"/>
  <c r="AD76" i="1"/>
  <c r="U69" i="1"/>
  <c r="V70" i="1"/>
  <c r="S67" i="1"/>
  <c r="S69" i="1"/>
  <c r="Q67" i="1"/>
  <c r="T70" i="1"/>
  <c r="AN66" i="1"/>
  <c r="AB43" i="1"/>
  <c r="AI66" i="1"/>
  <c r="AL70" i="1" s="1"/>
  <c r="S43" i="1"/>
  <c r="O43" i="1"/>
  <c r="P43" i="1"/>
  <c r="AE43" i="1"/>
  <c r="AQ66" i="1"/>
  <c r="AQ67" i="1" s="1"/>
  <c r="AJ43" i="1"/>
  <c r="AD66" i="1"/>
  <c r="AD67" i="1" s="1"/>
  <c r="AA43" i="1"/>
  <c r="AK43" i="1"/>
  <c r="R43" i="1"/>
  <c r="J43" i="1"/>
  <c r="T69" i="1"/>
  <c r="U70" i="1"/>
  <c r="R67" i="1"/>
  <c r="AH43" i="1"/>
  <c r="AO66" i="1"/>
  <c r="AQ69" i="1" s="1"/>
  <c r="AN43" i="1"/>
  <c r="X66" i="1"/>
  <c r="AA70" i="1" s="1"/>
  <c r="AA65" i="1" s="1"/>
  <c r="AA142" i="1" s="1"/>
  <c r="AH66" i="1"/>
  <c r="AK70" i="1" s="1"/>
  <c r="AC66" i="1"/>
  <c r="AF70" i="1" s="1"/>
  <c r="V66" i="1"/>
  <c r="X69" i="1" s="1"/>
  <c r="I43" i="1"/>
  <c r="AE66" i="1"/>
  <c r="AH70" i="1" s="1"/>
  <c r="D35" i="1"/>
  <c r="D49" i="1" s="1"/>
  <c r="AL61" i="1"/>
  <c r="AO83" i="1"/>
  <c r="W29" i="1"/>
  <c r="W41" i="1"/>
  <c r="AA29" i="1"/>
  <c r="AA35" i="1" s="1"/>
  <c r="AA49" i="1" s="1"/>
  <c r="AA41" i="1"/>
  <c r="AM29" i="1"/>
  <c r="AM35" i="1" s="1"/>
  <c r="AM49" i="1" s="1"/>
  <c r="AM41" i="1"/>
  <c r="S29" i="1"/>
  <c r="S35" i="1" s="1"/>
  <c r="S49" i="1" s="1"/>
  <c r="S41" i="1"/>
  <c r="AP29" i="1"/>
  <c r="AP35" i="1" s="1"/>
  <c r="AP49" i="1" s="1"/>
  <c r="AP41" i="1"/>
  <c r="AI29" i="1"/>
  <c r="AI41" i="1"/>
  <c r="U29" i="1"/>
  <c r="U35" i="1" s="1"/>
  <c r="U49" i="1" s="1"/>
  <c r="U41" i="1"/>
  <c r="AL29" i="1"/>
  <c r="AL41" i="1"/>
  <c r="Z29" i="1"/>
  <c r="Z41" i="1"/>
  <c r="AG29" i="1"/>
  <c r="AG35" i="1" s="1"/>
  <c r="AG49" i="1" s="1"/>
  <c r="AG41" i="1"/>
  <c r="AQ29" i="1"/>
  <c r="AQ35" i="1" s="1"/>
  <c r="AQ49" i="1" s="1"/>
  <c r="AQ41" i="1"/>
  <c r="T29" i="1"/>
  <c r="T41" i="1"/>
  <c r="AC29" i="1"/>
  <c r="AC41" i="1"/>
  <c r="X29" i="1"/>
  <c r="X35" i="1" s="1"/>
  <c r="X49" i="1" s="1"/>
  <c r="X41" i="1"/>
  <c r="V29" i="1"/>
  <c r="V35" i="1" s="1"/>
  <c r="V49" i="1" s="1"/>
  <c r="V41" i="1"/>
  <c r="AO29" i="1"/>
  <c r="AO41" i="1"/>
  <c r="AK29" i="1"/>
  <c r="AK35" i="1" s="1"/>
  <c r="AK49" i="1" s="1"/>
  <c r="AK41" i="1"/>
  <c r="AD29" i="1"/>
  <c r="AD35" i="1" s="1"/>
  <c r="AD49" i="1" s="1"/>
  <c r="AD41" i="1"/>
  <c r="AN29" i="1"/>
  <c r="AN35" i="1" s="1"/>
  <c r="AN49" i="1" s="1"/>
  <c r="AN41" i="1"/>
  <c r="AF29" i="1"/>
  <c r="AF41" i="1"/>
  <c r="AJ29" i="1"/>
  <c r="AJ35" i="1" s="1"/>
  <c r="AJ49" i="1" s="1"/>
  <c r="AJ41" i="1"/>
  <c r="Y29" i="1"/>
  <c r="Y35" i="1" s="1"/>
  <c r="Y49" i="1" s="1"/>
  <c r="Y41" i="1"/>
  <c r="AB29" i="1"/>
  <c r="AB35" i="1" s="1"/>
  <c r="AB49" i="1" s="1"/>
  <c r="AB41" i="1"/>
  <c r="AH29" i="1"/>
  <c r="AH35" i="1" s="1"/>
  <c r="AH49" i="1" s="1"/>
  <c r="AH41" i="1"/>
  <c r="AE29" i="1"/>
  <c r="AE35" i="1" s="1"/>
  <c r="AE49" i="1" s="1"/>
  <c r="AE41" i="1"/>
  <c r="R29" i="1"/>
  <c r="R35" i="1" s="1"/>
  <c r="R49" i="1" s="1"/>
  <c r="R41" i="1"/>
  <c r="P77" i="1"/>
  <c r="T77" i="1"/>
  <c r="AI83" i="1"/>
  <c r="M60" i="16" s="1"/>
  <c r="R79" i="1"/>
  <c r="Q78" i="1"/>
  <c r="AL83" i="1"/>
  <c r="N60" i="16" s="1"/>
  <c r="T78" i="1"/>
  <c r="AF83" i="1"/>
  <c r="R76" i="1"/>
  <c r="AE79" i="1"/>
  <c r="AC77" i="1"/>
  <c r="AB76" i="1"/>
  <c r="S77" i="1"/>
  <c r="W75" i="1"/>
  <c r="W76" i="1" s="1"/>
  <c r="AD78" i="1"/>
  <c r="E16" i="1"/>
  <c r="AH76" i="1"/>
  <c r="AI77" i="1"/>
  <c r="U78" i="1"/>
  <c r="AK79" i="1"/>
  <c r="L79" i="1"/>
  <c r="I76" i="1"/>
  <c r="K78" i="1"/>
  <c r="AL78" i="1"/>
  <c r="S76" i="1"/>
  <c r="AH79" i="1"/>
  <c r="AE76" i="1"/>
  <c r="AF77" i="1"/>
  <c r="AC61" i="1"/>
  <c r="K54" i="16" s="1"/>
  <c r="AO78" i="1"/>
  <c r="AP79" i="1"/>
  <c r="AM76" i="1"/>
  <c r="AG75" i="1"/>
  <c r="AG76" i="1" s="1"/>
  <c r="H77" i="1"/>
  <c r="U76" i="1"/>
  <c r="X75" i="1"/>
  <c r="X76" i="1" s="1"/>
  <c r="X79" i="1"/>
  <c r="AE83" i="1"/>
  <c r="J76" i="1"/>
  <c r="L78" i="1"/>
  <c r="M79" i="1"/>
  <c r="AD79" i="1"/>
  <c r="L75" i="1"/>
  <c r="L76" i="1" s="1"/>
  <c r="AA76" i="1"/>
  <c r="W78" i="1"/>
  <c r="M78" i="1"/>
  <c r="AK75" i="1"/>
  <c r="AK76" i="1" s="1"/>
  <c r="J79" i="1"/>
  <c r="AB77" i="1"/>
  <c r="L77" i="1"/>
  <c r="P75" i="1"/>
  <c r="Q77" i="1" s="1"/>
  <c r="K76" i="1"/>
  <c r="AD83" i="1"/>
  <c r="AC83" i="1"/>
  <c r="AJ76" i="1"/>
  <c r="N77" i="1"/>
  <c r="O78" i="1"/>
  <c r="AM79" i="1"/>
  <c r="AA78" i="1"/>
  <c r="M76" i="1"/>
  <c r="AN75" i="1"/>
  <c r="AQ79" i="1" s="1"/>
  <c r="AQ77" i="1"/>
  <c r="AB79" i="1"/>
  <c r="G76" i="1"/>
  <c r="Y76" i="1"/>
  <c r="K60" i="16" l="1"/>
  <c r="O60" i="16"/>
  <c r="L60" i="16"/>
  <c r="D56" i="16"/>
  <c r="G60" i="16"/>
  <c r="C37" i="2"/>
  <c r="B56" i="16"/>
  <c r="D60" i="16"/>
  <c r="AI43" i="1"/>
  <c r="M37" i="16" s="1"/>
  <c r="M34" i="16"/>
  <c r="J42" i="2"/>
  <c r="H42" i="16"/>
  <c r="AL43" i="1"/>
  <c r="N37" i="16" s="1"/>
  <c r="N34" i="16"/>
  <c r="K60" i="2"/>
  <c r="I60" i="16"/>
  <c r="AC43" i="1"/>
  <c r="K37" i="16" s="1"/>
  <c r="K34" i="16"/>
  <c r="W43" i="1"/>
  <c r="I37" i="16" s="1"/>
  <c r="I34" i="16"/>
  <c r="G37" i="16"/>
  <c r="H60" i="16"/>
  <c r="N142" i="1"/>
  <c r="K63" i="2"/>
  <c r="I63" i="16"/>
  <c r="H43" i="1"/>
  <c r="D37" i="16" s="1"/>
  <c r="D34" i="16"/>
  <c r="AF43" i="1"/>
  <c r="L37" i="16" s="1"/>
  <c r="L34" i="16"/>
  <c r="H42" i="2"/>
  <c r="G42" i="16"/>
  <c r="J60" i="16"/>
  <c r="E56" i="16"/>
  <c r="H37" i="16"/>
  <c r="Q54" i="2"/>
  <c r="S54" i="2" s="1"/>
  <c r="E54" i="17" s="1"/>
  <c r="N54" i="16"/>
  <c r="C56" i="16"/>
  <c r="M63" i="2"/>
  <c r="K63" i="16"/>
  <c r="L63" i="2"/>
  <c r="J63" i="16"/>
  <c r="L43" i="1"/>
  <c r="E37" i="16" s="1"/>
  <c r="E34" i="16"/>
  <c r="B60" i="16"/>
  <c r="F60" i="16"/>
  <c r="C60" i="16"/>
  <c r="E60" i="16"/>
  <c r="C42" i="2"/>
  <c r="C42" i="16"/>
  <c r="AO43" i="1"/>
  <c r="O37" i="16" s="1"/>
  <c r="O34" i="16"/>
  <c r="Q63" i="2"/>
  <c r="N63" i="16"/>
  <c r="E174" i="1"/>
  <c r="F133" i="1" s="1"/>
  <c r="F174" i="1" s="1"/>
  <c r="H143" i="1"/>
  <c r="D66" i="16"/>
  <c r="E66" i="2"/>
  <c r="O23" i="16"/>
  <c r="H35" i="16"/>
  <c r="M35" i="16"/>
  <c r="M23" i="16"/>
  <c r="O35" i="16"/>
  <c r="K35" i="16"/>
  <c r="J35" i="16"/>
  <c r="I35" i="16"/>
  <c r="K23" i="16"/>
  <c r="J23" i="16"/>
  <c r="I23" i="16"/>
  <c r="L35" i="16"/>
  <c r="N35" i="16"/>
  <c r="L23" i="16"/>
  <c r="H23" i="16"/>
  <c r="N23" i="16"/>
  <c r="H132" i="1"/>
  <c r="R63" i="2"/>
  <c r="D71" i="1"/>
  <c r="D170" i="1" s="1"/>
  <c r="Q79" i="1"/>
  <c r="J63" i="2"/>
  <c r="O63" i="2"/>
  <c r="H76" i="1"/>
  <c r="H74" i="1" s="1"/>
  <c r="U77" i="1"/>
  <c r="U74" i="1" s="1"/>
  <c r="U144" i="1" s="1"/>
  <c r="K79" i="1"/>
  <c r="K74" i="1" s="1"/>
  <c r="AG77" i="1"/>
  <c r="AG74" i="1" s="1"/>
  <c r="AG144" i="1" s="1"/>
  <c r="AH78" i="1"/>
  <c r="I77" i="1"/>
  <c r="I74" i="1" s="1"/>
  <c r="I144" i="1" s="1"/>
  <c r="AI79" i="1"/>
  <c r="G74" i="1"/>
  <c r="Q76" i="1"/>
  <c r="S78" i="1"/>
  <c r="T79" i="1"/>
  <c r="Q60" i="2"/>
  <c r="F60" i="2"/>
  <c r="P78" i="1"/>
  <c r="B56" i="2"/>
  <c r="N76" i="1"/>
  <c r="T76" i="1"/>
  <c r="V78" i="1"/>
  <c r="V74" i="1" s="1"/>
  <c r="V144" i="1" s="1"/>
  <c r="P60" i="2"/>
  <c r="B60" i="2"/>
  <c r="AL79" i="1"/>
  <c r="AI76" i="1"/>
  <c r="Z75" i="1"/>
  <c r="AA77" i="1" s="1"/>
  <c r="L54" i="2"/>
  <c r="L60" i="2"/>
  <c r="K142" i="1"/>
  <c r="E79" i="16" s="1"/>
  <c r="F56" i="2"/>
  <c r="E34" i="2"/>
  <c r="H48" i="1"/>
  <c r="AC48" i="1"/>
  <c r="M34" i="2"/>
  <c r="I54" i="2"/>
  <c r="C54" i="17" s="1"/>
  <c r="L48" i="1"/>
  <c r="F34" i="2"/>
  <c r="W48" i="1"/>
  <c r="K34" i="2"/>
  <c r="AK78" i="1"/>
  <c r="AK74" i="1" s="1"/>
  <c r="AK144" i="1" s="1"/>
  <c r="M60" i="2"/>
  <c r="AC75" i="1"/>
  <c r="AE78" i="1" s="1"/>
  <c r="AE74" i="1" s="1"/>
  <c r="AE144" i="1" s="1"/>
  <c r="M54" i="2"/>
  <c r="O60" i="2"/>
  <c r="R60" i="2"/>
  <c r="P63" i="2"/>
  <c r="E142" i="1"/>
  <c r="C79" i="16" s="1"/>
  <c r="C56" i="2"/>
  <c r="E60" i="2"/>
  <c r="N10" i="2"/>
  <c r="D10" i="17" s="1"/>
  <c r="AI48" i="1"/>
  <c r="P34" i="2"/>
  <c r="Z43" i="1"/>
  <c r="J37" i="16" s="1"/>
  <c r="Z48" i="1"/>
  <c r="L34" i="2"/>
  <c r="G34" i="2"/>
  <c r="N48" i="1"/>
  <c r="N43" i="1"/>
  <c r="F37" i="16" s="1"/>
  <c r="AF48" i="1"/>
  <c r="O34" i="2"/>
  <c r="H37" i="2"/>
  <c r="AO48" i="1"/>
  <c r="R34" i="2"/>
  <c r="H142" i="1"/>
  <c r="D79" i="16" s="1"/>
  <c r="E56" i="2"/>
  <c r="S10" i="2"/>
  <c r="E10" i="17" s="1"/>
  <c r="AQ78" i="1"/>
  <c r="AQ74" i="1" s="1"/>
  <c r="AQ144" i="1" s="1"/>
  <c r="AP77" i="1"/>
  <c r="Q37" i="2"/>
  <c r="J60" i="2"/>
  <c r="C60" i="2"/>
  <c r="I10" i="2"/>
  <c r="C10" i="17" s="1"/>
  <c r="J37" i="2"/>
  <c r="AL48" i="1"/>
  <c r="Q34" i="2"/>
  <c r="H60" i="2"/>
  <c r="G60" i="2"/>
  <c r="N49" i="2"/>
  <c r="D49" i="17" s="1"/>
  <c r="S49" i="2"/>
  <c r="E49" i="17" s="1"/>
  <c r="R35" i="2"/>
  <c r="J35" i="2"/>
  <c r="Q35" i="2"/>
  <c r="P35" i="2"/>
  <c r="O35" i="2"/>
  <c r="AF35" i="1"/>
  <c r="O23" i="2"/>
  <c r="AO35" i="1"/>
  <c r="R23" i="2"/>
  <c r="T35" i="1"/>
  <c r="J23" i="2"/>
  <c r="AL35" i="1"/>
  <c r="Q23" i="2"/>
  <c r="AI35" i="1"/>
  <c r="P23" i="2"/>
  <c r="M35" i="2"/>
  <c r="L35" i="2"/>
  <c r="K35" i="2"/>
  <c r="AC35" i="1"/>
  <c r="M23" i="2"/>
  <c r="Z35" i="1"/>
  <c r="L23" i="2"/>
  <c r="W35" i="1"/>
  <c r="K23" i="2"/>
  <c r="N13" i="2"/>
  <c r="D13" i="17" s="1"/>
  <c r="S13" i="2"/>
  <c r="E13" i="17" s="1"/>
  <c r="J71" i="1"/>
  <c r="J170" i="1" s="1"/>
  <c r="G71" i="1"/>
  <c r="G170" i="1" s="1"/>
  <c r="O71" i="1"/>
  <c r="O170" i="1" s="1"/>
  <c r="M71" i="1"/>
  <c r="M170" i="1" s="1"/>
  <c r="D89" i="1"/>
  <c r="I71" i="1"/>
  <c r="I170" i="1" s="1"/>
  <c r="F71" i="1"/>
  <c r="F170" i="1" s="1"/>
  <c r="K71" i="1"/>
  <c r="K170" i="1" s="1"/>
  <c r="L71" i="1"/>
  <c r="L170" i="1" s="1"/>
  <c r="H71" i="1"/>
  <c r="H170" i="1" s="1"/>
  <c r="N71" i="1"/>
  <c r="N170" i="1" s="1"/>
  <c r="E71" i="1"/>
  <c r="E170" i="1" s="1"/>
  <c r="F89" i="1"/>
  <c r="B79" i="2"/>
  <c r="H89" i="1"/>
  <c r="E89" i="1"/>
  <c r="I89" i="1"/>
  <c r="G89" i="1"/>
  <c r="K89" i="1"/>
  <c r="N89" i="1"/>
  <c r="J89" i="1"/>
  <c r="L89" i="1"/>
  <c r="M89" i="1"/>
  <c r="Y89" i="1"/>
  <c r="P89" i="1"/>
  <c r="O89" i="1"/>
  <c r="T89" i="1"/>
  <c r="Q89" i="1"/>
  <c r="X89" i="1"/>
  <c r="R89" i="1"/>
  <c r="AC89" i="1"/>
  <c r="W89" i="1"/>
  <c r="U89" i="1"/>
  <c r="AA89" i="1"/>
  <c r="Z89" i="1"/>
  <c r="AB89" i="1"/>
  <c r="V89" i="1"/>
  <c r="S89" i="1"/>
  <c r="AD69" i="1"/>
  <c r="W67" i="1"/>
  <c r="J178" i="1"/>
  <c r="I154" i="1"/>
  <c r="I132" i="1" s="1"/>
  <c r="AP89" i="1"/>
  <c r="AL89" i="1"/>
  <c r="AM89" i="1"/>
  <c r="AD89" i="1"/>
  <c r="AK89" i="1"/>
  <c r="AI89" i="1"/>
  <c r="AE89" i="1"/>
  <c r="AH89" i="1"/>
  <c r="AJ89" i="1"/>
  <c r="AG89" i="1"/>
  <c r="AN89" i="1"/>
  <c r="AF89" i="1"/>
  <c r="AQ89" i="1"/>
  <c r="AO89" i="1"/>
  <c r="AC68" i="1"/>
  <c r="AE70" i="1"/>
  <c r="AJ67" i="1"/>
  <c r="AL65" i="1"/>
  <c r="AM70" i="1"/>
  <c r="AM65" i="1" s="1"/>
  <c r="AM142" i="1" s="1"/>
  <c r="Y69" i="1"/>
  <c r="AK68" i="1"/>
  <c r="Z70" i="1"/>
  <c r="AP67" i="1"/>
  <c r="T65" i="1"/>
  <c r="AI68" i="1"/>
  <c r="AI67" i="1"/>
  <c r="U65" i="1"/>
  <c r="U142" i="1" s="1"/>
  <c r="AG70" i="1"/>
  <c r="AP68" i="1"/>
  <c r="Y68" i="1"/>
  <c r="AF68" i="1"/>
  <c r="AP69" i="1"/>
  <c r="AQ70" i="1"/>
  <c r="AQ65" i="1" s="1"/>
  <c r="AQ142" i="1" s="1"/>
  <c r="AO68" i="1"/>
  <c r="AE68" i="1"/>
  <c r="AK69" i="1"/>
  <c r="AN67" i="1"/>
  <c r="AN65" i="1" s="1"/>
  <c r="AN142" i="1" s="1"/>
  <c r="Y70" i="1"/>
  <c r="AE67" i="1"/>
  <c r="AE69" i="1"/>
  <c r="AC67" i="1"/>
  <c r="AJ68" i="1"/>
  <c r="AD68" i="1"/>
  <c r="AJ69" i="1"/>
  <c r="Z69" i="1"/>
  <c r="W68" i="1"/>
  <c r="AG69" i="1"/>
  <c r="V67" i="1"/>
  <c r="V65" i="1" s="1"/>
  <c r="V142" i="1" s="1"/>
  <c r="AH67" i="1"/>
  <c r="AH65" i="1" s="1"/>
  <c r="AH142" i="1" s="1"/>
  <c r="X67" i="1"/>
  <c r="X65" i="1" s="1"/>
  <c r="X142" i="1" s="1"/>
  <c r="AO67" i="1"/>
  <c r="AF69" i="1"/>
  <c r="AL75" i="1"/>
  <c r="AN78" i="1" s="1"/>
  <c r="E29" i="1"/>
  <c r="E41" i="1"/>
  <c r="AH77" i="1"/>
  <c r="W74" i="1"/>
  <c r="Z79" i="1"/>
  <c r="X77" i="1"/>
  <c r="X74" i="1" s="1"/>
  <c r="X144" i="1" s="1"/>
  <c r="Y78" i="1"/>
  <c r="J74" i="1"/>
  <c r="J144" i="1" s="1"/>
  <c r="O79" i="1"/>
  <c r="O74" i="1" s="1"/>
  <c r="O144" i="1" s="1"/>
  <c r="M77" i="1"/>
  <c r="M74" i="1" s="1"/>
  <c r="M144" i="1" s="1"/>
  <c r="AA79" i="1"/>
  <c r="AI78" i="1"/>
  <c r="Y77" i="1"/>
  <c r="AJ79" i="1"/>
  <c r="AJ74" i="1" s="1"/>
  <c r="AJ144" i="1" s="1"/>
  <c r="N78" i="1"/>
  <c r="Z78" i="1"/>
  <c r="L74" i="1"/>
  <c r="L144" i="1" s="1"/>
  <c r="P76" i="1"/>
  <c r="AM78" i="1"/>
  <c r="S79" i="1"/>
  <c r="AN79" i="1"/>
  <c r="AP78" i="1"/>
  <c r="AO77" i="1"/>
  <c r="AN76" i="1"/>
  <c r="AL77" i="1"/>
  <c r="R78" i="1"/>
  <c r="R74" i="1" s="1"/>
  <c r="R144" i="1" s="1"/>
  <c r="R37" i="2" l="1"/>
  <c r="E37" i="2"/>
  <c r="P37" i="2"/>
  <c r="M37" i="2"/>
  <c r="F37" i="2"/>
  <c r="K37" i="2"/>
  <c r="O37" i="2"/>
  <c r="N56" i="16"/>
  <c r="F98" i="2"/>
  <c r="E98" i="16"/>
  <c r="M42" i="2"/>
  <c r="K42" i="16"/>
  <c r="D58" i="16"/>
  <c r="H56" i="16"/>
  <c r="C98" i="2"/>
  <c r="D98" i="2" s="1"/>
  <c r="B98" i="17" s="1"/>
  <c r="C98" i="16"/>
  <c r="R42" i="2"/>
  <c r="O42" i="16"/>
  <c r="L42" i="2"/>
  <c r="J42" i="16"/>
  <c r="E42" i="2"/>
  <c r="D42" i="16"/>
  <c r="E98" i="2"/>
  <c r="D98" i="16"/>
  <c r="Q42" i="2"/>
  <c r="N42" i="16"/>
  <c r="K42" i="2"/>
  <c r="N42" i="2" s="1"/>
  <c r="D42" i="17" s="1"/>
  <c r="I42" i="16"/>
  <c r="G42" i="2"/>
  <c r="F42" i="16"/>
  <c r="B98" i="2"/>
  <c r="B98" i="16"/>
  <c r="O42" i="2"/>
  <c r="L42" i="16"/>
  <c r="P42" i="2"/>
  <c r="M42" i="16"/>
  <c r="F42" i="2"/>
  <c r="E42" i="16"/>
  <c r="E58" i="16"/>
  <c r="E105" i="2"/>
  <c r="D105" i="16"/>
  <c r="D80" i="16"/>
  <c r="E80" i="2"/>
  <c r="I80" i="2" s="1"/>
  <c r="C80" i="17" s="1"/>
  <c r="Z49" i="1"/>
  <c r="J29" i="16"/>
  <c r="AF49" i="1"/>
  <c r="L29" i="16"/>
  <c r="AL49" i="1"/>
  <c r="N29" i="16"/>
  <c r="W49" i="1"/>
  <c r="I29" i="16"/>
  <c r="AC49" i="1"/>
  <c r="K29" i="16"/>
  <c r="T49" i="1"/>
  <c r="H29" i="16"/>
  <c r="AI49" i="1"/>
  <c r="M29" i="16"/>
  <c r="AO49" i="1"/>
  <c r="O29" i="16"/>
  <c r="I141" i="1"/>
  <c r="C79" i="2"/>
  <c r="D79" i="2" s="1"/>
  <c r="B79" i="17" s="1"/>
  <c r="E79" i="2"/>
  <c r="F79" i="2"/>
  <c r="G133" i="1"/>
  <c r="G174" i="1" s="1"/>
  <c r="C102" i="16" s="1"/>
  <c r="AH74" i="1"/>
  <c r="AH144" i="1" s="1"/>
  <c r="T74" i="1"/>
  <c r="G144" i="1"/>
  <c r="G141" i="1" s="1"/>
  <c r="P74" i="1"/>
  <c r="P144" i="1" s="1"/>
  <c r="N63" i="2"/>
  <c r="D63" i="17" s="1"/>
  <c r="Q74" i="1"/>
  <c r="AP74" i="1"/>
  <c r="AP144" i="1" s="1"/>
  <c r="N74" i="1"/>
  <c r="S74" i="1"/>
  <c r="S144" i="1" s="1"/>
  <c r="AD77" i="1"/>
  <c r="AD74" i="1" s="1"/>
  <c r="AD144" i="1" s="1"/>
  <c r="AF79" i="1"/>
  <c r="AF74" i="1" s="1"/>
  <c r="AC76" i="1"/>
  <c r="AA74" i="1"/>
  <c r="AA144" i="1" s="1"/>
  <c r="Z76" i="1"/>
  <c r="Z74" i="1" s="1"/>
  <c r="AB78" i="1"/>
  <c r="AB74" i="1" s="1"/>
  <c r="AB144" i="1" s="1"/>
  <c r="AC79" i="1"/>
  <c r="N60" i="2"/>
  <c r="D60" i="17" s="1"/>
  <c r="S63" i="2"/>
  <c r="E63" i="17" s="1"/>
  <c r="AI74" i="1"/>
  <c r="N34" i="2"/>
  <c r="D34" i="17" s="1"/>
  <c r="E58" i="2"/>
  <c r="S37" i="2"/>
  <c r="E37" i="17" s="1"/>
  <c r="W144" i="1"/>
  <c r="L37" i="2"/>
  <c r="N37" i="2" s="1"/>
  <c r="D37" i="17" s="1"/>
  <c r="G37" i="2"/>
  <c r="N54" i="2"/>
  <c r="D54" i="17" s="1"/>
  <c r="D60" i="2"/>
  <c r="B60" i="17" s="1"/>
  <c r="D56" i="2"/>
  <c r="B56" i="17" s="1"/>
  <c r="I34" i="2"/>
  <c r="C34" i="17" s="1"/>
  <c r="K144" i="1"/>
  <c r="F58" i="2"/>
  <c r="S34" i="2"/>
  <c r="E34" i="17" s="1"/>
  <c r="S60" i="2"/>
  <c r="E60" i="17" s="1"/>
  <c r="I60" i="2"/>
  <c r="C60" i="17" s="1"/>
  <c r="AL142" i="1"/>
  <c r="N79" i="16" s="1"/>
  <c r="Q56" i="2"/>
  <c r="T142" i="1"/>
  <c r="H79" i="16" s="1"/>
  <c r="J56" i="2"/>
  <c r="S35" i="2"/>
  <c r="E35" i="17" s="1"/>
  <c r="N35" i="2"/>
  <c r="D35" i="17" s="1"/>
  <c r="Q29" i="2"/>
  <c r="R29" i="2"/>
  <c r="N23" i="2"/>
  <c r="D23" i="17" s="1"/>
  <c r="S23" i="2"/>
  <c r="E23" i="17" s="1"/>
  <c r="K29" i="2"/>
  <c r="L29" i="2"/>
  <c r="P29" i="2"/>
  <c r="J29" i="2"/>
  <c r="O29" i="2"/>
  <c r="M29" i="2"/>
  <c r="AD65" i="1"/>
  <c r="AD142" i="1" s="1"/>
  <c r="AL76" i="1"/>
  <c r="AL74" i="1" s="1"/>
  <c r="AC65" i="1"/>
  <c r="W65" i="1"/>
  <c r="K178" i="1"/>
  <c r="J154" i="1"/>
  <c r="J132" i="1" s="1"/>
  <c r="D71" i="16" s="1"/>
  <c r="AK65" i="1"/>
  <c r="AK142" i="1" s="1"/>
  <c r="H144" i="1"/>
  <c r="Z65" i="1"/>
  <c r="J56" i="16" s="1"/>
  <c r="AI65" i="1"/>
  <c r="Y65" i="1"/>
  <c r="Y142" i="1" s="1"/>
  <c r="AP65" i="1"/>
  <c r="AP142" i="1" s="1"/>
  <c r="AG65" i="1"/>
  <c r="AG142" i="1" s="1"/>
  <c r="AO79" i="1"/>
  <c r="AO74" i="1" s="1"/>
  <c r="AO65" i="1"/>
  <c r="AE65" i="1"/>
  <c r="AE142" i="1" s="1"/>
  <c r="AF65" i="1"/>
  <c r="AM77" i="1"/>
  <c r="AM74" i="1" s="1"/>
  <c r="AM144" i="1" s="1"/>
  <c r="AJ65" i="1"/>
  <c r="AJ142" i="1" s="1"/>
  <c r="E35" i="1"/>
  <c r="Y74" i="1"/>
  <c r="K58" i="2" s="1"/>
  <c r="AN74" i="1"/>
  <c r="AN144" i="1" s="1"/>
  <c r="I37" i="2" l="1"/>
  <c r="C37" i="17" s="1"/>
  <c r="L58" i="16"/>
  <c r="L56" i="16"/>
  <c r="I42" i="2"/>
  <c r="C42" i="17" s="1"/>
  <c r="I56" i="16"/>
  <c r="F58" i="16"/>
  <c r="S42" i="2"/>
  <c r="E42" i="17" s="1"/>
  <c r="O56" i="16"/>
  <c r="J58" i="16"/>
  <c r="Q144" i="1"/>
  <c r="G58" i="16"/>
  <c r="D81" i="16"/>
  <c r="E81" i="2"/>
  <c r="O58" i="16"/>
  <c r="I58" i="16"/>
  <c r="E49" i="1"/>
  <c r="K56" i="16"/>
  <c r="J58" i="2"/>
  <c r="H58" i="16"/>
  <c r="AI144" i="1"/>
  <c r="M58" i="16"/>
  <c r="M56" i="16"/>
  <c r="N58" i="16"/>
  <c r="E81" i="16"/>
  <c r="F81" i="2"/>
  <c r="D85" i="16"/>
  <c r="C72" i="16"/>
  <c r="E85" i="2"/>
  <c r="K43" i="2"/>
  <c r="I43" i="16"/>
  <c r="P43" i="2"/>
  <c r="M43" i="16"/>
  <c r="Q43" i="2"/>
  <c r="N43" i="16"/>
  <c r="J43" i="2"/>
  <c r="H43" i="16"/>
  <c r="O43" i="2"/>
  <c r="L43" i="16"/>
  <c r="R43" i="2"/>
  <c r="O43" i="16"/>
  <c r="M43" i="2"/>
  <c r="K43" i="16"/>
  <c r="L43" i="2"/>
  <c r="J43" i="16"/>
  <c r="J141" i="1"/>
  <c r="J79" i="2"/>
  <c r="Q79" i="2"/>
  <c r="C102" i="2"/>
  <c r="D102" i="2" s="1"/>
  <c r="B102" i="17" s="1"/>
  <c r="C72" i="2"/>
  <c r="H133" i="1"/>
  <c r="T144" i="1"/>
  <c r="O58" i="2"/>
  <c r="P58" i="2"/>
  <c r="G58" i="2"/>
  <c r="AC74" i="1"/>
  <c r="K58" i="16" s="1"/>
  <c r="N144" i="1"/>
  <c r="H58" i="2"/>
  <c r="AF144" i="1"/>
  <c r="AO144" i="1"/>
  <c r="R58" i="2"/>
  <c r="AL144" i="1"/>
  <c r="Q58" i="2"/>
  <c r="Z144" i="1"/>
  <c r="L58" i="2"/>
  <c r="AI142" i="1"/>
  <c r="M79" i="16" s="1"/>
  <c r="P56" i="2"/>
  <c r="AO142" i="1"/>
  <c r="O79" i="16" s="1"/>
  <c r="R56" i="2"/>
  <c r="Z142" i="1"/>
  <c r="J79" i="16" s="1"/>
  <c r="L56" i="2"/>
  <c r="AC142" i="1"/>
  <c r="K79" i="16" s="1"/>
  <c r="M56" i="2"/>
  <c r="AF142" i="1"/>
  <c r="L79" i="16" s="1"/>
  <c r="O56" i="2"/>
  <c r="W142" i="1"/>
  <c r="I79" i="16" s="1"/>
  <c r="K56" i="2"/>
  <c r="S29" i="2"/>
  <c r="E29" i="17" s="1"/>
  <c r="N29" i="2"/>
  <c r="D29" i="17" s="1"/>
  <c r="E71" i="2"/>
  <c r="L178" i="1"/>
  <c r="K154" i="1"/>
  <c r="Y144" i="1"/>
  <c r="I81" i="16" s="1"/>
  <c r="O81" i="16" l="1"/>
  <c r="R81" i="2"/>
  <c r="H81" i="16"/>
  <c r="J81" i="2"/>
  <c r="M81" i="16"/>
  <c r="P81" i="2"/>
  <c r="K81" i="2"/>
  <c r="F81" i="16"/>
  <c r="G81" i="2"/>
  <c r="L81" i="16"/>
  <c r="O81" i="2"/>
  <c r="G81" i="16"/>
  <c r="H81" i="2"/>
  <c r="J81" i="16"/>
  <c r="L81" i="2"/>
  <c r="N81" i="16"/>
  <c r="Q81" i="2"/>
  <c r="S43" i="2"/>
  <c r="E43" i="17" s="1"/>
  <c r="N43" i="2"/>
  <c r="D43" i="17" s="1"/>
  <c r="K132" i="1"/>
  <c r="K79" i="2"/>
  <c r="R79" i="2"/>
  <c r="P79" i="2"/>
  <c r="O79" i="2"/>
  <c r="M79" i="2"/>
  <c r="L79" i="2"/>
  <c r="H174" i="1"/>
  <c r="I133" i="1" s="1"/>
  <c r="D72" i="2"/>
  <c r="B72" i="17" s="1"/>
  <c r="M58" i="2"/>
  <c r="AC144" i="1"/>
  <c r="I58" i="2"/>
  <c r="C58" i="17" s="1"/>
  <c r="S58" i="2"/>
  <c r="E58" i="17" s="1"/>
  <c r="N56" i="2"/>
  <c r="D56" i="17" s="1"/>
  <c r="S56" i="2"/>
  <c r="E56" i="17" s="1"/>
  <c r="M178" i="1"/>
  <c r="L154" i="1"/>
  <c r="L141" i="1" s="1"/>
  <c r="S81" i="2" l="1"/>
  <c r="E81" i="17" s="1"/>
  <c r="I81" i="2"/>
  <c r="C81" i="17" s="1"/>
  <c r="K81" i="16"/>
  <c r="M81" i="2"/>
  <c r="N81" i="2" s="1"/>
  <c r="D81" i="17" s="1"/>
  <c r="F105" i="2"/>
  <c r="E105" i="16"/>
  <c r="S79" i="2"/>
  <c r="E79" i="17" s="1"/>
  <c r="N79" i="2"/>
  <c r="D79" i="17" s="1"/>
  <c r="L132" i="1"/>
  <c r="I174" i="1"/>
  <c r="N58" i="2"/>
  <c r="D58" i="17" s="1"/>
  <c r="N178" i="1"/>
  <c r="M154" i="1"/>
  <c r="M141" i="1" s="1"/>
  <c r="E85" i="16" l="1"/>
  <c r="F85" i="2"/>
  <c r="M132" i="1"/>
  <c r="J133" i="1"/>
  <c r="O178" i="1"/>
  <c r="N154" i="1"/>
  <c r="E72" i="2" l="1"/>
  <c r="D72" i="16"/>
  <c r="F71" i="2"/>
  <c r="E71" i="16"/>
  <c r="N132" i="1"/>
  <c r="J174" i="1"/>
  <c r="D102" i="16" s="1"/>
  <c r="P178" i="1"/>
  <c r="O154" i="1"/>
  <c r="O141" i="1" s="1"/>
  <c r="G105" i="2" l="1"/>
  <c r="F105" i="16"/>
  <c r="O132" i="1"/>
  <c r="E102" i="2"/>
  <c r="K133" i="1"/>
  <c r="Q178" i="1"/>
  <c r="P154" i="1"/>
  <c r="K174" i="1" l="1"/>
  <c r="L133" i="1" s="1"/>
  <c r="P132" i="1"/>
  <c r="G71" i="2" s="1"/>
  <c r="F85" i="16"/>
  <c r="G85" i="2"/>
  <c r="R178" i="1"/>
  <c r="Q154" i="1"/>
  <c r="F71" i="16" l="1"/>
  <c r="L174" i="1"/>
  <c r="M133" i="1" s="1"/>
  <c r="Q132" i="1"/>
  <c r="S178" i="1"/>
  <c r="R154" i="1"/>
  <c r="R132" i="1" s="1"/>
  <c r="F72" i="2" l="1"/>
  <c r="E72" i="16"/>
  <c r="H105" i="2"/>
  <c r="I105" i="2" s="1"/>
  <c r="C105" i="17" s="1"/>
  <c r="G105" i="16"/>
  <c r="M174" i="1"/>
  <c r="E102" i="16" s="1"/>
  <c r="T178" i="1"/>
  <c r="S154" i="1"/>
  <c r="H85" i="2" s="1"/>
  <c r="I85" i="2" s="1"/>
  <c r="C85" i="17" s="1"/>
  <c r="G85" i="16" l="1"/>
  <c r="S132" i="1"/>
  <c r="T99" i="1"/>
  <c r="T98" i="1" s="1"/>
  <c r="F102" i="2"/>
  <c r="N133" i="1"/>
  <c r="U178" i="1"/>
  <c r="T154" i="1"/>
  <c r="T143" i="1" l="1"/>
  <c r="H66" i="16"/>
  <c r="J66" i="2"/>
  <c r="H71" i="2"/>
  <c r="I71" i="2" s="1"/>
  <c r="C71" i="17" s="1"/>
  <c r="G71" i="16"/>
  <c r="T132" i="1"/>
  <c r="N174" i="1"/>
  <c r="V178" i="1"/>
  <c r="U154" i="1"/>
  <c r="U141" i="1" s="1"/>
  <c r="J105" i="2" l="1"/>
  <c r="H105" i="16"/>
  <c r="H80" i="16"/>
  <c r="J80" i="2"/>
  <c r="N80" i="2" s="1"/>
  <c r="D80" i="17" s="1"/>
  <c r="U132" i="1"/>
  <c r="O133" i="1"/>
  <c r="W178" i="1"/>
  <c r="V154" i="1"/>
  <c r="J85" i="2" s="1"/>
  <c r="O174" i="1" l="1"/>
  <c r="P133" i="1" s="1"/>
  <c r="V141" i="1"/>
  <c r="H85" i="16"/>
  <c r="V132" i="1"/>
  <c r="X178" i="1"/>
  <c r="W154" i="1"/>
  <c r="G72" i="2" l="1"/>
  <c r="F72" i="16"/>
  <c r="J71" i="2"/>
  <c r="H71" i="16"/>
  <c r="W132" i="1"/>
  <c r="P174" i="1"/>
  <c r="F102" i="16" s="1"/>
  <c r="Y178" i="1"/>
  <c r="X154" i="1"/>
  <c r="X141" i="1" s="1"/>
  <c r="K105" i="2" l="1"/>
  <c r="I105" i="16"/>
  <c r="X132" i="1"/>
  <c r="Q133" i="1"/>
  <c r="G102" i="2"/>
  <c r="Z178" i="1"/>
  <c r="Y154" i="1"/>
  <c r="K85" i="2" s="1"/>
  <c r="Q174" i="1" l="1"/>
  <c r="R133" i="1" s="1"/>
  <c r="Y141" i="1"/>
  <c r="I85" i="16"/>
  <c r="Y132" i="1"/>
  <c r="K71" i="2" s="1"/>
  <c r="AA178" i="1"/>
  <c r="Z154" i="1"/>
  <c r="I71" i="16" l="1"/>
  <c r="R174" i="1"/>
  <c r="S133" i="1" s="1"/>
  <c r="Z132" i="1"/>
  <c r="AB178" i="1"/>
  <c r="AA154" i="1"/>
  <c r="AA141" i="1" s="1"/>
  <c r="H72" i="2" l="1"/>
  <c r="I72" i="2" s="1"/>
  <c r="C72" i="17" s="1"/>
  <c r="G72" i="16"/>
  <c r="L105" i="2"/>
  <c r="J105" i="16"/>
  <c r="AA132" i="1"/>
  <c r="S174" i="1"/>
  <c r="AC178" i="1"/>
  <c r="AB154" i="1"/>
  <c r="AB141" i="1" s="1"/>
  <c r="J85" i="16" l="1"/>
  <c r="L85" i="2"/>
  <c r="H102" i="2"/>
  <c r="I102" i="2" s="1"/>
  <c r="C102" i="17" s="1"/>
  <c r="G102" i="16"/>
  <c r="AB132" i="1"/>
  <c r="L71" i="2" s="1"/>
  <c r="T133" i="1"/>
  <c r="AD178" i="1"/>
  <c r="AC154" i="1"/>
  <c r="J71" i="16" l="1"/>
  <c r="T174" i="1"/>
  <c r="U133" i="1" s="1"/>
  <c r="U174" i="1" s="1"/>
  <c r="V133" i="1" s="1"/>
  <c r="AC132" i="1"/>
  <c r="AE178" i="1"/>
  <c r="AD154" i="1"/>
  <c r="AD141" i="1" s="1"/>
  <c r="J72" i="2" l="1"/>
  <c r="H72" i="16"/>
  <c r="M105" i="2"/>
  <c r="N105" i="2" s="1"/>
  <c r="D105" i="17" s="1"/>
  <c r="K105" i="16"/>
  <c r="AD132" i="1"/>
  <c r="V174" i="1"/>
  <c r="AF178" i="1"/>
  <c r="AE154" i="1"/>
  <c r="W133" i="1" l="1"/>
  <c r="H102" i="16"/>
  <c r="AE141" i="1"/>
  <c r="K85" i="16"/>
  <c r="M85" i="2"/>
  <c r="N85" i="2" s="1"/>
  <c r="D85" i="17" s="1"/>
  <c r="AE132" i="1"/>
  <c r="M71" i="2" s="1"/>
  <c r="AF99" i="1"/>
  <c r="AF98" i="1" s="1"/>
  <c r="J102" i="2"/>
  <c r="AG178" i="1"/>
  <c r="AF154" i="1"/>
  <c r="W174" i="1" l="1"/>
  <c r="X133" i="1" s="1"/>
  <c r="X174" i="1" s="1"/>
  <c r="Y133" i="1" s="1"/>
  <c r="K71" i="16"/>
  <c r="AF143" i="1"/>
  <c r="L66" i="16"/>
  <c r="O66" i="2"/>
  <c r="AF132" i="1"/>
  <c r="N71" i="2"/>
  <c r="D71" i="17" s="1"/>
  <c r="AH178" i="1"/>
  <c r="AG154" i="1"/>
  <c r="AG141" i="1" s="1"/>
  <c r="K72" i="2" l="1"/>
  <c r="I72" i="16"/>
  <c r="O105" i="2"/>
  <c r="L105" i="16"/>
  <c r="L80" i="16"/>
  <c r="O80" i="2"/>
  <c r="AG132" i="1"/>
  <c r="Y174" i="1"/>
  <c r="N66" i="2"/>
  <c r="D66" i="17" s="1"/>
  <c r="AI178" i="1"/>
  <c r="AH154" i="1"/>
  <c r="O85" i="2" s="1"/>
  <c r="K102" i="2" l="1"/>
  <c r="I102" i="16"/>
  <c r="AH141" i="1"/>
  <c r="L85" i="16"/>
  <c r="AH132" i="1"/>
  <c r="O71" i="2" s="1"/>
  <c r="Z133" i="1"/>
  <c r="AJ178" i="1"/>
  <c r="AI154" i="1"/>
  <c r="L71" i="16" l="1"/>
  <c r="Z174" i="1"/>
  <c r="AA133" i="1" s="1"/>
  <c r="AA174" i="1" s="1"/>
  <c r="AB133" i="1" s="1"/>
  <c r="AI132" i="1"/>
  <c r="AK178" i="1"/>
  <c r="AJ154" i="1"/>
  <c r="AJ141" i="1" s="1"/>
  <c r="AB174" i="1" l="1"/>
  <c r="J102" i="16" s="1"/>
  <c r="J72" i="16"/>
  <c r="P105" i="2"/>
  <c r="M105" i="16"/>
  <c r="AJ132" i="1"/>
  <c r="L72" i="2"/>
  <c r="AL178" i="1"/>
  <c r="AK154" i="1"/>
  <c r="P85" i="2" s="1"/>
  <c r="AC133" i="1" l="1"/>
  <c r="L102" i="2"/>
  <c r="AK141" i="1"/>
  <c r="M85" i="16"/>
  <c r="AK132" i="1"/>
  <c r="P71" i="2" s="1"/>
  <c r="AM178" i="1"/>
  <c r="AL154" i="1"/>
  <c r="M71" i="16" l="1"/>
  <c r="AC174" i="1"/>
  <c r="AD133" i="1" s="1"/>
  <c r="AD174" i="1" s="1"/>
  <c r="AE133" i="1" s="1"/>
  <c r="AL132" i="1"/>
  <c r="AN178" i="1"/>
  <c r="AM154" i="1"/>
  <c r="AM141" i="1" s="1"/>
  <c r="M72" i="2" l="1"/>
  <c r="N72" i="2" s="1"/>
  <c r="D72" i="17" s="1"/>
  <c r="K72" i="16"/>
  <c r="Q105" i="2"/>
  <c r="N105" i="16"/>
  <c r="AM132" i="1"/>
  <c r="AE174" i="1"/>
  <c r="AO178" i="1"/>
  <c r="AN154" i="1"/>
  <c r="AN141" i="1" s="1"/>
  <c r="Q85" i="2" l="1"/>
  <c r="N85" i="16"/>
  <c r="M102" i="2"/>
  <c r="N102" i="2" s="1"/>
  <c r="D102" i="17" s="1"/>
  <c r="K102" i="16"/>
  <c r="AN132" i="1"/>
  <c r="Q71" i="2" s="1"/>
  <c r="AF133" i="1"/>
  <c r="AP178" i="1"/>
  <c r="AO154" i="1"/>
  <c r="N71" i="16" l="1"/>
  <c r="AF174" i="1"/>
  <c r="AG133" i="1" s="1"/>
  <c r="AO132" i="1"/>
  <c r="AQ178" i="1"/>
  <c r="AP154" i="1"/>
  <c r="AP141" i="1" s="1"/>
  <c r="AG174" i="1" l="1"/>
  <c r="AH133" i="1" s="1"/>
  <c r="O72" i="2" s="1"/>
  <c r="R105" i="2"/>
  <c r="S105" i="2" s="1"/>
  <c r="E105" i="17" s="1"/>
  <c r="O105" i="16"/>
  <c r="AP132" i="1"/>
  <c r="AQ154" i="1"/>
  <c r="O85" i="16" s="1"/>
  <c r="AH174" i="1" l="1"/>
  <c r="L72" i="16"/>
  <c r="R85" i="2"/>
  <c r="S85" i="2" s="1"/>
  <c r="E85" i="17" s="1"/>
  <c r="AQ132" i="1"/>
  <c r="AQ99" i="1"/>
  <c r="AQ98" i="1" s="1"/>
  <c r="L102" i="16" l="1"/>
  <c r="O102" i="2"/>
  <c r="AI133" i="1"/>
  <c r="AQ143" i="1"/>
  <c r="O66" i="16"/>
  <c r="R66" i="2"/>
  <c r="S66" i="2" s="1"/>
  <c r="E66" i="17" s="1"/>
  <c r="R71" i="2"/>
  <c r="S71" i="2" s="1"/>
  <c r="E71" i="17" s="1"/>
  <c r="O71" i="16"/>
  <c r="AI174" i="1" l="1"/>
  <c r="AJ133" i="1" s="1"/>
  <c r="AJ174" i="1" s="1"/>
  <c r="O80" i="16"/>
  <c r="R80" i="2"/>
  <c r="S80" i="2" s="1"/>
  <c r="E80" i="17" s="1"/>
  <c r="AK133" i="1" l="1"/>
  <c r="AK174" i="1" l="1"/>
  <c r="M102" i="16" s="1"/>
  <c r="M72" i="16"/>
  <c r="P72" i="2"/>
  <c r="P102" i="2" l="1"/>
  <c r="AL133" i="1"/>
  <c r="AL174" i="1" l="1"/>
  <c r="AM133" i="1" s="1"/>
  <c r="AM174" i="1" l="1"/>
  <c r="AN133" i="1" l="1"/>
  <c r="Q72" i="2" l="1"/>
  <c r="N72" i="16"/>
  <c r="AN174" i="1"/>
  <c r="Q102" i="2" l="1"/>
  <c r="N102" i="16"/>
  <c r="AO133" i="1"/>
  <c r="AO174" i="1" l="1"/>
  <c r="AP133" i="1" s="1"/>
  <c r="AP174" i="1" s="1"/>
  <c r="AQ133" i="1" s="1"/>
  <c r="R72" i="2" s="1"/>
  <c r="C41" i="3"/>
  <c r="C42" i="3" s="1"/>
  <c r="O72" i="16" l="1"/>
  <c r="S72" i="2"/>
  <c r="E72" i="17" s="1"/>
  <c r="AQ174" i="1"/>
  <c r="F16" i="1"/>
  <c r="F41" i="1" l="1"/>
  <c r="R102" i="2"/>
  <c r="S102" i="2" s="1"/>
  <c r="E102" i="17" s="1"/>
  <c r="O102" i="16"/>
  <c r="F29" i="1"/>
  <c r="F35" i="1" l="1"/>
  <c r="F49" i="1" l="1"/>
  <c r="V161" i="1" l="1"/>
  <c r="G161" i="1"/>
  <c r="AE161" i="1"/>
  <c r="AK161" i="1"/>
  <c r="J161" i="1"/>
  <c r="AG161" i="1"/>
  <c r="AH161" i="1"/>
  <c r="AP161" i="1"/>
  <c r="O161" i="1"/>
  <c r="Y161" i="1"/>
  <c r="I161" i="1"/>
  <c r="U161" i="1"/>
  <c r="AA161" i="1"/>
  <c r="M161" i="1"/>
  <c r="AD161" i="1"/>
  <c r="AJ161" i="1"/>
  <c r="L161" i="1"/>
  <c r="AB161" i="1"/>
  <c r="AM161" i="1"/>
  <c r="AN161" i="1"/>
  <c r="X161" i="1"/>
  <c r="P42" i="1" l="1"/>
  <c r="F36" i="16" s="1"/>
  <c r="P8" i="1"/>
  <c r="C16" i="1"/>
  <c r="B13" i="16" s="1"/>
  <c r="P6" i="1"/>
  <c r="P56" i="1" l="1"/>
  <c r="F50" i="16" s="1"/>
  <c r="F5" i="16"/>
  <c r="P58" i="1"/>
  <c r="F52" i="16" s="1"/>
  <c r="F7" i="16"/>
  <c r="G7" i="2"/>
  <c r="I7" i="2" s="1"/>
  <c r="C7" i="17" s="1"/>
  <c r="B11" i="2"/>
  <c r="D11" i="2" s="1"/>
  <c r="B11" i="17" s="1"/>
  <c r="C11" i="1"/>
  <c r="B10" i="16" s="1"/>
  <c r="C61" i="1"/>
  <c r="B54" i="16" s="1"/>
  <c r="B13" i="2"/>
  <c r="C41" i="1"/>
  <c r="B35" i="16" s="1"/>
  <c r="C29" i="1"/>
  <c r="B23" i="16" s="1"/>
  <c r="B24" i="16" s="1"/>
  <c r="C21" i="16" s="1"/>
  <c r="G5" i="2"/>
  <c r="I17" i="1"/>
  <c r="I16" i="1" s="1"/>
  <c r="O17" i="1"/>
  <c r="O16" i="1" s="1"/>
  <c r="J17" i="1"/>
  <c r="J16" i="1" s="1"/>
  <c r="Q17" i="1"/>
  <c r="G14" i="16" s="1"/>
  <c r="P17" i="1"/>
  <c r="P16" i="1" s="1"/>
  <c r="P29" i="1" s="1"/>
  <c r="L17" i="1"/>
  <c r="L16" i="1" s="1"/>
  <c r="N17" i="1"/>
  <c r="B24" i="1"/>
  <c r="K17" i="1"/>
  <c r="M16" i="1"/>
  <c r="H17" i="1"/>
  <c r="B14" i="2"/>
  <c r="G36" i="2"/>
  <c r="I36" i="2" s="1"/>
  <c r="C36" i="17" s="1"/>
  <c r="P57" i="1"/>
  <c r="F51" i="16" s="1"/>
  <c r="G6" i="2"/>
  <c r="I6" i="2" s="1"/>
  <c r="C6" i="17" s="1"/>
  <c r="E14" i="16" l="1"/>
  <c r="G52" i="2"/>
  <c r="I52" i="2" s="1"/>
  <c r="C52" i="17" s="1"/>
  <c r="D14" i="16"/>
  <c r="F14" i="16"/>
  <c r="G50" i="2"/>
  <c r="I50" i="2" s="1"/>
  <c r="C50" i="17" s="1"/>
  <c r="F4" i="16"/>
  <c r="G51" i="2"/>
  <c r="I51" i="2" s="1"/>
  <c r="C51" i="17" s="1"/>
  <c r="C14" i="2"/>
  <c r="D14" i="2" s="1"/>
  <c r="B14" i="17" s="1"/>
  <c r="G16" i="1"/>
  <c r="C13" i="16" s="1"/>
  <c r="I5" i="2"/>
  <c r="C5" i="17" s="1"/>
  <c r="G4" i="2"/>
  <c r="I4" i="2" s="1"/>
  <c r="C4" i="17" s="1"/>
  <c r="B54" i="2"/>
  <c r="C75" i="1"/>
  <c r="E78" i="1" s="1"/>
  <c r="E74" i="1" s="1"/>
  <c r="G14" i="2"/>
  <c r="N16" i="1"/>
  <c r="B10" i="2"/>
  <c r="D10" i="2" s="1"/>
  <c r="B10" i="17" s="1"/>
  <c r="C40" i="1"/>
  <c r="I29" i="1"/>
  <c r="I35" i="1" s="1"/>
  <c r="I49" i="1" s="1"/>
  <c r="I41" i="1"/>
  <c r="L29" i="1"/>
  <c r="L35" i="1" s="1"/>
  <c r="L49" i="1" s="1"/>
  <c r="L41" i="1"/>
  <c r="B23" i="2"/>
  <c r="C30" i="1"/>
  <c r="D27" i="1" s="1"/>
  <c r="D30" i="1" s="1"/>
  <c r="E27" i="1" s="1"/>
  <c r="E30" i="1" s="1"/>
  <c r="F27" i="1" s="1"/>
  <c r="F30" i="1" s="1"/>
  <c r="G27" i="1" s="1"/>
  <c r="C35" i="1"/>
  <c r="B35" i="2"/>
  <c r="P35" i="1"/>
  <c r="P49" i="1" s="1"/>
  <c r="P41" i="1"/>
  <c r="E14" i="2"/>
  <c r="H16" i="1"/>
  <c r="Q16" i="1"/>
  <c r="H14" i="2"/>
  <c r="P55" i="1"/>
  <c r="F49" i="16" s="1"/>
  <c r="J41" i="1"/>
  <c r="J29" i="1"/>
  <c r="J35" i="1" s="1"/>
  <c r="J49" i="1" s="1"/>
  <c r="M41" i="1"/>
  <c r="M29" i="1"/>
  <c r="M35" i="1" s="1"/>
  <c r="M49" i="1" s="1"/>
  <c r="F14" i="2"/>
  <c r="K16" i="1"/>
  <c r="O41" i="1"/>
  <c r="O29" i="1"/>
  <c r="O35" i="1" s="1"/>
  <c r="O49" i="1" s="1"/>
  <c r="C48" i="1" l="1"/>
  <c r="B34" i="16"/>
  <c r="C49" i="1"/>
  <c r="B29" i="16"/>
  <c r="B30" i="16" s="1"/>
  <c r="C27" i="16" s="1"/>
  <c r="F13" i="16"/>
  <c r="D13" i="16"/>
  <c r="E13" i="16"/>
  <c r="G13" i="16"/>
  <c r="F79" i="1"/>
  <c r="F74" i="1" s="1"/>
  <c r="F144" i="1" s="1"/>
  <c r="F141" i="1" s="1"/>
  <c r="E144" i="1"/>
  <c r="G49" i="2"/>
  <c r="P95" i="1"/>
  <c r="F63" i="16" s="1"/>
  <c r="P66" i="1"/>
  <c r="R69" i="1" s="1"/>
  <c r="R65" i="1" s="1"/>
  <c r="R142" i="1" s="1"/>
  <c r="R141" i="1" s="1"/>
  <c r="H13" i="2"/>
  <c r="Q41" i="1"/>
  <c r="Q29" i="1"/>
  <c r="B29" i="2"/>
  <c r="C36" i="1"/>
  <c r="N41" i="1"/>
  <c r="G13" i="2"/>
  <c r="N29" i="1"/>
  <c r="G41" i="1"/>
  <c r="C35" i="16" s="1"/>
  <c r="C13" i="2"/>
  <c r="D13" i="2" s="1"/>
  <c r="B13" i="17" s="1"/>
  <c r="G29" i="1"/>
  <c r="F13" i="2"/>
  <c r="K41" i="1"/>
  <c r="K29" i="1"/>
  <c r="E13" i="2"/>
  <c r="H41" i="1"/>
  <c r="H29" i="1"/>
  <c r="B34" i="2"/>
  <c r="C43" i="1"/>
  <c r="B37" i="16" s="1"/>
  <c r="I14" i="2"/>
  <c r="C14" i="17" s="1"/>
  <c r="B24" i="2"/>
  <c r="C21" i="2" s="1"/>
  <c r="D54" i="2"/>
  <c r="B54" i="17" s="1"/>
  <c r="D77" i="1"/>
  <c r="D74" i="1" s="1"/>
  <c r="D144" i="1" s="1"/>
  <c r="D141" i="1" s="1"/>
  <c r="C76" i="1"/>
  <c r="C74" i="1" s="1"/>
  <c r="B58" i="16" l="1"/>
  <c r="C58" i="16"/>
  <c r="G30" i="1"/>
  <c r="H27" i="1" s="1"/>
  <c r="C23" i="16"/>
  <c r="C24" i="16" s="1"/>
  <c r="D21" i="16" s="1"/>
  <c r="E94" i="8"/>
  <c r="B42" i="16"/>
  <c r="C81" i="16"/>
  <c r="C81" i="2"/>
  <c r="B43" i="16"/>
  <c r="B43" i="2"/>
  <c r="B38" i="16"/>
  <c r="C33" i="16" s="1"/>
  <c r="C38" i="16" s="1"/>
  <c r="D33" i="16" s="1"/>
  <c r="D23" i="16"/>
  <c r="D24" i="16" s="1"/>
  <c r="D35" i="16"/>
  <c r="F23" i="16"/>
  <c r="E23" i="16"/>
  <c r="F35" i="16"/>
  <c r="G35" i="16"/>
  <c r="E35" i="16"/>
  <c r="G23" i="16"/>
  <c r="I13" i="2"/>
  <c r="C13" i="17" s="1"/>
  <c r="D161" i="1"/>
  <c r="R161" i="1"/>
  <c r="F161" i="1"/>
  <c r="C44" i="1"/>
  <c r="D39" i="1" s="1"/>
  <c r="D44" i="1" s="1"/>
  <c r="E39" i="1" s="1"/>
  <c r="E44" i="1" s="1"/>
  <c r="F39" i="1" s="1"/>
  <c r="F44" i="1" s="1"/>
  <c r="G39" i="1" s="1"/>
  <c r="G44" i="1" s="1"/>
  <c r="H39" i="1" s="1"/>
  <c r="H44" i="1" s="1"/>
  <c r="I39" i="1" s="1"/>
  <c r="I44" i="1" s="1"/>
  <c r="J39" i="1" s="1"/>
  <c r="J44" i="1" s="1"/>
  <c r="K39" i="1" s="1"/>
  <c r="K44" i="1" s="1"/>
  <c r="L39" i="1" s="1"/>
  <c r="L44" i="1" s="1"/>
  <c r="M39" i="1" s="1"/>
  <c r="M44" i="1" s="1"/>
  <c r="N39" i="1" s="1"/>
  <c r="N44" i="1" s="1"/>
  <c r="O39" i="1" s="1"/>
  <c r="S70" i="1"/>
  <c r="S65" i="1" s="1"/>
  <c r="S142" i="1" s="1"/>
  <c r="S141" i="1" s="1"/>
  <c r="C58" i="2"/>
  <c r="B58" i="2"/>
  <c r="C144" i="1"/>
  <c r="E80" i="1"/>
  <c r="AE80" i="1"/>
  <c r="AM80" i="1"/>
  <c r="T80" i="1"/>
  <c r="AP80" i="1"/>
  <c r="AI80" i="1"/>
  <c r="O80" i="1"/>
  <c r="AB80" i="1"/>
  <c r="Z80" i="1"/>
  <c r="AJ80" i="1"/>
  <c r="P80" i="1"/>
  <c r="AC80" i="1"/>
  <c r="AQ80" i="1"/>
  <c r="S80" i="1"/>
  <c r="G80" i="1"/>
  <c r="AO80" i="1"/>
  <c r="AG80" i="1"/>
  <c r="I80" i="1"/>
  <c r="Q80" i="1"/>
  <c r="AL80" i="1"/>
  <c r="N80" i="1"/>
  <c r="J80" i="1"/>
  <c r="V80" i="1"/>
  <c r="AK80" i="1"/>
  <c r="W80" i="1"/>
  <c r="H80" i="1"/>
  <c r="AF80" i="1"/>
  <c r="AH80" i="1"/>
  <c r="AA80" i="1"/>
  <c r="D80" i="1"/>
  <c r="AD80" i="1"/>
  <c r="C80" i="1"/>
  <c r="U80" i="1"/>
  <c r="R80" i="1"/>
  <c r="L80" i="1"/>
  <c r="F80" i="1"/>
  <c r="AN80" i="1"/>
  <c r="M80" i="1"/>
  <c r="X80" i="1"/>
  <c r="Y80" i="1"/>
  <c r="K80" i="1"/>
  <c r="E35" i="2"/>
  <c r="N35" i="1"/>
  <c r="G23" i="2"/>
  <c r="G63" i="2"/>
  <c r="H23" i="2"/>
  <c r="Q35" i="1"/>
  <c r="H35" i="2"/>
  <c r="I49" i="2"/>
  <c r="C49" i="17" s="1"/>
  <c r="B37" i="2"/>
  <c r="D37" i="2" s="1"/>
  <c r="B37" i="17" s="1"/>
  <c r="D34" i="2"/>
  <c r="B34" i="17" s="1"/>
  <c r="C23" i="2"/>
  <c r="D23" i="2" s="1"/>
  <c r="G35" i="1"/>
  <c r="Q68" i="1"/>
  <c r="Q65" i="1" s="1"/>
  <c r="F23" i="2"/>
  <c r="K35" i="1"/>
  <c r="E23" i="2"/>
  <c r="H35" i="1"/>
  <c r="H30" i="1"/>
  <c r="I27" i="1" s="1"/>
  <c r="I30" i="1" s="1"/>
  <c r="J27" i="1" s="1"/>
  <c r="J30" i="1" s="1"/>
  <c r="K27" i="1" s="1"/>
  <c r="K30" i="1" s="1"/>
  <c r="L27" i="1" s="1"/>
  <c r="L30" i="1" s="1"/>
  <c r="M27" i="1" s="1"/>
  <c r="M30" i="1" s="1"/>
  <c r="N27" i="1" s="1"/>
  <c r="N30" i="1" s="1"/>
  <c r="O27" i="1" s="1"/>
  <c r="O30" i="1" s="1"/>
  <c r="P27" i="1" s="1"/>
  <c r="P30" i="1" s="1"/>
  <c r="Q27" i="1" s="1"/>
  <c r="Q30" i="1" s="1"/>
  <c r="R27" i="1" s="1"/>
  <c r="R30" i="1" s="1"/>
  <c r="S27" i="1" s="1"/>
  <c r="S30" i="1" s="1"/>
  <c r="T27" i="1" s="1"/>
  <c r="T30" i="1" s="1"/>
  <c r="U27" i="1" s="1"/>
  <c r="U30" i="1" s="1"/>
  <c r="V27" i="1" s="1"/>
  <c r="V30" i="1" s="1"/>
  <c r="W27" i="1" s="1"/>
  <c r="W30" i="1" s="1"/>
  <c r="X27" i="1" s="1"/>
  <c r="X30" i="1" s="1"/>
  <c r="Y27" i="1" s="1"/>
  <c r="Y30" i="1" s="1"/>
  <c r="Z27" i="1" s="1"/>
  <c r="Z30" i="1" s="1"/>
  <c r="AA27" i="1" s="1"/>
  <c r="AA30" i="1" s="1"/>
  <c r="AB27" i="1" s="1"/>
  <c r="AB30" i="1" s="1"/>
  <c r="AC27" i="1" s="1"/>
  <c r="AC30" i="1" s="1"/>
  <c r="AD27" i="1" s="1"/>
  <c r="AD30" i="1" s="1"/>
  <c r="AE27" i="1" s="1"/>
  <c r="AE30" i="1" s="1"/>
  <c r="AF27" i="1" s="1"/>
  <c r="AF30" i="1" s="1"/>
  <c r="AG27" i="1" s="1"/>
  <c r="AG30" i="1" s="1"/>
  <c r="AH27" i="1" s="1"/>
  <c r="AH30" i="1" s="1"/>
  <c r="AI27" i="1" s="1"/>
  <c r="AI30" i="1" s="1"/>
  <c r="AJ27" i="1" s="1"/>
  <c r="AJ30" i="1" s="1"/>
  <c r="AK27" i="1" s="1"/>
  <c r="AK30" i="1" s="1"/>
  <c r="AL27" i="1" s="1"/>
  <c r="AL30" i="1" s="1"/>
  <c r="AM27" i="1" s="1"/>
  <c r="AM30" i="1" s="1"/>
  <c r="AN27" i="1" s="1"/>
  <c r="AN30" i="1" s="1"/>
  <c r="AO27" i="1" s="1"/>
  <c r="AO30" i="1" s="1"/>
  <c r="AP27" i="1" s="1"/>
  <c r="AP30" i="1" s="1"/>
  <c r="AQ27" i="1" s="1"/>
  <c r="AQ30" i="1" s="1"/>
  <c r="F35" i="2"/>
  <c r="G35" i="2"/>
  <c r="P67" i="1"/>
  <c r="P65" i="1" s="1"/>
  <c r="F56" i="16" s="1"/>
  <c r="C173" i="1"/>
  <c r="D33" i="1"/>
  <c r="D36" i="1" s="1"/>
  <c r="C35" i="2"/>
  <c r="D35" i="2" s="1"/>
  <c r="B35" i="17" s="1"/>
  <c r="B30" i="2"/>
  <c r="G56" i="16" l="1"/>
  <c r="D38" i="16"/>
  <c r="E33" i="16" s="1"/>
  <c r="E38" i="16" s="1"/>
  <c r="G49" i="1"/>
  <c r="C29" i="16"/>
  <c r="C30" i="16" s="1"/>
  <c r="D27" i="16" s="1"/>
  <c r="C141" i="1"/>
  <c r="B81" i="16"/>
  <c r="B81" i="2"/>
  <c r="D81" i="2" s="1"/>
  <c r="B81" i="17" s="1"/>
  <c r="D24" i="2"/>
  <c r="B23" i="17"/>
  <c r="E21" i="16"/>
  <c r="E24" i="16" s="1"/>
  <c r="N49" i="1"/>
  <c r="F29" i="16"/>
  <c r="K49" i="1"/>
  <c r="E29" i="16"/>
  <c r="H49" i="1"/>
  <c r="D29" i="16"/>
  <c r="Q49" i="1"/>
  <c r="G29" i="16"/>
  <c r="C91" i="1"/>
  <c r="C179" i="1" s="1"/>
  <c r="S161" i="1"/>
  <c r="O44" i="1"/>
  <c r="P39" i="1" s="1"/>
  <c r="P44" i="1" s="1"/>
  <c r="Q39" i="1" s="1"/>
  <c r="Q44" i="1" s="1"/>
  <c r="R39" i="1" s="1"/>
  <c r="R44" i="1" s="1"/>
  <c r="S39" i="1" s="1"/>
  <c r="S44" i="1" s="1"/>
  <c r="T39" i="1" s="1"/>
  <c r="T44" i="1" s="1"/>
  <c r="U39" i="1" s="1"/>
  <c r="U44" i="1" s="1"/>
  <c r="V39" i="1" s="1"/>
  <c r="V44" i="1" s="1"/>
  <c r="W39" i="1" s="1"/>
  <c r="W44" i="1" s="1"/>
  <c r="X39" i="1" s="1"/>
  <c r="X44" i="1" s="1"/>
  <c r="Y39" i="1" s="1"/>
  <c r="Y44" i="1" s="1"/>
  <c r="Z39" i="1" s="1"/>
  <c r="Z44" i="1" s="1"/>
  <c r="AA39" i="1" s="1"/>
  <c r="AA44" i="1" s="1"/>
  <c r="AB39" i="1" s="1"/>
  <c r="AB44" i="1" s="1"/>
  <c r="AC39" i="1" s="1"/>
  <c r="AC44" i="1" s="1"/>
  <c r="AD39" i="1" s="1"/>
  <c r="AD44" i="1" s="1"/>
  <c r="AE39" i="1" s="1"/>
  <c r="AE44" i="1" s="1"/>
  <c r="AF39" i="1" s="1"/>
  <c r="AF44" i="1" s="1"/>
  <c r="AG39" i="1" s="1"/>
  <c r="AG44" i="1" s="1"/>
  <c r="AH39" i="1" s="1"/>
  <c r="AH44" i="1" s="1"/>
  <c r="AI39" i="1" s="1"/>
  <c r="AI44" i="1" s="1"/>
  <c r="AJ39" i="1" s="1"/>
  <c r="AJ44" i="1" s="1"/>
  <c r="AK39" i="1" s="1"/>
  <c r="AK44" i="1" s="1"/>
  <c r="AL39" i="1" s="1"/>
  <c r="AL44" i="1" s="1"/>
  <c r="AM39" i="1" s="1"/>
  <c r="AM44" i="1" s="1"/>
  <c r="AN39" i="1" s="1"/>
  <c r="AN44" i="1" s="1"/>
  <c r="AO39" i="1" s="1"/>
  <c r="AO44" i="1" s="1"/>
  <c r="AP39" i="1" s="1"/>
  <c r="AP44" i="1" s="1"/>
  <c r="AQ39" i="1" s="1"/>
  <c r="AQ44" i="1" s="1"/>
  <c r="G56" i="2"/>
  <c r="P142" i="1"/>
  <c r="AJ71" i="1"/>
  <c r="AJ170" i="1" s="1"/>
  <c r="AG71" i="1"/>
  <c r="AG170" i="1" s="1"/>
  <c r="AB71" i="1"/>
  <c r="AB170" i="1" s="1"/>
  <c r="AC71" i="1"/>
  <c r="AC170" i="1" s="1"/>
  <c r="Y71" i="1"/>
  <c r="Y170" i="1" s="1"/>
  <c r="AE71" i="1"/>
  <c r="AE170" i="1" s="1"/>
  <c r="S71" i="1"/>
  <c r="S170" i="1" s="1"/>
  <c r="AK71" i="1"/>
  <c r="AK170" i="1" s="1"/>
  <c r="AM71" i="1"/>
  <c r="AM170" i="1" s="1"/>
  <c r="AH71" i="1"/>
  <c r="AH170" i="1" s="1"/>
  <c r="V71" i="1"/>
  <c r="V170" i="1" s="1"/>
  <c r="AQ71" i="1"/>
  <c r="AQ170" i="1" s="1"/>
  <c r="R71" i="1"/>
  <c r="R170" i="1" s="1"/>
  <c r="AA71" i="1"/>
  <c r="AA170" i="1" s="1"/>
  <c r="AD71" i="1"/>
  <c r="AD170" i="1" s="1"/>
  <c r="T71" i="1"/>
  <c r="T170" i="1" s="1"/>
  <c r="X71" i="1"/>
  <c r="X170" i="1" s="1"/>
  <c r="P71" i="1"/>
  <c r="P170" i="1" s="1"/>
  <c r="W71" i="1"/>
  <c r="W170" i="1" s="1"/>
  <c r="Q71" i="1"/>
  <c r="Q170" i="1" s="1"/>
  <c r="AP71" i="1"/>
  <c r="AP170" i="1" s="1"/>
  <c r="AF71" i="1"/>
  <c r="AF170" i="1" s="1"/>
  <c r="AO71" i="1"/>
  <c r="AO170" i="1" s="1"/>
  <c r="Z71" i="1"/>
  <c r="Z170" i="1" s="1"/>
  <c r="AL71" i="1"/>
  <c r="AL170" i="1" s="1"/>
  <c r="AN71" i="1"/>
  <c r="AN170" i="1" s="1"/>
  <c r="AI71" i="1"/>
  <c r="AI170" i="1" s="1"/>
  <c r="U71" i="1"/>
  <c r="U170" i="1" s="1"/>
  <c r="H29" i="2"/>
  <c r="G29" i="2"/>
  <c r="D173" i="1"/>
  <c r="E33" i="1"/>
  <c r="E36" i="1" s="1"/>
  <c r="C24" i="2"/>
  <c r="I23" i="2"/>
  <c r="C23" i="17" s="1"/>
  <c r="C29" i="2"/>
  <c r="F29" i="2"/>
  <c r="D38" i="2"/>
  <c r="I35" i="2"/>
  <c r="C35" i="17" s="1"/>
  <c r="E29" i="2"/>
  <c r="B38" i="2"/>
  <c r="C33" i="2" s="1"/>
  <c r="C38" i="2" s="1"/>
  <c r="C27" i="2"/>
  <c r="H56" i="2"/>
  <c r="Q142" i="1"/>
  <c r="G79" i="16" s="1"/>
  <c r="I63" i="2"/>
  <c r="C63" i="17" s="1"/>
  <c r="D58" i="2"/>
  <c r="B58" i="17" s="1"/>
  <c r="B78" i="16" l="1"/>
  <c r="C161" i="1"/>
  <c r="C163" i="1" s="1"/>
  <c r="P98" i="2"/>
  <c r="M98" i="16"/>
  <c r="P141" i="1"/>
  <c r="F79" i="16"/>
  <c r="E33" i="2"/>
  <c r="E38" i="2" s="1"/>
  <c r="B38" i="17"/>
  <c r="H98" i="2"/>
  <c r="I98" i="2" s="1"/>
  <c r="C98" i="17" s="1"/>
  <c r="G98" i="16"/>
  <c r="E21" i="2"/>
  <c r="B24" i="17"/>
  <c r="K98" i="2"/>
  <c r="I98" i="16"/>
  <c r="M98" i="2"/>
  <c r="N98" i="2" s="1"/>
  <c r="D98" i="17" s="1"/>
  <c r="K98" i="16"/>
  <c r="R98" i="2"/>
  <c r="S98" i="2" s="1"/>
  <c r="E98" i="17" s="1"/>
  <c r="O98" i="16"/>
  <c r="J98" i="2"/>
  <c r="H98" i="16"/>
  <c r="L98" i="2"/>
  <c r="J98" i="16"/>
  <c r="Q98" i="2"/>
  <c r="N98" i="16"/>
  <c r="G98" i="2"/>
  <c r="F98" i="16"/>
  <c r="O98" i="2"/>
  <c r="L98" i="16"/>
  <c r="C43" i="2"/>
  <c r="D43" i="2" s="1"/>
  <c r="B43" i="17" s="1"/>
  <c r="C43" i="16"/>
  <c r="B101" i="2"/>
  <c r="B101" i="16"/>
  <c r="F33" i="16"/>
  <c r="F38" i="16" s="1"/>
  <c r="F21" i="16"/>
  <c r="F24" i="16" s="1"/>
  <c r="H43" i="2"/>
  <c r="G43" i="16"/>
  <c r="D30" i="16"/>
  <c r="E43" i="2"/>
  <c r="D43" i="16"/>
  <c r="F43" i="2"/>
  <c r="E43" i="16"/>
  <c r="G43" i="2"/>
  <c r="F43" i="16"/>
  <c r="B78" i="2"/>
  <c r="C30" i="2"/>
  <c r="I29" i="2"/>
  <c r="C29" i="17" s="1"/>
  <c r="E173" i="1"/>
  <c r="F33" i="1"/>
  <c r="F36" i="1" s="1"/>
  <c r="D29" i="2"/>
  <c r="B29" i="17" s="1"/>
  <c r="H79" i="2"/>
  <c r="G79" i="2"/>
  <c r="I56" i="2"/>
  <c r="C56" i="17" s="1"/>
  <c r="I33" i="2" l="1"/>
  <c r="B92" i="16"/>
  <c r="I38" i="2"/>
  <c r="J33" i="2" s="1"/>
  <c r="J38" i="2" s="1"/>
  <c r="C33" i="17"/>
  <c r="I21" i="2"/>
  <c r="C21" i="17" s="1"/>
  <c r="E24" i="2"/>
  <c r="F21" i="2" s="1"/>
  <c r="F24" i="2" s="1"/>
  <c r="F33" i="2"/>
  <c r="G33" i="16"/>
  <c r="G38" i="16" s="1"/>
  <c r="H33" i="16" s="1"/>
  <c r="H38" i="16" s="1"/>
  <c r="E27" i="16"/>
  <c r="E30" i="16" s="1"/>
  <c r="G21" i="16"/>
  <c r="G24" i="16" s="1"/>
  <c r="H21" i="16" s="1"/>
  <c r="H24" i="16" s="1"/>
  <c r="I43" i="2"/>
  <c r="C43" i="17" s="1"/>
  <c r="B92" i="2"/>
  <c r="P161" i="1"/>
  <c r="I79" i="2"/>
  <c r="C79" i="17" s="1"/>
  <c r="F173" i="1"/>
  <c r="G33" i="1"/>
  <c r="G36" i="1" s="1"/>
  <c r="D30" i="2"/>
  <c r="B30" i="17" s="1"/>
  <c r="C38" i="17" l="1"/>
  <c r="N33" i="2"/>
  <c r="N38" i="2" s="1"/>
  <c r="G21" i="2"/>
  <c r="F38" i="2"/>
  <c r="K33" i="2"/>
  <c r="I33" i="16"/>
  <c r="I38" i="16" s="1"/>
  <c r="F27" i="16"/>
  <c r="F30" i="16" s="1"/>
  <c r="I21" i="16"/>
  <c r="I24" i="16" s="1"/>
  <c r="E27" i="2"/>
  <c r="G173" i="1"/>
  <c r="H33" i="1"/>
  <c r="H36" i="1" s="1"/>
  <c r="C169" i="1"/>
  <c r="D162" i="1"/>
  <c r="D163" i="1" s="1"/>
  <c r="B94" i="16" s="1"/>
  <c r="C93" i="16" s="1"/>
  <c r="C101" i="2" l="1"/>
  <c r="D101" i="2" s="1"/>
  <c r="B101" i="17" s="1"/>
  <c r="C101" i="16"/>
  <c r="D33" i="17"/>
  <c r="K38" i="2"/>
  <c r="G33" i="2"/>
  <c r="O33" i="2"/>
  <c r="D38" i="17"/>
  <c r="G24" i="2"/>
  <c r="J33" i="16"/>
  <c r="J38" i="16" s="1"/>
  <c r="G27" i="16"/>
  <c r="G30" i="16" s="1"/>
  <c r="H27" i="16" s="1"/>
  <c r="H30" i="16" s="1"/>
  <c r="J21" i="16"/>
  <c r="J24" i="16" s="1"/>
  <c r="H173" i="1"/>
  <c r="I33" i="1"/>
  <c r="I36" i="1" s="1"/>
  <c r="B94" i="2"/>
  <c r="E162" i="1"/>
  <c r="D169" i="1"/>
  <c r="B97" i="16" s="1"/>
  <c r="I27" i="2"/>
  <c r="C27" i="17" s="1"/>
  <c r="E30" i="2"/>
  <c r="H21" i="2" l="1"/>
  <c r="S33" i="2"/>
  <c r="O38" i="2"/>
  <c r="G38" i="2"/>
  <c r="L33" i="2"/>
  <c r="K33" i="16"/>
  <c r="K38" i="16" s="1"/>
  <c r="L33" i="16" s="1"/>
  <c r="L38" i="16" s="1"/>
  <c r="I27" i="16"/>
  <c r="I30" i="16" s="1"/>
  <c r="K21" i="16"/>
  <c r="K24" i="16" s="1"/>
  <c r="L21" i="16" s="1"/>
  <c r="L24" i="16" s="1"/>
  <c r="I173" i="1"/>
  <c r="J33" i="1"/>
  <c r="J36" i="1" s="1"/>
  <c r="B97" i="2"/>
  <c r="C93" i="2"/>
  <c r="F27" i="2"/>
  <c r="L38" i="2" l="1"/>
  <c r="H33" i="2"/>
  <c r="P33" i="2"/>
  <c r="S38" i="2"/>
  <c r="E38" i="17" s="1"/>
  <c r="E33" i="17"/>
  <c r="H24" i="2"/>
  <c r="M33" i="16"/>
  <c r="M38" i="16" s="1"/>
  <c r="J27" i="16"/>
  <c r="J30" i="16" s="1"/>
  <c r="M21" i="16"/>
  <c r="M24" i="16" s="1"/>
  <c r="J173" i="1"/>
  <c r="K33" i="1"/>
  <c r="K36" i="1" s="1"/>
  <c r="F30" i="2"/>
  <c r="P38" i="2" l="1"/>
  <c r="H38" i="2"/>
  <c r="I24" i="2"/>
  <c r="M33" i="2"/>
  <c r="N33" i="16"/>
  <c r="N38" i="16" s="1"/>
  <c r="K27" i="16"/>
  <c r="K30" i="16" s="1"/>
  <c r="L27" i="16" s="1"/>
  <c r="L30" i="16" s="1"/>
  <c r="N21" i="16"/>
  <c r="N24" i="16" s="1"/>
  <c r="E101" i="2"/>
  <c r="D101" i="16"/>
  <c r="G27" i="2"/>
  <c r="K173" i="1"/>
  <c r="L33" i="1"/>
  <c r="L36" i="1" s="1"/>
  <c r="M38" i="2" l="1"/>
  <c r="J21" i="2"/>
  <c r="C24" i="17"/>
  <c r="Q33" i="2"/>
  <c r="O33" i="16"/>
  <c r="O38" i="16" s="1"/>
  <c r="M27" i="16"/>
  <c r="M30" i="16" s="1"/>
  <c r="O21" i="16"/>
  <c r="O24" i="16" s="1"/>
  <c r="G30" i="2"/>
  <c r="L173" i="1"/>
  <c r="M33" i="1"/>
  <c r="M36" i="1" s="1"/>
  <c r="Q38" i="2" l="1"/>
  <c r="N21" i="2"/>
  <c r="D21" i="17" s="1"/>
  <c r="J24" i="2"/>
  <c r="N27" i="16"/>
  <c r="N30" i="16" s="1"/>
  <c r="M173" i="1"/>
  <c r="N33" i="1"/>
  <c r="N36" i="1" s="1"/>
  <c r="H27" i="2"/>
  <c r="R33" i="2" l="1"/>
  <c r="K21" i="2"/>
  <c r="O27" i="16"/>
  <c r="O30" i="16" s="1"/>
  <c r="F101" i="2"/>
  <c r="E101" i="16"/>
  <c r="H30" i="2"/>
  <c r="N173" i="1"/>
  <c r="O33" i="1"/>
  <c r="O36" i="1" s="1"/>
  <c r="K24" i="2" l="1"/>
  <c r="R38" i="2"/>
  <c r="I30" i="2"/>
  <c r="C30" i="17" s="1"/>
  <c r="O173" i="1"/>
  <c r="P33" i="1"/>
  <c r="P36" i="1" s="1"/>
  <c r="L21" i="2" l="1"/>
  <c r="J27" i="2"/>
  <c r="P173" i="1"/>
  <c r="Q33" i="1"/>
  <c r="Q36" i="1" s="1"/>
  <c r="L24" i="2" l="1"/>
  <c r="G101" i="2"/>
  <c r="F101" i="16"/>
  <c r="N27" i="2"/>
  <c r="D27" i="17" s="1"/>
  <c r="J30" i="2"/>
  <c r="Q173" i="1"/>
  <c r="R33" i="1"/>
  <c r="R36" i="1" s="1"/>
  <c r="M21" i="2" l="1"/>
  <c r="K27" i="2"/>
  <c r="R173" i="1"/>
  <c r="S33" i="1"/>
  <c r="S36" i="1" s="1"/>
  <c r="M24" i="2" l="1"/>
  <c r="S173" i="1"/>
  <c r="T33" i="1"/>
  <c r="T36" i="1" s="1"/>
  <c r="K30" i="2"/>
  <c r="N24" i="2" l="1"/>
  <c r="H101" i="2"/>
  <c r="G101" i="16"/>
  <c r="L27" i="2"/>
  <c r="T173" i="1"/>
  <c r="U33" i="1"/>
  <c r="U36" i="1" s="1"/>
  <c r="O21" i="2" l="1"/>
  <c r="D24" i="17"/>
  <c r="I101" i="2"/>
  <c r="C101" i="17" s="1"/>
  <c r="L30" i="2"/>
  <c r="U173" i="1"/>
  <c r="V33" i="1"/>
  <c r="V36" i="1" s="1"/>
  <c r="S21" i="2" l="1"/>
  <c r="E21" i="17" s="1"/>
  <c r="O24" i="2"/>
  <c r="V173" i="1"/>
  <c r="W33" i="1"/>
  <c r="W36" i="1" s="1"/>
  <c r="M27" i="2"/>
  <c r="P21" i="2" l="1"/>
  <c r="J101" i="2"/>
  <c r="H101" i="16"/>
  <c r="M30" i="2"/>
  <c r="W173" i="1"/>
  <c r="X33" i="1"/>
  <c r="X36" i="1" s="1"/>
  <c r="P24" i="2" l="1"/>
  <c r="X173" i="1"/>
  <c r="Y33" i="1"/>
  <c r="Y36" i="1" s="1"/>
  <c r="N30" i="2"/>
  <c r="D30" i="17" s="1"/>
  <c r="Q21" i="2" l="1"/>
  <c r="Y173" i="1"/>
  <c r="Z33" i="1"/>
  <c r="Z36" i="1" s="1"/>
  <c r="O27" i="2"/>
  <c r="Q24" i="2" l="1"/>
  <c r="K101" i="2"/>
  <c r="I101" i="16"/>
  <c r="Z173" i="1"/>
  <c r="AA33" i="1"/>
  <c r="AA36" i="1" s="1"/>
  <c r="S27" i="2"/>
  <c r="E27" i="17" s="1"/>
  <c r="O30" i="2"/>
  <c r="R21" i="2" l="1"/>
  <c r="P27" i="2"/>
  <c r="AA173" i="1"/>
  <c r="AB33" i="1"/>
  <c r="AB36" i="1" s="1"/>
  <c r="R24" i="2" l="1"/>
  <c r="P30" i="2"/>
  <c r="AB173" i="1"/>
  <c r="AC33" i="1"/>
  <c r="AC36" i="1" s="1"/>
  <c r="S24" i="2" l="1"/>
  <c r="E24" i="17" s="1"/>
  <c r="L101" i="2"/>
  <c r="J101" i="16"/>
  <c r="AC173" i="1"/>
  <c r="AD33" i="1"/>
  <c r="AD36" i="1" s="1"/>
  <c r="Q27" i="2"/>
  <c r="Q30" i="2" l="1"/>
  <c r="AD173" i="1"/>
  <c r="AE33" i="1"/>
  <c r="AE36" i="1" s="1"/>
  <c r="AF33" i="1" l="1"/>
  <c r="AF36" i="1" s="1"/>
  <c r="AE173" i="1"/>
  <c r="R27" i="2"/>
  <c r="M101" i="2" l="1"/>
  <c r="K101" i="16"/>
  <c r="AF173" i="1"/>
  <c r="AG33" i="1"/>
  <c r="AG36" i="1" s="1"/>
  <c r="R30" i="2"/>
  <c r="N101" i="2" l="1"/>
  <c r="D101" i="17" s="1"/>
  <c r="S30" i="2"/>
  <c r="E30" i="17" s="1"/>
  <c r="AG173" i="1"/>
  <c r="AH33" i="1"/>
  <c r="AH36" i="1" s="1"/>
  <c r="AH173" i="1" l="1"/>
  <c r="AI33" i="1"/>
  <c r="AI36" i="1" s="1"/>
  <c r="O101" i="2" l="1"/>
  <c r="L101" i="16"/>
  <c r="AI173" i="1"/>
  <c r="AJ33" i="1"/>
  <c r="AJ36" i="1" s="1"/>
  <c r="AJ173" i="1" l="1"/>
  <c r="AK33" i="1"/>
  <c r="AK36" i="1" s="1"/>
  <c r="AK173" i="1" l="1"/>
  <c r="AL33" i="1"/>
  <c r="AL36" i="1" s="1"/>
  <c r="P101" i="2" l="1"/>
  <c r="M101" i="16"/>
  <c r="AL173" i="1"/>
  <c r="AM33" i="1"/>
  <c r="AM36" i="1" s="1"/>
  <c r="AM173" i="1" l="1"/>
  <c r="AN33" i="1"/>
  <c r="AN36" i="1" s="1"/>
  <c r="AN173" i="1" l="1"/>
  <c r="AO33" i="1"/>
  <c r="AO36" i="1" s="1"/>
  <c r="Q101" i="2" l="1"/>
  <c r="N101" i="16"/>
  <c r="AO173" i="1"/>
  <c r="AP33" i="1"/>
  <c r="AP36" i="1" s="1"/>
  <c r="AP173" i="1" l="1"/>
  <c r="AQ33" i="1"/>
  <c r="AQ36" i="1" s="1"/>
  <c r="AQ173" i="1" s="1"/>
  <c r="R101" i="2" l="1"/>
  <c r="O101" i="16"/>
  <c r="S101" i="2" l="1"/>
  <c r="E101" i="17" s="1"/>
  <c r="E98" i="8"/>
  <c r="E91" i="8" l="1"/>
  <c r="F98" i="8" l="1"/>
  <c r="E100" i="8"/>
  <c r="F93" i="8"/>
  <c r="R3" i="18" s="1"/>
  <c r="F92" i="8"/>
  <c r="R2" i="18" s="1"/>
  <c r="F94" i="8"/>
  <c r="R4" i="18" s="1"/>
  <c r="F95" i="8"/>
  <c r="F96" i="8"/>
  <c r="F97" i="8"/>
  <c r="F99" i="8"/>
  <c r="R5" i="18" l="1"/>
  <c r="AQ51" i="1"/>
  <c r="AQ96" i="1" s="1"/>
  <c r="AQ97" i="1" s="1"/>
  <c r="C51" i="1"/>
  <c r="B42" i="2"/>
  <c r="E51" i="1"/>
  <c r="M51" i="1"/>
  <c r="M96" i="1" s="1"/>
  <c r="M97" i="1" s="1"/>
  <c r="U51" i="1"/>
  <c r="U96" i="1" s="1"/>
  <c r="U97" i="1" s="1"/>
  <c r="AC51" i="1"/>
  <c r="AK51" i="1"/>
  <c r="AK96" i="1" s="1"/>
  <c r="AK97" i="1" s="1"/>
  <c r="P51" i="1"/>
  <c r="P96" i="1" s="1"/>
  <c r="AH51" i="1"/>
  <c r="AH96" i="1" s="1"/>
  <c r="AB51" i="1"/>
  <c r="AB96" i="1" s="1"/>
  <c r="F51" i="1"/>
  <c r="F96" i="1" s="1"/>
  <c r="F97" i="1" s="1"/>
  <c r="N51" i="1"/>
  <c r="V51" i="1"/>
  <c r="V96" i="1" s="1"/>
  <c r="AD51" i="1"/>
  <c r="AD96" i="1" s="1"/>
  <c r="AD97" i="1" s="1"/>
  <c r="AL51" i="1"/>
  <c r="X51" i="1"/>
  <c r="X96" i="1" s="1"/>
  <c r="X97" i="1" s="1"/>
  <c r="AN51" i="1"/>
  <c r="AN96" i="1" s="1"/>
  <c r="T51" i="1"/>
  <c r="G51" i="1"/>
  <c r="G96" i="1" s="1"/>
  <c r="G97" i="1" s="1"/>
  <c r="O51" i="1"/>
  <c r="O96" i="1" s="1"/>
  <c r="O97" i="1" s="1"/>
  <c r="W51" i="1"/>
  <c r="AE51" i="1"/>
  <c r="AE96" i="1" s="1"/>
  <c r="AE97" i="1" s="1"/>
  <c r="AM51" i="1"/>
  <c r="AM96" i="1" s="1"/>
  <c r="AM97" i="1" s="1"/>
  <c r="H51" i="1"/>
  <c r="AF51" i="1"/>
  <c r="AJ51" i="1"/>
  <c r="AJ96" i="1" s="1"/>
  <c r="AJ97" i="1" s="1"/>
  <c r="I51" i="1"/>
  <c r="I96" i="1" s="1"/>
  <c r="I97" i="1" s="1"/>
  <c r="Q51" i="1"/>
  <c r="Y51" i="1"/>
  <c r="Y96" i="1" s="1"/>
  <c r="Y97" i="1" s="1"/>
  <c r="AG51" i="1"/>
  <c r="AG96" i="1" s="1"/>
  <c r="AG97" i="1" s="1"/>
  <c r="AO51" i="1"/>
  <c r="J51" i="1"/>
  <c r="J96" i="1" s="1"/>
  <c r="J97" i="1" s="1"/>
  <c r="R51" i="1"/>
  <c r="R96" i="1" s="1"/>
  <c r="R97" i="1" s="1"/>
  <c r="Z51" i="1"/>
  <c r="AP51" i="1"/>
  <c r="AP96" i="1" s="1"/>
  <c r="AP97" i="1" s="1"/>
  <c r="K51" i="1"/>
  <c r="S51" i="1"/>
  <c r="S96" i="1" s="1"/>
  <c r="S97" i="1" s="1"/>
  <c r="AA51" i="1"/>
  <c r="AA96" i="1" s="1"/>
  <c r="AA97" i="1" s="1"/>
  <c r="AI51" i="1"/>
  <c r="D51" i="1"/>
  <c r="D96" i="1" s="1"/>
  <c r="D97" i="1" s="1"/>
  <c r="L51" i="1"/>
  <c r="L96" i="1" s="1"/>
  <c r="L97" i="1" s="1"/>
  <c r="K45" i="16" l="1"/>
  <c r="M45" i="2"/>
  <c r="I45" i="16"/>
  <c r="K45" i="2"/>
  <c r="M45" i="16"/>
  <c r="P45" i="2"/>
  <c r="E45" i="16"/>
  <c r="F45" i="2"/>
  <c r="F45" i="16"/>
  <c r="G45" i="2"/>
  <c r="G45" i="16"/>
  <c r="H45" i="2"/>
  <c r="C45" i="16"/>
  <c r="C45" i="2"/>
  <c r="O45" i="16"/>
  <c r="R45" i="2"/>
  <c r="J45" i="16"/>
  <c r="L45" i="2"/>
  <c r="H45" i="16"/>
  <c r="J45" i="2"/>
  <c r="L45" i="16"/>
  <c r="O45" i="2"/>
  <c r="N45" i="16"/>
  <c r="Q45" i="2"/>
  <c r="D45" i="16"/>
  <c r="E45" i="2"/>
  <c r="C52" i="1"/>
  <c r="B45" i="16"/>
  <c r="B46" i="16" s="1"/>
  <c r="C41" i="16" s="1"/>
  <c r="B45" i="2"/>
  <c r="AP130" i="1"/>
  <c r="AP134" i="1" s="1"/>
  <c r="AP136" i="1" s="1"/>
  <c r="I130" i="1"/>
  <c r="I134" i="1" s="1"/>
  <c r="I136" i="1" s="1"/>
  <c r="G130" i="1"/>
  <c r="G134" i="1" s="1"/>
  <c r="F130" i="1"/>
  <c r="F134" i="1" s="1"/>
  <c r="F136" i="1" s="1"/>
  <c r="Y130" i="1"/>
  <c r="Y134" i="1" s="1"/>
  <c r="M130" i="1"/>
  <c r="M134" i="1" s="1"/>
  <c r="AJ130" i="1"/>
  <c r="AJ134" i="1" s="1"/>
  <c r="AJ136" i="1" s="1"/>
  <c r="S130" i="1"/>
  <c r="S134" i="1" s="1"/>
  <c r="O130" i="1"/>
  <c r="O134" i="1" s="1"/>
  <c r="O136" i="1" s="1"/>
  <c r="L130" i="1"/>
  <c r="L134" i="1" s="1"/>
  <c r="L136" i="1" s="1"/>
  <c r="D130" i="1"/>
  <c r="D134" i="1" s="1"/>
  <c r="R130" i="1"/>
  <c r="R134" i="1" s="1"/>
  <c r="R136" i="1" s="1"/>
  <c r="U130" i="1"/>
  <c r="U134" i="1" s="1"/>
  <c r="U136" i="1" s="1"/>
  <c r="AQ130" i="1"/>
  <c r="X130" i="1"/>
  <c r="X134" i="1" s="1"/>
  <c r="X136" i="1" s="1"/>
  <c r="AM130" i="1"/>
  <c r="AM134" i="1" s="1"/>
  <c r="AM136" i="1" s="1"/>
  <c r="AK130" i="1"/>
  <c r="AK134" i="1" s="1"/>
  <c r="J130" i="1"/>
  <c r="J134" i="1" s="1"/>
  <c r="AA130" i="1"/>
  <c r="AA134" i="1" s="1"/>
  <c r="AA136" i="1" s="1"/>
  <c r="AG130" i="1"/>
  <c r="AG134" i="1" s="1"/>
  <c r="AG136" i="1" s="1"/>
  <c r="AE130" i="1"/>
  <c r="AE134" i="1" s="1"/>
  <c r="AD130" i="1"/>
  <c r="AD134" i="1" s="1"/>
  <c r="AD136" i="1" s="1"/>
  <c r="D42" i="2"/>
  <c r="C96" i="1"/>
  <c r="C97" i="1" s="1"/>
  <c r="C130" i="1" s="1"/>
  <c r="C134" i="1" s="1"/>
  <c r="AN97" i="1"/>
  <c r="H96" i="1"/>
  <c r="D64" i="16" s="1"/>
  <c r="P97" i="1"/>
  <c r="AI96" i="1"/>
  <c r="M64" i="16" s="1"/>
  <c r="AO96" i="1"/>
  <c r="O64" i="16" s="1"/>
  <c r="AL96" i="1"/>
  <c r="AC96" i="1"/>
  <c r="K64" i="16" s="1"/>
  <c r="W96" i="1"/>
  <c r="I64" i="16" s="1"/>
  <c r="V97" i="1"/>
  <c r="AH97" i="1"/>
  <c r="K96" i="1"/>
  <c r="E64" i="16" s="1"/>
  <c r="Q96" i="1"/>
  <c r="G64" i="16" s="1"/>
  <c r="N96" i="1"/>
  <c r="AF96" i="1"/>
  <c r="E96" i="1"/>
  <c r="C64" i="16" s="1"/>
  <c r="Z96" i="1"/>
  <c r="T96" i="1"/>
  <c r="AB97" i="1"/>
  <c r="D45" i="2" l="1"/>
  <c r="B45" i="17" s="1"/>
  <c r="N45" i="2"/>
  <c r="D45" i="17" s="1"/>
  <c r="C46" i="16"/>
  <c r="D41" i="16" s="1"/>
  <c r="D46" i="16" s="1"/>
  <c r="E41" i="16" s="1"/>
  <c r="E46" i="16" s="1"/>
  <c r="F41" i="16" s="1"/>
  <c r="F46" i="16" s="1"/>
  <c r="G41" i="16" s="1"/>
  <c r="G46" i="16" s="1"/>
  <c r="H41" i="16" s="1"/>
  <c r="H46" i="16" s="1"/>
  <c r="I41" i="16" s="1"/>
  <c r="I46" i="16" s="1"/>
  <c r="J41" i="16" s="1"/>
  <c r="J46" i="16" s="1"/>
  <c r="K41" i="16" s="1"/>
  <c r="K46" i="16" s="1"/>
  <c r="L41" i="16" s="1"/>
  <c r="L46" i="16" s="1"/>
  <c r="M41" i="16" s="1"/>
  <c r="M46" i="16" s="1"/>
  <c r="N41" i="16" s="1"/>
  <c r="N46" i="16" s="1"/>
  <c r="O41" i="16" s="1"/>
  <c r="O46" i="16" s="1"/>
  <c r="B46" i="2"/>
  <c r="C41" i="2" s="1"/>
  <c r="C46" i="2" s="1"/>
  <c r="N97" i="1"/>
  <c r="F65" i="16" s="1"/>
  <c r="F64" i="16"/>
  <c r="D135" i="1"/>
  <c r="B64" i="16"/>
  <c r="B64" i="2"/>
  <c r="AL97" i="1"/>
  <c r="N65" i="16" s="1"/>
  <c r="N64" i="16"/>
  <c r="AF97" i="1"/>
  <c r="L65" i="16" s="1"/>
  <c r="L64" i="16"/>
  <c r="T97" i="1"/>
  <c r="J65" i="2" s="1"/>
  <c r="H64" i="16"/>
  <c r="I45" i="2"/>
  <c r="C45" i="17" s="1"/>
  <c r="Z97" i="1"/>
  <c r="J65" i="16" s="1"/>
  <c r="J64" i="16"/>
  <c r="B42" i="17"/>
  <c r="AQ134" i="1"/>
  <c r="N130" i="1"/>
  <c r="AH130" i="1"/>
  <c r="AH134" i="1" s="1"/>
  <c r="AN130" i="1"/>
  <c r="AN134" i="1" s="1"/>
  <c r="V130" i="1"/>
  <c r="V134" i="1" s="1"/>
  <c r="AB130" i="1"/>
  <c r="AB134" i="1" s="1"/>
  <c r="P130" i="1"/>
  <c r="P134" i="1" s="1"/>
  <c r="C172" i="1"/>
  <c r="C171" i="1" s="1"/>
  <c r="C175" i="1" s="1"/>
  <c r="D47" i="1"/>
  <c r="D52" i="1" s="1"/>
  <c r="G64" i="2"/>
  <c r="L64" i="2"/>
  <c r="C64" i="2"/>
  <c r="E97" i="1"/>
  <c r="C65" i="16" s="1"/>
  <c r="H64" i="2"/>
  <c r="Q97" i="1"/>
  <c r="G65" i="16" s="1"/>
  <c r="K64" i="2"/>
  <c r="W97" i="1"/>
  <c r="I65" i="16" s="1"/>
  <c r="K97" i="1"/>
  <c r="F64" i="2"/>
  <c r="H97" i="1"/>
  <c r="D65" i="16" s="1"/>
  <c r="E64" i="2"/>
  <c r="M64" i="2"/>
  <c r="AC97" i="1"/>
  <c r="K65" i="16" s="1"/>
  <c r="O65" i="2"/>
  <c r="O64" i="2"/>
  <c r="R64" i="2"/>
  <c r="AO97" i="1"/>
  <c r="O65" i="16" s="1"/>
  <c r="P64" i="2"/>
  <c r="AI97" i="1"/>
  <c r="M65" i="16" s="1"/>
  <c r="J64" i="2"/>
  <c r="Q64" i="2"/>
  <c r="B65" i="2"/>
  <c r="C136" i="1"/>
  <c r="T130" i="1" l="1"/>
  <c r="H69" i="16" s="1"/>
  <c r="G65" i="2"/>
  <c r="D46" i="2"/>
  <c r="B46" i="17" s="1"/>
  <c r="AB135" i="1"/>
  <c r="AC155" i="1" s="1"/>
  <c r="Z130" i="1"/>
  <c r="J69" i="16" s="1"/>
  <c r="L65" i="2"/>
  <c r="F69" i="16"/>
  <c r="Q65" i="2"/>
  <c r="AN135" i="1"/>
  <c r="N74" i="16" s="1"/>
  <c r="AL130" i="1"/>
  <c r="N69" i="16" s="1"/>
  <c r="E65" i="16"/>
  <c r="M135" i="1"/>
  <c r="AH135" i="1"/>
  <c r="AF130" i="1"/>
  <c r="L69" i="16" s="1"/>
  <c r="J74" i="16"/>
  <c r="B65" i="16"/>
  <c r="B74" i="16"/>
  <c r="B74" i="2"/>
  <c r="P135" i="1"/>
  <c r="P136" i="1" s="1"/>
  <c r="H65" i="16"/>
  <c r="V135" i="1"/>
  <c r="V136" i="1" s="1"/>
  <c r="E155" i="1"/>
  <c r="D90" i="1"/>
  <c r="D91" i="1" s="1"/>
  <c r="D179" i="1" s="1"/>
  <c r="D136" i="1"/>
  <c r="AO130" i="1"/>
  <c r="O69" i="16" s="1"/>
  <c r="AQ135" i="1"/>
  <c r="H130" i="1"/>
  <c r="D69" i="16" s="1"/>
  <c r="J135" i="1"/>
  <c r="W130" i="1"/>
  <c r="I69" i="16" s="1"/>
  <c r="Y135" i="1"/>
  <c r="AC130" i="1"/>
  <c r="K69" i="16" s="1"/>
  <c r="AE135" i="1"/>
  <c r="Q130" i="1"/>
  <c r="G69" i="16" s="1"/>
  <c r="S135" i="1"/>
  <c r="K130" i="1"/>
  <c r="E69" i="16" s="1"/>
  <c r="AI130" i="1"/>
  <c r="M69" i="16" s="1"/>
  <c r="AK135" i="1"/>
  <c r="E130" i="1"/>
  <c r="C69" i="16" s="1"/>
  <c r="G135" i="1"/>
  <c r="D64" i="2"/>
  <c r="B64" i="17" s="1"/>
  <c r="D172" i="1"/>
  <c r="E47" i="1"/>
  <c r="E52" i="1" s="1"/>
  <c r="P65" i="2"/>
  <c r="I64" i="2"/>
  <c r="C64" i="17" s="1"/>
  <c r="E65" i="2"/>
  <c r="R65" i="2"/>
  <c r="N64" i="2"/>
  <c r="D64" i="17" s="1"/>
  <c r="K65" i="2"/>
  <c r="N134" i="1"/>
  <c r="F73" i="16" s="1"/>
  <c r="G69" i="2"/>
  <c r="H65" i="2"/>
  <c r="Q69" i="2"/>
  <c r="S64" i="2"/>
  <c r="E64" i="17" s="1"/>
  <c r="M65" i="2"/>
  <c r="F65" i="2"/>
  <c r="C65" i="2"/>
  <c r="D65" i="2" s="1"/>
  <c r="B65" i="17" s="1"/>
  <c r="B69" i="2"/>
  <c r="T134" i="1" l="1"/>
  <c r="H73" i="16" s="1"/>
  <c r="J69" i="2"/>
  <c r="AB136" i="1"/>
  <c r="L74" i="2"/>
  <c r="L69" i="2"/>
  <c r="AL134" i="1"/>
  <c r="N73" i="16" s="1"/>
  <c r="N75" i="16" s="1"/>
  <c r="Z134" i="1"/>
  <c r="J73" i="16" s="1"/>
  <c r="J75" i="16" s="1"/>
  <c r="AF134" i="1"/>
  <c r="L73" i="16" s="1"/>
  <c r="O69" i="2"/>
  <c r="AN136" i="1"/>
  <c r="AO155" i="1"/>
  <c r="AO141" i="1" s="1"/>
  <c r="AO161" i="1" s="1"/>
  <c r="Q74" i="2"/>
  <c r="B106" i="2"/>
  <c r="B106" i="16"/>
  <c r="K74" i="16"/>
  <c r="M74" i="2"/>
  <c r="C86" i="16"/>
  <c r="C86" i="2"/>
  <c r="D86" i="2" s="1"/>
  <c r="B86" i="17" s="1"/>
  <c r="AI155" i="1"/>
  <c r="L74" i="16"/>
  <c r="O74" i="2"/>
  <c r="D171" i="1"/>
  <c r="D175" i="1" s="1"/>
  <c r="B100" i="16"/>
  <c r="C74" i="16"/>
  <c r="C74" i="2"/>
  <c r="D74" i="2" s="1"/>
  <c r="B74" i="17" s="1"/>
  <c r="B73" i="2"/>
  <c r="B75" i="2" s="1"/>
  <c r="B69" i="16"/>
  <c r="I74" i="16"/>
  <c r="K74" i="2"/>
  <c r="AH136" i="1"/>
  <c r="M74" i="16"/>
  <c r="P74" i="2"/>
  <c r="D74" i="16"/>
  <c r="E74" i="2"/>
  <c r="H74" i="16"/>
  <c r="J74" i="2"/>
  <c r="W155" i="1"/>
  <c r="AC141" i="1"/>
  <c r="K86" i="16"/>
  <c r="M86" i="2"/>
  <c r="F74" i="2"/>
  <c r="E74" i="16"/>
  <c r="G74" i="16"/>
  <c r="H74" i="2"/>
  <c r="O74" i="16"/>
  <c r="R74" i="2"/>
  <c r="Q155" i="1"/>
  <c r="F74" i="16"/>
  <c r="F75" i="16" s="1"/>
  <c r="G74" i="2"/>
  <c r="E141" i="1"/>
  <c r="C78" i="16" s="1"/>
  <c r="E90" i="1"/>
  <c r="E91" i="1" s="1"/>
  <c r="E179" i="1" s="1"/>
  <c r="F90" i="1"/>
  <c r="F91" i="1" s="1"/>
  <c r="F179" i="1" s="1"/>
  <c r="G90" i="1"/>
  <c r="G91" i="1" s="1"/>
  <c r="G179" i="1" s="1"/>
  <c r="T155" i="1"/>
  <c r="T141" i="1" s="1"/>
  <c r="S136" i="1"/>
  <c r="AQ155" i="1"/>
  <c r="AQ141" i="1" s="1"/>
  <c r="AQ136" i="1"/>
  <c r="H155" i="1"/>
  <c r="G136" i="1"/>
  <c r="AF155" i="1"/>
  <c r="AE136" i="1"/>
  <c r="J73" i="2"/>
  <c r="T136" i="1"/>
  <c r="Q73" i="2"/>
  <c r="G73" i="2"/>
  <c r="N136" i="1"/>
  <c r="AL155" i="1"/>
  <c r="AK136" i="1"/>
  <c r="Z155" i="1"/>
  <c r="Y136" i="1"/>
  <c r="N155" i="1"/>
  <c r="M136" i="1"/>
  <c r="K155" i="1"/>
  <c r="J136" i="1"/>
  <c r="N65" i="2"/>
  <c r="D65" i="17" s="1"/>
  <c r="E172" i="1"/>
  <c r="E171" i="1" s="1"/>
  <c r="B100" i="2"/>
  <c r="F47" i="1"/>
  <c r="F52" i="1" s="1"/>
  <c r="S65" i="2"/>
  <c r="E65" i="17" s="1"/>
  <c r="E41" i="2"/>
  <c r="E46" i="2" s="1"/>
  <c r="F69" i="2"/>
  <c r="K134" i="1"/>
  <c r="E73" i="16" s="1"/>
  <c r="R69" i="2"/>
  <c r="AO134" i="1"/>
  <c r="O73" i="16" s="1"/>
  <c r="P69" i="2"/>
  <c r="AI134" i="1"/>
  <c r="M73" i="16" s="1"/>
  <c r="K69" i="2"/>
  <c r="W134" i="1"/>
  <c r="I73" i="16" s="1"/>
  <c r="E69" i="2"/>
  <c r="H134" i="1"/>
  <c r="D73" i="16" s="1"/>
  <c r="E134" i="1"/>
  <c r="C73" i="16" s="1"/>
  <c r="C69" i="2"/>
  <c r="D69" i="2" s="1"/>
  <c r="B69" i="17" s="1"/>
  <c r="B32" i="18" s="1"/>
  <c r="I65" i="2"/>
  <c r="C65" i="17" s="1"/>
  <c r="M69" i="2"/>
  <c r="AC134" i="1"/>
  <c r="K73" i="16" s="1"/>
  <c r="K75" i="16" s="1"/>
  <c r="H69" i="2"/>
  <c r="Q134" i="1"/>
  <c r="G73" i="16" s="1"/>
  <c r="G75" i="16" s="1"/>
  <c r="AL136" i="1" l="1"/>
  <c r="H75" i="16"/>
  <c r="L73" i="2"/>
  <c r="L75" i="2" s="1"/>
  <c r="O75" i="16"/>
  <c r="O73" i="2"/>
  <c r="M75" i="16"/>
  <c r="Z136" i="1"/>
  <c r="D75" i="16"/>
  <c r="E75" i="16"/>
  <c r="AF136" i="1"/>
  <c r="L75" i="16"/>
  <c r="N74" i="2"/>
  <c r="D74" i="17" s="1"/>
  <c r="C75" i="16"/>
  <c r="R86" i="2"/>
  <c r="O78" i="16"/>
  <c r="C106" i="2"/>
  <c r="D106" i="2" s="1"/>
  <c r="B106" i="17" s="1"/>
  <c r="C106" i="16"/>
  <c r="K78" i="16"/>
  <c r="AC161" i="1"/>
  <c r="M78" i="2"/>
  <c r="O86" i="16"/>
  <c r="AI141" i="1"/>
  <c r="M86" i="16"/>
  <c r="P86" i="2"/>
  <c r="N141" i="1"/>
  <c r="G78" i="2" s="1"/>
  <c r="F86" i="16"/>
  <c r="G86" i="2"/>
  <c r="B73" i="16"/>
  <c r="B75" i="16" s="1"/>
  <c r="W141" i="1"/>
  <c r="I86" i="16"/>
  <c r="K86" i="2"/>
  <c r="Z141" i="1"/>
  <c r="Z161" i="1" s="1"/>
  <c r="J86" i="16"/>
  <c r="L86" i="2"/>
  <c r="K141" i="1"/>
  <c r="K161" i="1" s="1"/>
  <c r="E86" i="16"/>
  <c r="F86" i="2"/>
  <c r="H141" i="1"/>
  <c r="E78" i="2" s="1"/>
  <c r="D86" i="16"/>
  <c r="E86" i="2"/>
  <c r="I75" i="16"/>
  <c r="AL141" i="1"/>
  <c r="N78" i="16" s="1"/>
  <c r="N86" i="16"/>
  <c r="Q86" i="2"/>
  <c r="AF141" i="1"/>
  <c r="L78" i="16" s="1"/>
  <c r="L86" i="16"/>
  <c r="O86" i="2"/>
  <c r="J78" i="2"/>
  <c r="H86" i="16"/>
  <c r="J86" i="2"/>
  <c r="N86" i="2" s="1"/>
  <c r="D86" i="17" s="1"/>
  <c r="Q141" i="1"/>
  <c r="G86" i="16"/>
  <c r="H86" i="2"/>
  <c r="I74" i="2"/>
  <c r="C74" i="17" s="1"/>
  <c r="B99" i="2"/>
  <c r="B99" i="16"/>
  <c r="S74" i="2"/>
  <c r="E74" i="17" s="1"/>
  <c r="B103" i="2"/>
  <c r="B103" i="16"/>
  <c r="J75" i="2"/>
  <c r="O75" i="2"/>
  <c r="G75" i="2"/>
  <c r="Q75" i="2"/>
  <c r="X90" i="1"/>
  <c r="X91" i="1" s="1"/>
  <c r="X179" i="1" s="1"/>
  <c r="AM90" i="1"/>
  <c r="AM91" i="1" s="1"/>
  <c r="AM179" i="1" s="1"/>
  <c r="V90" i="1"/>
  <c r="V91" i="1" s="1"/>
  <c r="V179" i="1" s="1"/>
  <c r="AC90" i="1"/>
  <c r="AC91" i="1" s="1"/>
  <c r="AC179" i="1" s="1"/>
  <c r="AO90" i="1"/>
  <c r="AO91" i="1" s="1"/>
  <c r="AO179" i="1" s="1"/>
  <c r="I90" i="1"/>
  <c r="I91" i="1" s="1"/>
  <c r="I179" i="1" s="1"/>
  <c r="AH90" i="1"/>
  <c r="AH91" i="1" s="1"/>
  <c r="AH179" i="1" s="1"/>
  <c r="J90" i="1"/>
  <c r="J91" i="1" s="1"/>
  <c r="J179" i="1" s="1"/>
  <c r="AF90" i="1"/>
  <c r="AF91" i="1" s="1"/>
  <c r="AF179" i="1" s="1"/>
  <c r="O90" i="1"/>
  <c r="O91" i="1" s="1"/>
  <c r="O179" i="1" s="1"/>
  <c r="AK90" i="1"/>
  <c r="AK91" i="1" s="1"/>
  <c r="AK179" i="1" s="1"/>
  <c r="T90" i="1"/>
  <c r="T91" i="1" s="1"/>
  <c r="T179" i="1" s="1"/>
  <c r="L90" i="1"/>
  <c r="L91" i="1" s="1"/>
  <c r="L179" i="1" s="1"/>
  <c r="AG90" i="1"/>
  <c r="AG91" i="1" s="1"/>
  <c r="AG179" i="1" s="1"/>
  <c r="P90" i="1"/>
  <c r="P91" i="1" s="1"/>
  <c r="P179" i="1" s="1"/>
  <c r="AP90" i="1"/>
  <c r="AP91" i="1" s="1"/>
  <c r="AP179" i="1" s="1"/>
  <c r="U90" i="1"/>
  <c r="U91" i="1" s="1"/>
  <c r="U179" i="1" s="1"/>
  <c r="AQ90" i="1"/>
  <c r="AQ91" i="1" s="1"/>
  <c r="AQ179" i="1" s="1"/>
  <c r="Y90" i="1"/>
  <c r="Y91" i="1" s="1"/>
  <c r="Y179" i="1" s="1"/>
  <c r="H90" i="1"/>
  <c r="H91" i="1" s="1"/>
  <c r="H179" i="1" s="1"/>
  <c r="AL90" i="1"/>
  <c r="AL91" i="1" s="1"/>
  <c r="AL179" i="1" s="1"/>
  <c r="M90" i="1"/>
  <c r="M91" i="1" s="1"/>
  <c r="M179" i="1" s="1"/>
  <c r="AI90" i="1"/>
  <c r="AI91" i="1" s="1"/>
  <c r="AI179" i="1" s="1"/>
  <c r="Q90" i="1"/>
  <c r="Q91" i="1" s="1"/>
  <c r="Q179" i="1" s="1"/>
  <c r="R90" i="1"/>
  <c r="R91" i="1" s="1"/>
  <c r="R179" i="1" s="1"/>
  <c r="AD90" i="1"/>
  <c r="AD91" i="1" s="1"/>
  <c r="AD179" i="1" s="1"/>
  <c r="AA90" i="1"/>
  <c r="AA91" i="1" s="1"/>
  <c r="AA179" i="1" s="1"/>
  <c r="S90" i="1"/>
  <c r="S91" i="1" s="1"/>
  <c r="S179" i="1" s="1"/>
  <c r="Z90" i="1"/>
  <c r="Z91" i="1" s="1"/>
  <c r="Z179" i="1" s="1"/>
  <c r="AE90" i="1"/>
  <c r="AE91" i="1" s="1"/>
  <c r="AE179" i="1" s="1"/>
  <c r="N90" i="1"/>
  <c r="N91" i="1" s="1"/>
  <c r="N179" i="1" s="1"/>
  <c r="AJ90" i="1"/>
  <c r="AJ91" i="1" s="1"/>
  <c r="AJ179" i="1" s="1"/>
  <c r="K90" i="1"/>
  <c r="K91" i="1" s="1"/>
  <c r="K179" i="1" s="1"/>
  <c r="AN90" i="1"/>
  <c r="AN91" i="1" s="1"/>
  <c r="AN179" i="1" s="1"/>
  <c r="W90" i="1"/>
  <c r="W91" i="1" s="1"/>
  <c r="W179" i="1" s="1"/>
  <c r="AB90" i="1"/>
  <c r="AB91" i="1" s="1"/>
  <c r="AB179" i="1" s="1"/>
  <c r="C78" i="2"/>
  <c r="E161" i="1"/>
  <c r="C92" i="16" s="1"/>
  <c r="H73" i="2"/>
  <c r="Q136" i="1"/>
  <c r="F73" i="2"/>
  <c r="K136" i="1"/>
  <c r="K73" i="2"/>
  <c r="W136" i="1"/>
  <c r="M73" i="2"/>
  <c r="AC136" i="1"/>
  <c r="C73" i="2"/>
  <c r="E136" i="1"/>
  <c r="R73" i="2"/>
  <c r="AO136" i="1"/>
  <c r="F78" i="2"/>
  <c r="P73" i="2"/>
  <c r="P75" i="2" s="1"/>
  <c r="AI136" i="1"/>
  <c r="AQ161" i="1"/>
  <c r="R78" i="2"/>
  <c r="E73" i="2"/>
  <c r="H136" i="1"/>
  <c r="G47" i="1"/>
  <c r="F172" i="1"/>
  <c r="F171" i="1" s="1"/>
  <c r="I41" i="2"/>
  <c r="S69" i="2"/>
  <c r="N69" i="2"/>
  <c r="I69" i="2"/>
  <c r="F78" i="16" l="1"/>
  <c r="N161" i="1"/>
  <c r="F92" i="16" s="1"/>
  <c r="J78" i="16"/>
  <c r="L78" i="2"/>
  <c r="T161" i="1"/>
  <c r="J92" i="2" s="1"/>
  <c r="Q78" i="2"/>
  <c r="E78" i="16"/>
  <c r="H78" i="16"/>
  <c r="AL161" i="1"/>
  <c r="Q92" i="2" s="1"/>
  <c r="O78" i="2"/>
  <c r="K106" i="2"/>
  <c r="I106" i="16"/>
  <c r="I78" i="16"/>
  <c r="K78" i="2"/>
  <c r="W161" i="1"/>
  <c r="M78" i="16"/>
  <c r="AI161" i="1"/>
  <c r="P78" i="2"/>
  <c r="Q106" i="2"/>
  <c r="N106" i="16"/>
  <c r="R106" i="2"/>
  <c r="O106" i="16"/>
  <c r="P106" i="2"/>
  <c r="M106" i="16"/>
  <c r="J106" i="2"/>
  <c r="H106" i="16"/>
  <c r="D78" i="16"/>
  <c r="G78" i="16"/>
  <c r="Q161" i="1"/>
  <c r="H78" i="2"/>
  <c r="I78" i="2" s="1"/>
  <c r="C180" i="1"/>
  <c r="C181" i="1" s="1"/>
  <c r="C183" i="1" s="1"/>
  <c r="D180" i="1"/>
  <c r="L106" i="2"/>
  <c r="J106" i="16"/>
  <c r="H161" i="1"/>
  <c r="E92" i="2" s="1"/>
  <c r="M92" i="2"/>
  <c r="K92" i="16"/>
  <c r="G106" i="2"/>
  <c r="F106" i="16"/>
  <c r="E106" i="2"/>
  <c r="D106" i="16"/>
  <c r="AF161" i="1"/>
  <c r="O92" i="2" s="1"/>
  <c r="M106" i="2"/>
  <c r="N106" i="2" s="1"/>
  <c r="D106" i="17" s="1"/>
  <c r="K106" i="16"/>
  <c r="F106" i="2"/>
  <c r="E106" i="16"/>
  <c r="O106" i="2"/>
  <c r="L106" i="16"/>
  <c r="I86" i="2"/>
  <c r="C86" i="17" s="1"/>
  <c r="H106" i="2"/>
  <c r="I106" i="2" s="1"/>
  <c r="C106" i="17" s="1"/>
  <c r="G106" i="16"/>
  <c r="I46" i="2"/>
  <c r="C46" i="17" s="1"/>
  <c r="C41" i="17"/>
  <c r="S86" i="2"/>
  <c r="E86" i="17" s="1"/>
  <c r="L92" i="2"/>
  <c r="J92" i="16"/>
  <c r="F92" i="2"/>
  <c r="E92" i="16"/>
  <c r="C69" i="17"/>
  <c r="C32" i="18" s="1"/>
  <c r="I70" i="2"/>
  <c r="C70" i="17" s="1"/>
  <c r="D69" i="17"/>
  <c r="D32" i="18" s="1"/>
  <c r="N70" i="2"/>
  <c r="D70" i="17" s="1"/>
  <c r="E69" i="17"/>
  <c r="E32" i="18" s="1"/>
  <c r="S70" i="2"/>
  <c r="E70" i="17" s="1"/>
  <c r="R92" i="2"/>
  <c r="O92" i="16"/>
  <c r="K75" i="2"/>
  <c r="M75" i="2"/>
  <c r="R75" i="2"/>
  <c r="S75" i="2" s="1"/>
  <c r="F75" i="2"/>
  <c r="E75" i="2"/>
  <c r="C75" i="2"/>
  <c r="D75" i="2" s="1"/>
  <c r="B75" i="17" s="1"/>
  <c r="B33" i="18" s="1"/>
  <c r="H75" i="2"/>
  <c r="D73" i="2"/>
  <c r="D78" i="2"/>
  <c r="S106" i="2"/>
  <c r="E106" i="17" s="1"/>
  <c r="I73" i="2"/>
  <c r="C73" i="17" s="1"/>
  <c r="E163" i="1"/>
  <c r="C92" i="2"/>
  <c r="N73" i="2"/>
  <c r="D73" i="17" s="1"/>
  <c r="S73" i="2"/>
  <c r="E73" i="17" s="1"/>
  <c r="W180" i="1"/>
  <c r="W181" i="1" s="1"/>
  <c r="AG180" i="1"/>
  <c r="AG181" i="1" s="1"/>
  <c r="AN180" i="1"/>
  <c r="F180" i="1"/>
  <c r="F181" i="1" s="1"/>
  <c r="S180" i="1"/>
  <c r="E180" i="1"/>
  <c r="E181" i="1" s="1"/>
  <c r="AJ180" i="1"/>
  <c r="AJ181" i="1" s="1"/>
  <c r="AL180" i="1"/>
  <c r="AL181" i="1" s="1"/>
  <c r="L180" i="1"/>
  <c r="L181" i="1" s="1"/>
  <c r="I180" i="1"/>
  <c r="I181" i="1" s="1"/>
  <c r="K180" i="1"/>
  <c r="K181" i="1" s="1"/>
  <c r="AH180" i="1"/>
  <c r="AC180" i="1"/>
  <c r="AC181" i="1" s="1"/>
  <c r="AI180" i="1"/>
  <c r="AI181" i="1" s="1"/>
  <c r="AE180" i="1"/>
  <c r="AF180" i="1"/>
  <c r="AF181" i="1" s="1"/>
  <c r="P180" i="1"/>
  <c r="T180" i="1"/>
  <c r="T181" i="1" s="1"/>
  <c r="AM180" i="1"/>
  <c r="AM181" i="1" s="1"/>
  <c r="N180" i="1"/>
  <c r="N181" i="1" s="1"/>
  <c r="O180" i="1"/>
  <c r="O181" i="1" s="1"/>
  <c r="Q180" i="1"/>
  <c r="Q181" i="1" s="1"/>
  <c r="AQ180" i="1"/>
  <c r="V180" i="1"/>
  <c r="Y180" i="1"/>
  <c r="AK180" i="1"/>
  <c r="R180" i="1"/>
  <c r="R181" i="1" s="1"/>
  <c r="M180" i="1"/>
  <c r="AP180" i="1"/>
  <c r="AP181" i="1" s="1"/>
  <c r="AB180" i="1"/>
  <c r="AO180" i="1"/>
  <c r="AO181" i="1" s="1"/>
  <c r="X180" i="1"/>
  <c r="X181" i="1" s="1"/>
  <c r="Z180" i="1"/>
  <c r="Z181" i="1" s="1"/>
  <c r="AD180" i="1"/>
  <c r="AD181" i="1" s="1"/>
  <c r="J180" i="1"/>
  <c r="G180" i="1"/>
  <c r="H180" i="1"/>
  <c r="H181" i="1" s="1"/>
  <c r="U180" i="1"/>
  <c r="U181" i="1" s="1"/>
  <c r="AA180" i="1"/>
  <c r="AA181" i="1" s="1"/>
  <c r="G52" i="1"/>
  <c r="H47" i="1" s="1"/>
  <c r="H52" i="1" s="1"/>
  <c r="F41" i="2"/>
  <c r="G92" i="2" l="1"/>
  <c r="S78" i="2"/>
  <c r="E78" i="17" s="1"/>
  <c r="D92" i="16"/>
  <c r="N92" i="16"/>
  <c r="N78" i="2"/>
  <c r="D78" i="17" s="1"/>
  <c r="H92" i="16"/>
  <c r="L92" i="16"/>
  <c r="B107" i="16"/>
  <c r="D181" i="1"/>
  <c r="B107" i="2"/>
  <c r="P92" i="2"/>
  <c r="S92" i="2" s="1"/>
  <c r="E92" i="17" s="1"/>
  <c r="N31" i="18" s="1"/>
  <c r="M92" i="16"/>
  <c r="K92" i="2"/>
  <c r="N92" i="2" s="1"/>
  <c r="D92" i="17" s="1"/>
  <c r="M31" i="18" s="1"/>
  <c r="I92" i="16"/>
  <c r="H92" i="2"/>
  <c r="I92" i="2" s="1"/>
  <c r="C92" i="17" s="1"/>
  <c r="L31" i="18" s="1"/>
  <c r="G92" i="16"/>
  <c r="J181" i="1"/>
  <c r="D107" i="16"/>
  <c r="Q107" i="2"/>
  <c r="N107" i="16"/>
  <c r="B73" i="17"/>
  <c r="F107" i="2"/>
  <c r="E107" i="16"/>
  <c r="P107" i="2"/>
  <c r="M107" i="16"/>
  <c r="AH181" i="1"/>
  <c r="L107" i="16"/>
  <c r="K107" i="2"/>
  <c r="I107" i="16"/>
  <c r="P181" i="1"/>
  <c r="F107" i="16"/>
  <c r="C107" i="2"/>
  <c r="D107" i="2" s="1"/>
  <c r="B107" i="17" s="1"/>
  <c r="C107" i="16"/>
  <c r="V181" i="1"/>
  <c r="H107" i="16"/>
  <c r="I75" i="2"/>
  <c r="R107" i="2"/>
  <c r="S107" i="2" s="1"/>
  <c r="E107" i="17" s="1"/>
  <c r="O107" i="16"/>
  <c r="M107" i="2"/>
  <c r="N107" i="2" s="1"/>
  <c r="D107" i="17" s="1"/>
  <c r="K107" i="16"/>
  <c r="AB181" i="1"/>
  <c r="J107" i="16"/>
  <c r="E75" i="17"/>
  <c r="S76" i="2"/>
  <c r="H107" i="2"/>
  <c r="I107" i="2" s="1"/>
  <c r="C107" i="17" s="1"/>
  <c r="G107" i="16"/>
  <c r="C78" i="17"/>
  <c r="B78" i="17"/>
  <c r="F46" i="2"/>
  <c r="N75" i="2"/>
  <c r="M181" i="1"/>
  <c r="G107" i="2"/>
  <c r="Y181" i="1"/>
  <c r="AK181" i="1"/>
  <c r="L107" i="2"/>
  <c r="D92" i="2"/>
  <c r="B92" i="17" s="1"/>
  <c r="K31" i="18" s="1"/>
  <c r="F162" i="1"/>
  <c r="F163" i="1" s="1"/>
  <c r="E169" i="1"/>
  <c r="E175" i="1" s="1"/>
  <c r="E183" i="1" s="1"/>
  <c r="AN181" i="1"/>
  <c r="E107" i="2"/>
  <c r="S181" i="1"/>
  <c r="O107" i="2"/>
  <c r="AE181" i="1"/>
  <c r="AQ181" i="1"/>
  <c r="J107" i="2"/>
  <c r="G181" i="1"/>
  <c r="I47" i="1"/>
  <c r="I52" i="1" s="1"/>
  <c r="H172" i="1"/>
  <c r="H171" i="1" s="1"/>
  <c r="G172" i="1"/>
  <c r="C100" i="16" s="1"/>
  <c r="J41" i="2"/>
  <c r="B3" i="19" l="1"/>
  <c r="K30" i="18"/>
  <c r="D3" i="19"/>
  <c r="M30" i="18"/>
  <c r="E76" i="17"/>
  <c r="E33" i="18"/>
  <c r="E3" i="19"/>
  <c r="N30" i="18"/>
  <c r="C3" i="19"/>
  <c r="L30" i="18"/>
  <c r="B108" i="16"/>
  <c r="B110" i="16" s="1"/>
  <c r="D183" i="1"/>
  <c r="B108" i="2"/>
  <c r="B110" i="2" s="1"/>
  <c r="P108" i="2"/>
  <c r="M108" i="16"/>
  <c r="Q108" i="2"/>
  <c r="N108" i="16"/>
  <c r="K108" i="2"/>
  <c r="I108" i="16"/>
  <c r="F108" i="2"/>
  <c r="E108" i="16"/>
  <c r="J108" i="2"/>
  <c r="H108" i="16"/>
  <c r="O108" i="2"/>
  <c r="L108" i="16"/>
  <c r="C75" i="17"/>
  <c r="I76" i="2"/>
  <c r="C108" i="2"/>
  <c r="D108" i="2" s="1"/>
  <c r="B108" i="17" s="1"/>
  <c r="C108" i="16"/>
  <c r="L108" i="2"/>
  <c r="J108" i="16"/>
  <c r="H108" i="2"/>
  <c r="I108" i="2" s="1"/>
  <c r="C108" i="17" s="1"/>
  <c r="G108" i="16"/>
  <c r="R108" i="2"/>
  <c r="S108" i="2" s="1"/>
  <c r="E108" i="17" s="1"/>
  <c r="O108" i="16"/>
  <c r="E108" i="2"/>
  <c r="D108" i="16"/>
  <c r="M108" i="2"/>
  <c r="N108" i="2" s="1"/>
  <c r="D108" i="17" s="1"/>
  <c r="K108" i="16"/>
  <c r="D75" i="17"/>
  <c r="N76" i="2"/>
  <c r="G108" i="2"/>
  <c r="F108" i="16"/>
  <c r="J46" i="2"/>
  <c r="F169" i="1"/>
  <c r="F175" i="1" s="1"/>
  <c r="F183" i="1" s="1"/>
  <c r="G162" i="1"/>
  <c r="G163" i="1" s="1"/>
  <c r="C94" i="16" s="1"/>
  <c r="D93" i="16" s="1"/>
  <c r="C100" i="2"/>
  <c r="G171" i="1"/>
  <c r="C99" i="16" s="1"/>
  <c r="I172" i="1"/>
  <c r="I171" i="1" s="1"/>
  <c r="J47" i="1"/>
  <c r="J52" i="1" s="1"/>
  <c r="G41" i="2"/>
  <c r="N41" i="2"/>
  <c r="D76" i="17" l="1"/>
  <c r="D33" i="18"/>
  <c r="C76" i="17"/>
  <c r="C33" i="18"/>
  <c r="B5" i="19"/>
  <c r="B6" i="19"/>
  <c r="N46" i="2"/>
  <c r="D46" i="17" s="1"/>
  <c r="D41" i="17"/>
  <c r="G46" i="2"/>
  <c r="C94" i="2"/>
  <c r="H162" i="1"/>
  <c r="H163" i="1" s="1"/>
  <c r="G169" i="1"/>
  <c r="K47" i="1"/>
  <c r="K52" i="1" s="1"/>
  <c r="J172" i="1"/>
  <c r="C99" i="2"/>
  <c r="D100" i="2"/>
  <c r="B100" i="17" s="1"/>
  <c r="K41" i="2"/>
  <c r="C97" i="2" l="1"/>
  <c r="D97" i="2" s="1"/>
  <c r="B97" i="17" s="1"/>
  <c r="C97" i="16"/>
  <c r="G175" i="1"/>
  <c r="C103" i="16" s="1"/>
  <c r="C110" i="16" s="1"/>
  <c r="K46" i="2"/>
  <c r="D100" i="16"/>
  <c r="I162" i="1"/>
  <c r="I163" i="1" s="1"/>
  <c r="H169" i="1"/>
  <c r="H175" i="1" s="1"/>
  <c r="H183" i="1" s="1"/>
  <c r="D94" i="2"/>
  <c r="B94" i="17" s="1"/>
  <c r="D99" i="2"/>
  <c r="B99" i="17" s="1"/>
  <c r="E100" i="2"/>
  <c r="J171" i="1"/>
  <c r="K172" i="1"/>
  <c r="K171" i="1" s="1"/>
  <c r="L47" i="1"/>
  <c r="L52" i="1" s="1"/>
  <c r="H41" i="2"/>
  <c r="O41" i="2"/>
  <c r="G183" i="1" l="1"/>
  <c r="C103" i="2"/>
  <c r="D103" i="2" s="1"/>
  <c r="B103" i="17" s="1"/>
  <c r="B110" i="17" s="1"/>
  <c r="H46" i="2"/>
  <c r="D99" i="16"/>
  <c r="E93" i="2"/>
  <c r="I169" i="1"/>
  <c r="I175" i="1" s="1"/>
  <c r="I183" i="1" s="1"/>
  <c r="J162" i="1"/>
  <c r="J163" i="1" s="1"/>
  <c r="D94" i="16" s="1"/>
  <c r="E93" i="16" s="1"/>
  <c r="E99" i="2"/>
  <c r="L172" i="1"/>
  <c r="L171" i="1" s="1"/>
  <c r="M47" i="1"/>
  <c r="M52" i="1" s="1"/>
  <c r="S41" i="2"/>
  <c r="E41" i="17" s="1"/>
  <c r="L41" i="2"/>
  <c r="C110" i="2" l="1"/>
  <c r="L46" i="2"/>
  <c r="K162" i="1"/>
  <c r="K163" i="1" s="1"/>
  <c r="J169" i="1"/>
  <c r="D97" i="16" s="1"/>
  <c r="E94" i="2"/>
  <c r="I93" i="2"/>
  <c r="C93" i="17" s="1"/>
  <c r="D110" i="2"/>
  <c r="M172" i="1"/>
  <c r="N47" i="1"/>
  <c r="N52" i="1" s="1"/>
  <c r="E100" i="16" l="1"/>
  <c r="E97" i="2"/>
  <c r="J175" i="1"/>
  <c r="F93" i="2"/>
  <c r="L162" i="1"/>
  <c r="L163" i="1" s="1"/>
  <c r="K169" i="1"/>
  <c r="K175" i="1" s="1"/>
  <c r="K183" i="1" s="1"/>
  <c r="O47" i="1"/>
  <c r="O52" i="1" s="1"/>
  <c r="N172" i="1"/>
  <c r="N171" i="1" s="1"/>
  <c r="M171" i="1"/>
  <c r="F100" i="2"/>
  <c r="M41" i="2"/>
  <c r="M46" i="2" l="1"/>
  <c r="D103" i="16"/>
  <c r="D110" i="16" s="1"/>
  <c r="E99" i="16"/>
  <c r="M162" i="1"/>
  <c r="M163" i="1" s="1"/>
  <c r="E94" i="16" s="1"/>
  <c r="F93" i="16" s="1"/>
  <c r="L169" i="1"/>
  <c r="L175" i="1" s="1"/>
  <c r="L183" i="1" s="1"/>
  <c r="J183" i="1"/>
  <c r="E103" i="2"/>
  <c r="P47" i="1"/>
  <c r="P52" i="1" s="1"/>
  <c r="O172" i="1"/>
  <c r="O171" i="1" s="1"/>
  <c r="F99" i="2"/>
  <c r="E110" i="2" l="1"/>
  <c r="M169" i="1"/>
  <c r="E97" i="16" s="1"/>
  <c r="N162" i="1"/>
  <c r="N163" i="1" s="1"/>
  <c r="F94" i="2"/>
  <c r="P172" i="1"/>
  <c r="Q47" i="1"/>
  <c r="Q52" i="1" s="1"/>
  <c r="F100" i="16" l="1"/>
  <c r="N169" i="1"/>
  <c r="N175" i="1" s="1"/>
  <c r="N183" i="1" s="1"/>
  <c r="O162" i="1"/>
  <c r="O163" i="1" s="1"/>
  <c r="G93" i="2"/>
  <c r="F97" i="2"/>
  <c r="M175" i="1"/>
  <c r="Q172" i="1"/>
  <c r="Q171" i="1" s="1"/>
  <c r="R47" i="1"/>
  <c r="R52" i="1" s="1"/>
  <c r="G100" i="2"/>
  <c r="P171" i="1"/>
  <c r="E103" i="16" l="1"/>
  <c r="E110" i="16" s="1"/>
  <c r="F99" i="16"/>
  <c r="O169" i="1"/>
  <c r="O175" i="1" s="1"/>
  <c r="O183" i="1" s="1"/>
  <c r="P162" i="1"/>
  <c r="P163" i="1" s="1"/>
  <c r="F94" i="16" s="1"/>
  <c r="G93" i="16" s="1"/>
  <c r="M183" i="1"/>
  <c r="F103" i="2"/>
  <c r="G99" i="2"/>
  <c r="R172" i="1"/>
  <c r="R171" i="1" s="1"/>
  <c r="S47" i="1"/>
  <c r="S52" i="1" s="1"/>
  <c r="F110" i="2" l="1"/>
  <c r="G94" i="2"/>
  <c r="Q162" i="1"/>
  <c r="Q163" i="1" s="1"/>
  <c r="P169" i="1"/>
  <c r="F97" i="16" s="1"/>
  <c r="T47" i="1"/>
  <c r="T52" i="1" s="1"/>
  <c r="S172" i="1"/>
  <c r="G100" i="16" l="1"/>
  <c r="G97" i="2"/>
  <c r="P175" i="1"/>
  <c r="R162" i="1"/>
  <c r="R163" i="1" s="1"/>
  <c r="Q169" i="1"/>
  <c r="Q175" i="1" s="1"/>
  <c r="Q183" i="1" s="1"/>
  <c r="H93" i="2"/>
  <c r="H100" i="2"/>
  <c r="S171" i="1"/>
  <c r="T172" i="1"/>
  <c r="T171" i="1" s="1"/>
  <c r="U47" i="1"/>
  <c r="U52" i="1" s="1"/>
  <c r="F103" i="16" l="1"/>
  <c r="F110" i="16" s="1"/>
  <c r="G99" i="16"/>
  <c r="G103" i="2"/>
  <c r="P183" i="1"/>
  <c r="R169" i="1"/>
  <c r="R175" i="1" s="1"/>
  <c r="R183" i="1" s="1"/>
  <c r="S162" i="1"/>
  <c r="S163" i="1" s="1"/>
  <c r="G94" i="16" s="1"/>
  <c r="H93" i="16" s="1"/>
  <c r="H99" i="2"/>
  <c r="V47" i="1"/>
  <c r="V52" i="1" s="1"/>
  <c r="U172" i="1"/>
  <c r="U171" i="1" s="1"/>
  <c r="I100" i="2"/>
  <c r="C100" i="17" s="1"/>
  <c r="S169" i="1" l="1"/>
  <c r="G97" i="16" s="1"/>
  <c r="T162" i="1"/>
  <c r="T163" i="1" s="1"/>
  <c r="H94" i="2"/>
  <c r="G110" i="2"/>
  <c r="V172" i="1"/>
  <c r="W47" i="1"/>
  <c r="W52" i="1" s="1"/>
  <c r="I99" i="2"/>
  <c r="C99" i="17" s="1"/>
  <c r="H100" i="16" l="1"/>
  <c r="U162" i="1"/>
  <c r="U163" i="1" s="1"/>
  <c r="T169" i="1"/>
  <c r="T175" i="1" s="1"/>
  <c r="T183" i="1" s="1"/>
  <c r="I94" i="2"/>
  <c r="C94" i="17" s="1"/>
  <c r="H97" i="2"/>
  <c r="S175" i="1"/>
  <c r="X47" i="1"/>
  <c r="X52" i="1" s="1"/>
  <c r="W172" i="1"/>
  <c r="W171" i="1" s="1"/>
  <c r="V171" i="1"/>
  <c r="J100" i="2"/>
  <c r="G103" i="16" l="1"/>
  <c r="G110" i="16" s="1"/>
  <c r="H99" i="16"/>
  <c r="I97" i="2"/>
  <c r="C97" i="17" s="1"/>
  <c r="H103" i="2"/>
  <c r="S183" i="1"/>
  <c r="J93" i="2"/>
  <c r="V162" i="1"/>
  <c r="V163" i="1" s="1"/>
  <c r="H94" i="16" s="1"/>
  <c r="I93" i="16" s="1"/>
  <c r="U169" i="1"/>
  <c r="U175" i="1" s="1"/>
  <c r="U183" i="1" s="1"/>
  <c r="Y47" i="1"/>
  <c r="Y52" i="1" s="1"/>
  <c r="X172" i="1"/>
  <c r="X171" i="1" s="1"/>
  <c r="J99" i="2"/>
  <c r="V169" i="1" l="1"/>
  <c r="H97" i="16" s="1"/>
  <c r="J94" i="2"/>
  <c r="W162" i="1"/>
  <c r="W163" i="1" s="1"/>
  <c r="N93" i="2"/>
  <c r="D93" i="17" s="1"/>
  <c r="I103" i="2"/>
  <c r="C103" i="17" s="1"/>
  <c r="C110" i="17" s="1"/>
  <c r="H110" i="2"/>
  <c r="Z47" i="1"/>
  <c r="Z52" i="1" s="1"/>
  <c r="Y172" i="1"/>
  <c r="I100" i="16" l="1"/>
  <c r="K93" i="2"/>
  <c r="I110" i="2"/>
  <c r="W169" i="1"/>
  <c r="W175" i="1" s="1"/>
  <c r="W183" i="1" s="1"/>
  <c r="X162" i="1"/>
  <c r="X163" i="1" s="1"/>
  <c r="J97" i="2"/>
  <c r="V175" i="1"/>
  <c r="AA47" i="1"/>
  <c r="AA52" i="1" s="1"/>
  <c r="Z172" i="1"/>
  <c r="Z171" i="1" s="1"/>
  <c r="Y171" i="1"/>
  <c r="K100" i="2"/>
  <c r="H103" i="16" l="1"/>
  <c r="H110" i="16" s="1"/>
  <c r="I99" i="16"/>
  <c r="J103" i="2"/>
  <c r="V183" i="1"/>
  <c r="X169" i="1"/>
  <c r="X175" i="1" s="1"/>
  <c r="X183" i="1" s="1"/>
  <c r="Y162" i="1"/>
  <c r="Y163" i="1" s="1"/>
  <c r="I94" i="16" s="1"/>
  <c r="J93" i="16" s="1"/>
  <c r="AB47" i="1"/>
  <c r="AB52" i="1" s="1"/>
  <c r="AA172" i="1"/>
  <c r="AA171" i="1" s="1"/>
  <c r="K99" i="2"/>
  <c r="K94" i="2" l="1"/>
  <c r="Z162" i="1"/>
  <c r="Z163" i="1" s="1"/>
  <c r="Y169" i="1"/>
  <c r="I97" i="16" s="1"/>
  <c r="J110" i="2"/>
  <c r="AB172" i="1"/>
  <c r="AC47" i="1"/>
  <c r="AC52" i="1" s="1"/>
  <c r="J100" i="16" l="1"/>
  <c r="Z169" i="1"/>
  <c r="Z175" i="1" s="1"/>
  <c r="Z183" i="1" s="1"/>
  <c r="AA162" i="1"/>
  <c r="AA163" i="1" s="1"/>
  <c r="K97" i="2"/>
  <c r="Y175" i="1"/>
  <c r="L93" i="2"/>
  <c r="L100" i="2"/>
  <c r="AB171" i="1"/>
  <c r="AC172" i="1"/>
  <c r="AC171" i="1" s="1"/>
  <c r="AD47" i="1"/>
  <c r="AD52" i="1" s="1"/>
  <c r="I103" i="16" l="1"/>
  <c r="I110" i="16" s="1"/>
  <c r="J99" i="16"/>
  <c r="Y183" i="1"/>
  <c r="K103" i="2"/>
  <c r="AA169" i="1"/>
  <c r="AA175" i="1" s="1"/>
  <c r="AA183" i="1" s="1"/>
  <c r="AB162" i="1"/>
  <c r="AB163" i="1" s="1"/>
  <c r="J94" i="16" s="1"/>
  <c r="K93" i="16" s="1"/>
  <c r="AE47" i="1"/>
  <c r="AE52" i="1" s="1"/>
  <c r="AD172" i="1"/>
  <c r="AD171" i="1" s="1"/>
  <c r="L99" i="2"/>
  <c r="L94" i="2" l="1"/>
  <c r="AB169" i="1"/>
  <c r="J97" i="16" s="1"/>
  <c r="AC162" i="1"/>
  <c r="AC163" i="1" s="1"/>
  <c r="K110" i="2"/>
  <c r="AE172" i="1"/>
  <c r="AF47" i="1"/>
  <c r="AF52" i="1" s="1"/>
  <c r="K100" i="16" l="1"/>
  <c r="AC169" i="1"/>
  <c r="AC175" i="1" s="1"/>
  <c r="AC183" i="1" s="1"/>
  <c r="AD162" i="1"/>
  <c r="AD163" i="1" s="1"/>
  <c r="L97" i="2"/>
  <c r="AB175" i="1"/>
  <c r="M93" i="2"/>
  <c r="AE171" i="1"/>
  <c r="M100" i="2"/>
  <c r="AF172" i="1"/>
  <c r="AF171" i="1" s="1"/>
  <c r="AG47" i="1"/>
  <c r="AG52" i="1" s="1"/>
  <c r="J103" i="16" l="1"/>
  <c r="J110" i="16" s="1"/>
  <c r="K99" i="16"/>
  <c r="L103" i="2"/>
  <c r="AB183" i="1"/>
  <c r="AD169" i="1"/>
  <c r="AD175" i="1" s="1"/>
  <c r="AD183" i="1" s="1"/>
  <c r="AE162" i="1"/>
  <c r="AE163" i="1" s="1"/>
  <c r="K94" i="16" s="1"/>
  <c r="L93" i="16" s="1"/>
  <c r="AG172" i="1"/>
  <c r="AG171" i="1" s="1"/>
  <c r="AH47" i="1"/>
  <c r="AH52" i="1" s="1"/>
  <c r="N100" i="2"/>
  <c r="D100" i="17" s="1"/>
  <c r="M99" i="2"/>
  <c r="O46" i="2" l="1"/>
  <c r="AF162" i="1"/>
  <c r="AF163" i="1" s="1"/>
  <c r="M94" i="2"/>
  <c r="AE169" i="1"/>
  <c r="K97" i="16" s="1"/>
  <c r="L110" i="2"/>
  <c r="N99" i="2"/>
  <c r="D99" i="17" s="1"/>
  <c r="AI47" i="1"/>
  <c r="AI52" i="1" s="1"/>
  <c r="AH172" i="1"/>
  <c r="P41" i="2" l="1"/>
  <c r="L100" i="16"/>
  <c r="N94" i="2"/>
  <c r="D94" i="17" s="1"/>
  <c r="M97" i="2"/>
  <c r="AE175" i="1"/>
  <c r="AF169" i="1"/>
  <c r="AF175" i="1" s="1"/>
  <c r="AF183" i="1" s="1"/>
  <c r="AG162" i="1"/>
  <c r="AG163" i="1" s="1"/>
  <c r="O100" i="2"/>
  <c r="AH171" i="1"/>
  <c r="AI172" i="1"/>
  <c r="AI171" i="1" s="1"/>
  <c r="AJ47" i="1"/>
  <c r="AJ52" i="1" s="1"/>
  <c r="L99" i="16" l="1"/>
  <c r="K103" i="16"/>
  <c r="K110" i="16" s="1"/>
  <c r="AE183" i="1"/>
  <c r="M103" i="2"/>
  <c r="O93" i="2"/>
  <c r="AH162" i="1"/>
  <c r="AH163" i="1" s="1"/>
  <c r="L94" i="16" s="1"/>
  <c r="M93" i="16" s="1"/>
  <c r="AG169" i="1"/>
  <c r="AG175" i="1" s="1"/>
  <c r="AG183" i="1" s="1"/>
  <c r="N97" i="2"/>
  <c r="D97" i="17" s="1"/>
  <c r="AK47" i="1"/>
  <c r="AK52" i="1" s="1"/>
  <c r="AJ172" i="1"/>
  <c r="AJ171" i="1" s="1"/>
  <c r="O99" i="2"/>
  <c r="P46" i="2" l="1"/>
  <c r="S93" i="2"/>
  <c r="E93" i="17" s="1"/>
  <c r="AI162" i="1"/>
  <c r="AI163" i="1" s="1"/>
  <c r="O94" i="2"/>
  <c r="AH169" i="1"/>
  <c r="L97" i="16" s="1"/>
  <c r="N103" i="2"/>
  <c r="D103" i="17" s="1"/>
  <c r="D110" i="17" s="1"/>
  <c r="M110" i="2"/>
  <c r="AL47" i="1"/>
  <c r="AL52" i="1" s="1"/>
  <c r="AK172" i="1"/>
  <c r="Q41" i="2" l="1"/>
  <c r="M100" i="16"/>
  <c r="N110" i="2"/>
  <c r="P93" i="2"/>
  <c r="O97" i="2"/>
  <c r="AH175" i="1"/>
  <c r="AI169" i="1"/>
  <c r="AI175" i="1" s="1"/>
  <c r="AI183" i="1" s="1"/>
  <c r="AJ162" i="1"/>
  <c r="AJ163" i="1" s="1"/>
  <c r="P100" i="2"/>
  <c r="AK171" i="1"/>
  <c r="AM47" i="1"/>
  <c r="AM52" i="1" s="1"/>
  <c r="AL172" i="1"/>
  <c r="AL171" i="1" s="1"/>
  <c r="L103" i="16" l="1"/>
  <c r="L110" i="16" s="1"/>
  <c r="M99" i="16"/>
  <c r="AK162" i="1"/>
  <c r="AK163" i="1" s="1"/>
  <c r="M94" i="16" s="1"/>
  <c r="N93" i="16" s="1"/>
  <c r="AJ169" i="1"/>
  <c r="AJ175" i="1" s="1"/>
  <c r="AJ183" i="1" s="1"/>
  <c r="O103" i="2"/>
  <c r="AH183" i="1"/>
  <c r="AM172" i="1"/>
  <c r="AM171" i="1" s="1"/>
  <c r="AN47" i="1"/>
  <c r="AN52" i="1" s="1"/>
  <c r="P99" i="2"/>
  <c r="Q46" i="2" l="1"/>
  <c r="O110" i="2"/>
  <c r="AL162" i="1"/>
  <c r="AL163" i="1" s="1"/>
  <c r="AK169" i="1"/>
  <c r="M97" i="16" s="1"/>
  <c r="P94" i="2"/>
  <c r="AN172" i="1"/>
  <c r="AO47" i="1"/>
  <c r="AO52" i="1" s="1"/>
  <c r="R41" i="2" l="1"/>
  <c r="N100" i="16"/>
  <c r="P97" i="2"/>
  <c r="AK175" i="1"/>
  <c r="Q93" i="2"/>
  <c r="AL169" i="1"/>
  <c r="AL175" i="1" s="1"/>
  <c r="AL183" i="1" s="1"/>
  <c r="AM162" i="1"/>
  <c r="AM163" i="1" s="1"/>
  <c r="AN171" i="1"/>
  <c r="Q100" i="2"/>
  <c r="AP47" i="1"/>
  <c r="AP52" i="1" s="1"/>
  <c r="AQ47" i="1" s="1"/>
  <c r="AQ52" i="1" s="1"/>
  <c r="AO172" i="1"/>
  <c r="AO171" i="1" s="1"/>
  <c r="N99" i="16" l="1"/>
  <c r="M103" i="16"/>
  <c r="M110" i="16" s="1"/>
  <c r="AM169" i="1"/>
  <c r="AM175" i="1" s="1"/>
  <c r="AM183" i="1" s="1"/>
  <c r="AN162" i="1"/>
  <c r="AN163" i="1" s="1"/>
  <c r="N94" i="16" s="1"/>
  <c r="O93" i="16" s="1"/>
  <c r="AK183" i="1"/>
  <c r="P103" i="2"/>
  <c r="AP172" i="1"/>
  <c r="AP171" i="1" s="1"/>
  <c r="Q99" i="2"/>
  <c r="S45" i="2" l="1"/>
  <c r="R46" i="2"/>
  <c r="P110" i="2"/>
  <c r="AN169" i="1"/>
  <c r="N97" i="16" s="1"/>
  <c r="Q94" i="2"/>
  <c r="AO162" i="1"/>
  <c r="AO163" i="1" s="1"/>
  <c r="AQ172" i="1"/>
  <c r="S46" i="2" l="1"/>
  <c r="E46" i="17" s="1"/>
  <c r="E45" i="17"/>
  <c r="R100" i="2"/>
  <c r="O100" i="16"/>
  <c r="R93" i="2"/>
  <c r="AO169" i="1"/>
  <c r="AO175" i="1" s="1"/>
  <c r="AO183" i="1" s="1"/>
  <c r="AP162" i="1"/>
  <c r="AP163" i="1" s="1"/>
  <c r="Q97" i="2"/>
  <c r="AN175" i="1"/>
  <c r="AQ171" i="1"/>
  <c r="S100" i="2" l="1"/>
  <c r="E100" i="17" s="1"/>
  <c r="O99" i="16"/>
  <c r="N103" i="16"/>
  <c r="N110" i="16" s="1"/>
  <c r="AN183" i="1"/>
  <c r="Q103" i="2"/>
  <c r="AP169" i="1"/>
  <c r="AP175" i="1" s="1"/>
  <c r="AP183" i="1" s="1"/>
  <c r="AQ162" i="1"/>
  <c r="AQ163" i="1" s="1"/>
  <c r="O94" i="16" s="1"/>
  <c r="R99" i="2"/>
  <c r="AQ169" i="1" l="1"/>
  <c r="O97" i="16" s="1"/>
  <c r="R94" i="2"/>
  <c r="Q110" i="2"/>
  <c r="S99" i="2"/>
  <c r="E99" i="17" s="1"/>
  <c r="S94" i="2" l="1"/>
  <c r="E94" i="17" s="1"/>
  <c r="R97" i="2"/>
  <c r="AQ175" i="1"/>
  <c r="O103" i="16" l="1"/>
  <c r="O110" i="16" s="1"/>
  <c r="AQ183" i="1"/>
  <c r="R103" i="2"/>
  <c r="S97" i="2"/>
  <c r="E97" i="17" s="1"/>
  <c r="S103" i="2" l="1"/>
  <c r="E103" i="17" s="1"/>
  <c r="E110" i="17" s="1"/>
  <c r="R110" i="2"/>
  <c r="S110" i="2" l="1"/>
</calcChain>
</file>

<file path=xl/sharedStrings.xml><?xml version="1.0" encoding="utf-8"?>
<sst xmlns="http://schemas.openxmlformats.org/spreadsheetml/2006/main" count="685" uniqueCount="240">
  <si>
    <t>Fishery Business Plan</t>
  </si>
  <si>
    <t>I</t>
  </si>
  <si>
    <t>II</t>
  </si>
  <si>
    <t>III</t>
  </si>
  <si>
    <t>IV</t>
  </si>
  <si>
    <t>Total</t>
  </si>
  <si>
    <t>Итого</t>
  </si>
  <si>
    <t>0.6 кг</t>
  </si>
  <si>
    <t>1.0 кг</t>
  </si>
  <si>
    <t>1.5 кг</t>
  </si>
  <si>
    <t>%</t>
  </si>
  <si>
    <t>days</t>
  </si>
  <si>
    <t>months</t>
  </si>
  <si>
    <t>payments</t>
  </si>
  <si>
    <t>Оплата покупателей</t>
  </si>
  <si>
    <t>Цены</t>
  </si>
  <si>
    <t>Мальки</t>
  </si>
  <si>
    <t>Корм</t>
  </si>
  <si>
    <t>1 кг</t>
  </si>
  <si>
    <t>руб./кг</t>
  </si>
  <si>
    <t>Отгрузки, тыс. руб.</t>
  </si>
  <si>
    <t>-</t>
  </si>
  <si>
    <t>Оплата поставщикам мальков</t>
  </si>
  <si>
    <t>Оплата поставщикам корма</t>
  </si>
  <si>
    <t>Check</t>
  </si>
  <si>
    <t>link</t>
  </si>
  <si>
    <t>link3</t>
  </si>
  <si>
    <t>План отгрузки, кг</t>
  </si>
  <si>
    <t>link2</t>
  </si>
  <si>
    <t>Другие источники: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</si>
  <si>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</si>
  <si>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</si>
  <si>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</si>
  <si>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</si>
  <si>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</si>
  <si>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</si>
  <si>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</si>
  <si>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</si>
  <si>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Month</t>
  </si>
  <si>
    <t>коэф.исп.корма</t>
  </si>
  <si>
    <t>Осень-2018</t>
  </si>
  <si>
    <t>Весна-2019</t>
  </si>
  <si>
    <t>Осень-2019</t>
  </si>
  <si>
    <t>Весна-2020</t>
  </si>
  <si>
    <t>Осень-2020</t>
  </si>
  <si>
    <t>Расход корма</t>
  </si>
  <si>
    <t>Весна-2021</t>
  </si>
  <si>
    <t>Осень-2021</t>
  </si>
  <si>
    <t>Сохранность</t>
  </si>
  <si>
    <t>Всего:2018-2020</t>
  </si>
  <si>
    <t>Баланс корма, кг</t>
  </si>
  <si>
    <t>Баланс рыбы, кг</t>
  </si>
  <si>
    <t>Куплено мальков</t>
  </si>
  <si>
    <t>На начало</t>
  </si>
  <si>
    <t>Привес</t>
  </si>
  <si>
    <t>На конец</t>
  </si>
  <si>
    <t>Закупка</t>
  </si>
  <si>
    <t>Расход</t>
  </si>
  <si>
    <t>Отгружено</t>
  </si>
  <si>
    <t>Потери (мор)</t>
  </si>
  <si>
    <t>Баланс корма, тыс. руб.</t>
  </si>
  <si>
    <t>Баланс рыбы, тыс. руб.</t>
  </si>
  <si>
    <t>Profit &amp; Losses</t>
  </si>
  <si>
    <t>Операционный</t>
  </si>
  <si>
    <t>Продажи</t>
  </si>
  <si>
    <t>Оплата поставщикам</t>
  </si>
  <si>
    <t>Инвестиционный</t>
  </si>
  <si>
    <t>Финансовый</t>
  </si>
  <si>
    <t>Получение кредита</t>
  </si>
  <si>
    <t>Возврат кредита</t>
  </si>
  <si>
    <t>Проценты</t>
  </si>
  <si>
    <t>Чистый денежный поток</t>
  </si>
  <si>
    <t>Начальный остаток</t>
  </si>
  <si>
    <t>Конечный остаток</t>
  </si>
  <si>
    <t>Остаток по кредиту</t>
  </si>
  <si>
    <t>Операционные расходы</t>
  </si>
  <si>
    <t>Валовая прибыль</t>
  </si>
  <si>
    <t>Прибыль до налога</t>
  </si>
  <si>
    <t>Зарплата</t>
  </si>
  <si>
    <t>Электроэнергия</t>
  </si>
  <si>
    <t>Топливо</t>
  </si>
  <si>
    <t>Расчеты с покупателями</t>
  </si>
  <si>
    <t>Оплата в момент отгрузки</t>
  </si>
  <si>
    <t>Отсрочка оплаты остатка</t>
  </si>
  <si>
    <t>Расчеты с поставщиками корма</t>
  </si>
  <si>
    <t>Расчеты с поставщиками малька</t>
  </si>
  <si>
    <t>Финансирование</t>
  </si>
  <si>
    <t>Процентная ставка</t>
  </si>
  <si>
    <t>Прибыль до налогов</t>
  </si>
  <si>
    <t>Financial Position (Balance Sheet)</t>
  </si>
  <si>
    <t>P&amp;L</t>
  </si>
  <si>
    <t>Себестоимость</t>
  </si>
  <si>
    <t>Выручка</t>
  </si>
  <si>
    <t>x-rate</t>
  </si>
  <si>
    <t>RUR</t>
  </si>
  <si>
    <t>чел.</t>
  </si>
  <si>
    <t>ставка</t>
  </si>
  <si>
    <t>л/мес.</t>
  </si>
  <si>
    <t>год, $</t>
  </si>
  <si>
    <t>мес., $</t>
  </si>
  <si>
    <t>тыс. долл.</t>
  </si>
  <si>
    <t>тыс. руб.</t>
  </si>
  <si>
    <t>000' RUR</t>
  </si>
  <si>
    <t>Распределние корма</t>
  </si>
  <si>
    <t>Рыба (форель)</t>
  </si>
  <si>
    <t>Курс RUR / USD</t>
  </si>
  <si>
    <t>Выкуп хозяйства у банка</t>
  </si>
  <si>
    <t>Амортизация</t>
  </si>
  <si>
    <t>EBITDA</t>
  </si>
  <si>
    <t>EBITDA, %</t>
  </si>
  <si>
    <t>Закупки мальков, кг</t>
  </si>
  <si>
    <t>Денежные средства</t>
  </si>
  <si>
    <t>Дебиторская задолженность</t>
  </si>
  <si>
    <t>Запасы (рыба и корм)</t>
  </si>
  <si>
    <t>Основные средства</t>
  </si>
  <si>
    <t>Всего активов</t>
  </si>
  <si>
    <t>Задолженность по кредиту</t>
  </si>
  <si>
    <t>Кредиторская задолженность</t>
  </si>
  <si>
    <t>Накоплення прибыль (убыток)</t>
  </si>
  <si>
    <t>Всего пассивов</t>
  </si>
  <si>
    <t>Вес малька</t>
  </si>
  <si>
    <t>гр.</t>
  </si>
  <si>
    <t>Вес рыбы</t>
  </si>
  <si>
    <t>Коэффициент</t>
  </si>
  <si>
    <t>Закупки мальков, тыс. руб.</t>
  </si>
  <si>
    <t>Закупки мальков</t>
  </si>
  <si>
    <t>Инвестиции</t>
  </si>
  <si>
    <t>Биоактивы</t>
  </si>
  <si>
    <t>Корм для рыбы</t>
  </si>
  <si>
    <t>Всего Кредиторская задолженность</t>
  </si>
  <si>
    <t>Стоимость малька</t>
  </si>
  <si>
    <t>Охрана/Рыбаки</t>
  </si>
  <si>
    <t>Мастер</t>
  </si>
  <si>
    <t>Помощник</t>
  </si>
  <si>
    <t>сумма</t>
  </si>
  <si>
    <t>Затраты на производственный персонал</t>
  </si>
  <si>
    <t>Текущий ремонт садков</t>
  </si>
  <si>
    <t>Административные затраты (2015 г. факт)</t>
  </si>
  <si>
    <t>Расходы</t>
  </si>
  <si>
    <t>Доходы</t>
  </si>
  <si>
    <t>Проценты по кредитам</t>
  </si>
  <si>
    <t>Налог по НДС</t>
  </si>
  <si>
    <t>Расчеты по окладам</t>
  </si>
  <si>
    <t>Начисления на з/п</t>
  </si>
  <si>
    <t>Госпошлина</t>
  </si>
  <si>
    <t>Комиссия банка за обслуживание КД</t>
  </si>
  <si>
    <t>Страхование</t>
  </si>
  <si>
    <t>Юридические услуги</t>
  </si>
  <si>
    <t>Услуги банков</t>
  </si>
  <si>
    <t>Земельный налог</t>
  </si>
  <si>
    <t>Прочие налоги, штрафы, пеня, неустойки</t>
  </si>
  <si>
    <t>Транспортный налог</t>
  </si>
  <si>
    <t>Различные работы с документами</t>
  </si>
  <si>
    <t>Налог на имущество</t>
  </si>
  <si>
    <t>Почта, посылки</t>
  </si>
  <si>
    <t>Канцтовары, бланки</t>
  </si>
  <si>
    <t>Субсидия (доп доход)</t>
  </si>
  <si>
    <t>ИТОГО:</t>
  </si>
  <si>
    <t>Коммерческие 2015</t>
  </si>
  <si>
    <t>Командировки местные топливо</t>
  </si>
  <si>
    <t>Командировки суточные, билеты, гостиница</t>
  </si>
  <si>
    <t>Расходы на внутренний транспорт</t>
  </si>
  <si>
    <t>Услуги мобильной связи</t>
  </si>
  <si>
    <t>Обслуживание транспорта</t>
  </si>
  <si>
    <t>Общепроизводственные</t>
  </si>
  <si>
    <t>Складские расходы</t>
  </si>
  <si>
    <t>Хозяйственные нужды</t>
  </si>
  <si>
    <t>Исторические значения</t>
  </si>
  <si>
    <t>Комментарий</t>
  </si>
  <si>
    <t>расчет, исходя из суммы кредита</t>
  </si>
  <si>
    <t>не применяется</t>
  </si>
  <si>
    <t>применяется среднемесячная сумма</t>
  </si>
  <si>
    <t>прочее</t>
  </si>
  <si>
    <t>в себестоимость произв</t>
  </si>
  <si>
    <t>Хозрасходы (произв.)</t>
  </si>
  <si>
    <t xml:space="preserve">Административные затраты </t>
  </si>
  <si>
    <t>Налоги и платежи в бюджет</t>
  </si>
  <si>
    <t>Банковские расходы</t>
  </si>
  <si>
    <t>расчет, исходя из суммы кредита и покупки корма</t>
  </si>
  <si>
    <t>Коммерческие затраты</t>
  </si>
  <si>
    <t>Коммандировки</t>
  </si>
  <si>
    <t>Суточные, билеты, гостиница</t>
  </si>
  <si>
    <t>Транспорт</t>
  </si>
  <si>
    <t>Обслуживание</t>
  </si>
  <si>
    <t>Внутренний транспорт</t>
  </si>
  <si>
    <t>месяц</t>
  </si>
  <si>
    <t>квартал</t>
  </si>
  <si>
    <t>руб./л</t>
  </si>
  <si>
    <t>применяется среднеквартальная сумма</t>
  </si>
  <si>
    <t>Расчет себестоимости 1 кг рыбы</t>
  </si>
  <si>
    <t>Объем производства</t>
  </si>
  <si>
    <t>кг</t>
  </si>
  <si>
    <t>Производственный персонал</t>
  </si>
  <si>
    <t>Производственные затраты</t>
  </si>
  <si>
    <t>Длительность периода</t>
  </si>
  <si>
    <t>мес.</t>
  </si>
  <si>
    <t>За период 2018-2020 гг.</t>
  </si>
  <si>
    <t>Себестоимость 1 кг</t>
  </si>
  <si>
    <t>Привес от корма</t>
  </si>
  <si>
    <t>Произв.затраты</t>
  </si>
  <si>
    <t>Прочие доходы</t>
  </si>
  <si>
    <t>Субсидия (проценты)</t>
  </si>
  <si>
    <t>Субсидия (корм)</t>
  </si>
  <si>
    <t>Персонал</t>
  </si>
  <si>
    <t>Прочие расходы</t>
  </si>
  <si>
    <t>Субсидии</t>
  </si>
  <si>
    <t>ЕСХН</t>
  </si>
  <si>
    <t>Налог</t>
  </si>
  <si>
    <t>Чистая прибыль</t>
  </si>
  <si>
    <t>Задолженность по малькам</t>
  </si>
  <si>
    <t>Задолженность по корму</t>
  </si>
  <si>
    <t>Задолженность по налогам</t>
  </si>
  <si>
    <t>Субсидия</t>
  </si>
  <si>
    <t>дн.</t>
  </si>
  <si>
    <t>Баланс</t>
  </si>
  <si>
    <t xml:space="preserve">Административные расходы </t>
  </si>
  <si>
    <t>Коммерческие расходы</t>
  </si>
  <si>
    <t>Отгружено по себестоимости</t>
  </si>
  <si>
    <t>Отгрузки по цене реализации</t>
  </si>
  <si>
    <t>Прибыли и убытки</t>
  </si>
  <si>
    <t>Операционные показатели</t>
  </si>
  <si>
    <t>III-2017</t>
  </si>
  <si>
    <t>IV-2017</t>
  </si>
  <si>
    <t>I-2018</t>
  </si>
  <si>
    <t>II-2018</t>
  </si>
  <si>
    <t>III-2018</t>
  </si>
  <si>
    <t>IV-2018</t>
  </si>
  <si>
    <t>I-2019</t>
  </si>
  <si>
    <t>II-2019</t>
  </si>
  <si>
    <t>III-2019</t>
  </si>
  <si>
    <t>IV-2019</t>
  </si>
  <si>
    <t>I-2020</t>
  </si>
  <si>
    <t>II-2020</t>
  </si>
  <si>
    <t>III-2020</t>
  </si>
  <si>
    <t>IV-2020</t>
  </si>
  <si>
    <t>Операционный денежный поток</t>
  </si>
  <si>
    <t>NPV</t>
  </si>
  <si>
    <t>IRR</t>
  </si>
  <si>
    <t>млн руб.</t>
  </si>
  <si>
    <t>Сумма процентов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</si>
</sst>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2" formatCode="_(&quot;$&quot;* #,##0_);_(&quot;$&quot;* \(#,##0\);_(&quot;$&quot;* &quot;-&quot;_);_(@_)"/>
    <numFmt numFmtId="41" formatCode="_(* #,##0_);_(* \(#,##0\);_(* &quot;-&quot;_);_(@_)"/>
    <numFmt numFmtId="43" formatCode="_(* #,##0.00_);_(* \(#,##0.00\);_(* &quot;-&quot;??_);_(@_)"/>
    <numFmt numFmtId="164" formatCode="0.0"/>
    <numFmt numFmtId="165" formatCode="0.000"/>
    <numFmt numFmtId="166" formatCode="_(* #,##0_);_(* \(#,##0\);_(* &quot;-&quot;??_);_(@_)"/>
    <numFmt numFmtId="167" formatCode="0.0%"/>
    <numFmt numFmtId="168" formatCode="_(* #,##0.0_);_(* \(#,##0.0\);_(* &quot;-&quot;_);_(@_)"/>
    <numFmt numFmtId="169" formatCode="_-* #,##0\ _₽_-;\-* #,##0\ _₽_-;_-* &quot;-&quot;??\ _₽_-;_-@_-"/>
    <numFmt numFmtId="170" formatCode="_(* #,##0.0_);_(* \(#,##0.0\);_(* &quot;-&quot;??_);_(@_)"/>
  </numFmts>
  <fonts count="33" x14ac:knownFonts="1">
    <font>
      <sz val="10"/>
      <color theme="1"/>
      <name val="Arial"/>
      <family val="2"/>
    </font>
    <font>
      <b/>
      <sz val="10"/>
      <color theme="1"/>
      <name val="Arial"/>
      <family val="2"/>
      <charset val="204"/>
    </font>
    <font>
      <sz val="10"/>
      <color theme="1"/>
      <name val="Arial"/>
      <family val="2"/>
    </font>
    <font>
      <b/>
      <i/>
      <sz val="10"/>
      <color theme="1"/>
      <name val="Arial"/>
      <family val="2"/>
      <charset val="204"/>
    </font>
    <font>
      <sz val="11"/>
      <color theme="1"/>
      <name val="Arial"/>
      <family val="2"/>
      <charset val="204"/>
      <scheme val="minor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b/>
      <i/>
      <sz val="10"/>
      <color rgb="FF0070C0"/>
      <name val="Arial"/>
      <family val="2"/>
      <charset val="204"/>
    </font>
    <font>
      <sz val="10"/>
      <color theme="1"/>
      <name val="Arial"/>
      <family val="2"/>
      <charset val="204"/>
    </font>
    <font>
      <b/>
      <sz val="10"/>
      <color theme="0" tint="-0.34998626667073579"/>
      <name val="Arial"/>
      <family val="2"/>
      <charset val="204"/>
    </font>
    <font>
      <sz val="10"/>
      <color theme="0" tint="-0.34998626667073579"/>
      <name val="Arial"/>
      <family val="2"/>
      <charset val="204"/>
    </font>
    <font>
      <u/>
      <sz val="10"/>
      <color theme="10"/>
      <name val="Arial"/>
      <family val="2"/>
    </font>
    <font>
      <sz val="10"/>
      <color theme="3"/>
      <name val="Arial"/>
      <family val="2"/>
    </font>
    <font>
      <sz val="10"/>
      <color theme="0" tint="-0.34998626667073579"/>
      <name val="Arial"/>
      <family val="2"/>
    </font>
    <font>
      <i/>
      <sz val="10"/>
      <color theme="1"/>
      <name val="Arial"/>
      <family val="2"/>
      <charset val="204"/>
    </font>
    <font>
      <i/>
      <sz val="9"/>
      <color theme="1"/>
      <name val="Arial"/>
      <family val="2"/>
      <charset val="204"/>
    </font>
    <font>
      <sz val="8"/>
      <color theme="1"/>
      <name val="Arial"/>
      <family val="2"/>
    </font>
    <font>
      <b/>
      <sz val="12"/>
      <color theme="1"/>
      <name val="Arial"/>
      <family val="2"/>
      <charset val="204"/>
    </font>
    <font>
      <sz val="10"/>
      <name val="Arial"/>
      <family val="2"/>
    </font>
    <font>
      <b/>
      <sz val="10"/>
      <name val="Arial"/>
      <family val="2"/>
      <charset val="204"/>
    </font>
    <font>
      <sz val="10"/>
      <color theme="0"/>
      <name val="Arial"/>
      <family val="2"/>
      <charset val="204"/>
    </font>
    <font>
      <b/>
      <sz val="11"/>
      <color theme="0"/>
      <name val="Arial"/>
      <family val="2"/>
      <charset val="204"/>
    </font>
    <font>
      <i/>
      <sz val="9"/>
      <color theme="1" tint="0.499984740745262"/>
      <name val="Arial"/>
      <family val="2"/>
      <charset val="204"/>
    </font>
    <font>
      <b/>
      <sz val="10"/>
      <color theme="0"/>
      <name val="Arial"/>
      <family val="2"/>
      <charset val="204"/>
    </font>
    <font>
      <b/>
      <sz val="10"/>
      <color theme="1"/>
      <name val="Arial"/>
      <family val="2"/>
    </font>
    <font>
      <i/>
      <sz val="9"/>
      <color theme="1"/>
      <name val="Arial"/>
      <family val="2"/>
    </font>
    <font>
      <sz val="9"/>
      <color theme="1"/>
      <name val="Arial"/>
      <family val="2"/>
    </font>
    <font>
      <i/>
      <sz val="10"/>
      <color theme="1"/>
      <name val="Arial"/>
      <family val="2"/>
    </font>
    <font>
      <b/>
      <i/>
      <sz val="10"/>
      <color theme="1"/>
      <name val="Arial"/>
      <family val="2"/>
    </font>
    <font>
      <b/>
      <sz val="12"/>
      <color theme="1"/>
      <name val="Arial"/>
      <family val="2"/>
    </font>
    <font>
      <b/>
      <i/>
      <sz val="9"/>
      <color theme="1"/>
      <name val="Arial"/>
      <family val="2"/>
    </font>
    <font>
      <b/>
      <sz val="12"/>
      <color theme="0"/>
      <name val="Arial"/>
      <family val="2"/>
      <charset val="204"/>
    </font>
  </fonts>
  <fills count="14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1"/>
        <bgColor indexed="64"/>
      </patternFill>
    </fill>
  </fills>
  <borders count="47"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/>
      <right/>
      <top style="medium">
        <color theme="3" tint="-0.24994659260841701"/>
      </top>
      <bottom style="medium">
        <color theme="3" tint="-0.24994659260841701"/>
      </bottom>
      <diagonal/>
    </border>
    <border>
      <left/>
      <right/>
      <top style="medium">
        <color rgb="FF0070C0"/>
      </top>
      <bottom style="medium">
        <color rgb="FF0070C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rgb="FF00B050"/>
      </bottom>
      <diagonal/>
    </border>
    <border>
      <left/>
      <right/>
      <top style="medium">
        <color theme="4"/>
      </top>
      <bottom style="medium">
        <color theme="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theme="7"/>
      </top>
      <bottom style="medium">
        <color theme="7"/>
      </bottom>
      <diagonal/>
    </border>
    <border>
      <left style="thin">
        <color theme="9"/>
      </left>
      <right style="thin">
        <color theme="9"/>
      </right>
      <top style="thin">
        <color theme="9"/>
      </top>
      <bottom/>
      <diagonal/>
    </border>
    <border>
      <left style="thin">
        <color theme="9"/>
      </left>
      <right/>
      <top style="thin">
        <color theme="9"/>
      </top>
      <bottom/>
      <diagonal/>
    </border>
    <border>
      <left/>
      <right style="thin">
        <color theme="9"/>
      </right>
      <top style="thin">
        <color theme="9"/>
      </top>
      <bottom/>
      <diagonal/>
    </border>
    <border>
      <left style="thin">
        <color indexed="64"/>
      </left>
      <right style="thin">
        <color indexed="64"/>
      </right>
      <top style="medium">
        <color theme="4"/>
      </top>
      <bottom style="medium">
        <color theme="4"/>
      </bottom>
      <diagonal/>
    </border>
    <border>
      <left style="thin">
        <color indexed="64"/>
      </left>
      <right style="thin">
        <color indexed="64"/>
      </right>
      <top style="medium">
        <color theme="7"/>
      </top>
      <bottom style="medium">
        <color theme="7"/>
      </bottom>
      <diagonal/>
    </border>
    <border>
      <left/>
      <right/>
      <top style="medium">
        <color theme="6"/>
      </top>
      <bottom style="medium">
        <color theme="6"/>
      </bottom>
      <diagonal/>
    </border>
    <border>
      <left style="thin">
        <color indexed="64"/>
      </left>
      <right style="thin">
        <color indexed="64"/>
      </right>
      <top style="medium">
        <color theme="6"/>
      </top>
      <bottom style="medium">
        <color theme="6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/>
      <right/>
      <top style="medium">
        <color theme="9"/>
      </top>
      <bottom style="medium">
        <color theme="9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 style="medium">
        <color theme="4"/>
      </top>
      <bottom/>
      <diagonal/>
    </border>
    <border>
      <left/>
      <right style="thin">
        <color indexed="64"/>
      </right>
      <top style="medium">
        <color theme="4"/>
      </top>
      <bottom/>
      <diagonal/>
    </border>
    <border>
      <left/>
      <right/>
      <top/>
      <bottom style="medium">
        <color theme="4"/>
      </bottom>
      <diagonal/>
    </border>
    <border>
      <left/>
      <right style="thin">
        <color indexed="64"/>
      </right>
      <top/>
      <bottom style="medium">
        <color theme="4"/>
      </bottom>
      <diagonal/>
    </border>
    <border>
      <left style="thin">
        <color theme="9"/>
      </left>
      <right/>
      <top style="thin">
        <color theme="9"/>
      </top>
      <bottom style="thin">
        <color indexed="64"/>
      </bottom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indexed="64"/>
      </bottom>
      <diagonal/>
    </border>
    <border>
      <left/>
      <right style="thin">
        <color theme="9"/>
      </right>
      <top style="thin">
        <color theme="9"/>
      </top>
      <bottom style="thin">
        <color indexed="64"/>
      </bottom>
      <diagonal/>
    </border>
    <border>
      <left/>
      <right/>
      <top style="thin">
        <color theme="9"/>
      </top>
      <bottom/>
      <diagonal/>
    </border>
  </borders>
  <cellStyleXfs count="10">
    <xf numFmtId="0" fontId="0" fillId="0" borderId="0"/>
    <xf numFmtId="9" fontId="2" fillId="0" borderId="0" applyFont="0" applyFill="0" applyBorder="0" applyAlignment="0" applyProtection="0"/>
    <xf numFmtId="0" fontId="4" fillId="0" borderId="0"/>
    <xf numFmtId="0" fontId="6" fillId="0" borderId="0"/>
    <xf numFmtId="0" fontId="6" fillId="0" borderId="0"/>
    <xf numFmtId="0" fontId="2" fillId="0" borderId="0"/>
    <xf numFmtId="9" fontId="2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9" fillId="0" borderId="0"/>
    <xf numFmtId="43" fontId="2" fillId="0" borderId="0" applyFont="0" applyFill="0" applyBorder="0" applyAlignment="0" applyProtection="0"/>
  </cellStyleXfs>
  <cellXfs count="272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9" fontId="0" fillId="0" borderId="0" xfId="0" applyNumberFormat="1"/>
    <xf numFmtId="41" fontId="0" fillId="0" borderId="0" xfId="0" applyNumberFormat="1"/>
    <xf numFmtId="0" fontId="1" fillId="0" borderId="0" xfId="0" applyFont="1" applyBorder="1" applyAlignment="1">
      <alignment horizontal="center" vertical="center"/>
    </xf>
    <xf numFmtId="164" fontId="3" fillId="0" borderId="0" xfId="0" applyNumberFormat="1" applyFont="1"/>
    <xf numFmtId="164" fontId="3" fillId="0" borderId="3" xfId="0" applyNumberFormat="1" applyFont="1" applyBorder="1"/>
    <xf numFmtId="164" fontId="3" fillId="2" borderId="3" xfId="0" applyNumberFormat="1" applyFont="1" applyFill="1" applyBorder="1"/>
    <xf numFmtId="3" fontId="3" fillId="0" borderId="3" xfId="0" applyNumberFormat="1" applyFont="1" applyBorder="1"/>
    <xf numFmtId="41" fontId="0" fillId="0" borderId="0" xfId="0" applyNumberFormat="1" applyBorder="1"/>
    <xf numFmtId="0" fontId="0" fillId="0" borderId="0" xfId="0" applyBorder="1"/>
    <xf numFmtId="0" fontId="7" fillId="0" borderId="0" xfId="3" applyFont="1"/>
    <xf numFmtId="0" fontId="7" fillId="0" borderId="5" xfId="4" applyFont="1" applyFill="1" applyBorder="1" applyAlignment="1">
      <alignment horizontal="center" vertical="center"/>
    </xf>
    <xf numFmtId="0" fontId="7" fillId="0" borderId="0" xfId="3" applyFont="1" applyAlignment="1">
      <alignment horizontal="right" indent="1"/>
    </xf>
    <xf numFmtId="0" fontId="9" fillId="0" borderId="0" xfId="5" applyFont="1"/>
    <xf numFmtId="9" fontId="1" fillId="0" borderId="0" xfId="5" applyNumberFormat="1" applyFont="1" applyAlignment="1">
      <alignment horizontal="center"/>
    </xf>
    <xf numFmtId="0" fontId="5" fillId="0" borderId="5" xfId="3" applyFont="1" applyFill="1" applyBorder="1" applyAlignment="1">
      <alignment horizontal="left" vertical="center" wrapText="1"/>
    </xf>
    <xf numFmtId="9" fontId="7" fillId="0" borderId="5" xfId="1" applyFont="1" applyFill="1" applyBorder="1" applyAlignment="1">
      <alignment horizontal="center" vertical="center"/>
    </xf>
    <xf numFmtId="0" fontId="8" fillId="7" borderId="4" xfId="2" applyFont="1" applyFill="1" applyBorder="1"/>
    <xf numFmtId="0" fontId="7" fillId="7" borderId="4" xfId="4" applyFont="1" applyFill="1" applyBorder="1" applyAlignment="1">
      <alignment horizontal="center" vertical="center"/>
    </xf>
    <xf numFmtId="9" fontId="0" fillId="0" borderId="0" xfId="1" applyFont="1"/>
    <xf numFmtId="0" fontId="0" fillId="0" borderId="5" xfId="0" applyBorder="1" applyAlignment="1">
      <alignment horizontal="center"/>
    </xf>
    <xf numFmtId="0" fontId="7" fillId="3" borderId="5" xfId="3" applyFont="1" applyFill="1" applyBorder="1"/>
    <xf numFmtId="164" fontId="3" fillId="0" borderId="7" xfId="0" applyNumberFormat="1" applyFont="1" applyBorder="1"/>
    <xf numFmtId="164" fontId="3" fillId="2" borderId="7" xfId="0" applyNumberFormat="1" applyFont="1" applyFill="1" applyBorder="1"/>
    <xf numFmtId="3" fontId="3" fillId="0" borderId="7" xfId="0" applyNumberFormat="1" applyFont="1" applyBorder="1"/>
    <xf numFmtId="41" fontId="3" fillId="0" borderId="7" xfId="0" applyNumberFormat="1" applyFont="1" applyBorder="1"/>
    <xf numFmtId="0" fontId="10" fillId="0" borderId="0" xfId="0" applyFont="1" applyBorder="1" applyAlignment="1">
      <alignment horizontal="center" vertical="center"/>
    </xf>
    <xf numFmtId="0" fontId="11" fillId="0" borderId="0" xfId="0" applyFont="1"/>
    <xf numFmtId="0" fontId="0" fillId="0" borderId="0" xfId="0" applyAlignment="1">
      <alignment horizontal="right"/>
    </xf>
    <xf numFmtId="164" fontId="3" fillId="5" borderId="7" xfId="0" applyNumberFormat="1" applyFont="1" applyFill="1" applyBorder="1"/>
    <xf numFmtId="41" fontId="3" fillId="5" borderId="7" xfId="0" applyNumberFormat="1" applyFont="1" applyFill="1" applyBorder="1"/>
    <xf numFmtId="164" fontId="3" fillId="4" borderId="7" xfId="0" applyNumberFormat="1" applyFont="1" applyFill="1" applyBorder="1"/>
    <xf numFmtId="41" fontId="3" fillId="4" borderId="7" xfId="0" applyNumberFormat="1" applyFont="1" applyFill="1" applyBorder="1"/>
    <xf numFmtId="0" fontId="10" fillId="0" borderId="1" xfId="0" applyFont="1" applyBorder="1" applyAlignment="1">
      <alignment horizontal="center" vertical="center"/>
    </xf>
    <xf numFmtId="0" fontId="12" fillId="0" borderId="0" xfId="7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3" borderId="0" xfId="0" applyFill="1"/>
    <xf numFmtId="0" fontId="13" fillId="0" borderId="0" xfId="0" applyFont="1"/>
    <xf numFmtId="165" fontId="0" fillId="0" borderId="0" xfId="1" applyNumberFormat="1" applyFont="1"/>
    <xf numFmtId="9" fontId="0" fillId="0" borderId="9" xfId="1" applyFont="1" applyBorder="1"/>
    <xf numFmtId="9" fontId="0" fillId="0" borderId="10" xfId="1" applyFont="1" applyBorder="1"/>
    <xf numFmtId="9" fontId="0" fillId="0" borderId="0" xfId="1" applyFont="1" applyBorder="1"/>
    <xf numFmtId="9" fontId="0" fillId="0" borderId="12" xfId="1" applyFont="1" applyBorder="1"/>
    <xf numFmtId="9" fontId="0" fillId="0" borderId="14" xfId="1" applyFont="1" applyBorder="1"/>
    <xf numFmtId="9" fontId="0" fillId="0" borderId="15" xfId="1" applyFont="1" applyBorder="1"/>
    <xf numFmtId="164" fontId="0" fillId="0" borderId="16" xfId="1" applyNumberFormat="1" applyFont="1" applyBorder="1"/>
    <xf numFmtId="164" fontId="0" fillId="0" borderId="17" xfId="1" applyNumberFormat="1" applyFont="1" applyBorder="1"/>
    <xf numFmtId="164" fontId="0" fillId="0" borderId="18" xfId="1" applyNumberFormat="1" applyFont="1" applyBorder="1"/>
    <xf numFmtId="0" fontId="1" fillId="0" borderId="19" xfId="0" applyFont="1" applyBorder="1"/>
    <xf numFmtId="164" fontId="1" fillId="0" borderId="19" xfId="0" applyNumberFormat="1" applyFont="1" applyBorder="1" applyAlignment="1">
      <alignment horizontal="center"/>
    </xf>
    <xf numFmtId="3" fontId="0" fillId="0" borderId="0" xfId="0" applyNumberFormat="1"/>
    <xf numFmtId="3" fontId="11" fillId="0" borderId="0" xfId="0" applyNumberFormat="1" applyFont="1"/>
    <xf numFmtId="0" fontId="14" fillId="0" borderId="0" xfId="0" applyFont="1"/>
    <xf numFmtId="3" fontId="14" fillId="0" borderId="0" xfId="0" applyNumberFormat="1" applyFont="1"/>
    <xf numFmtId="3" fontId="1" fillId="0" borderId="19" xfId="0" applyNumberFormat="1" applyFont="1" applyBorder="1"/>
    <xf numFmtId="0" fontId="10" fillId="0" borderId="0" xfId="0" applyFont="1"/>
    <xf numFmtId="166" fontId="0" fillId="0" borderId="0" xfId="0" applyNumberFormat="1"/>
    <xf numFmtId="3" fontId="1" fillId="0" borderId="9" xfId="0" applyNumberFormat="1" applyFont="1" applyBorder="1"/>
    <xf numFmtId="164" fontId="3" fillId="0" borderId="0" xfId="0" applyNumberFormat="1" applyFont="1" applyBorder="1"/>
    <xf numFmtId="3" fontId="3" fillId="0" borderId="0" xfId="0" applyNumberFormat="1" applyFont="1" applyBorder="1"/>
    <xf numFmtId="164" fontId="15" fillId="0" borderId="0" xfId="0" applyNumberFormat="1" applyFont="1" applyBorder="1"/>
    <xf numFmtId="0" fontId="15" fillId="0" borderId="0" xfId="0" applyFont="1"/>
    <xf numFmtId="41" fontId="9" fillId="0" borderId="0" xfId="0" applyNumberFormat="1" applyFont="1" applyBorder="1"/>
    <xf numFmtId="41" fontId="1" fillId="0" borderId="19" xfId="0" applyNumberFormat="1" applyFont="1" applyBorder="1"/>
    <xf numFmtId="166" fontId="9" fillId="0" borderId="0" xfId="0" applyNumberFormat="1" applyFont="1" applyBorder="1"/>
    <xf numFmtId="0" fontId="16" fillId="0" borderId="0" xfId="0" applyFont="1" applyAlignment="1">
      <alignment horizontal="left" indent="1"/>
    </xf>
    <xf numFmtId="0" fontId="16" fillId="0" borderId="0" xfId="0" applyFont="1"/>
    <xf numFmtId="41" fontId="16" fillId="0" borderId="0" xfId="0" applyNumberFormat="1" applyFont="1"/>
    <xf numFmtId="41" fontId="17" fillId="0" borderId="0" xfId="0" applyNumberFormat="1" applyFont="1" applyAlignment="1">
      <alignment horizontal="center" vertical="center"/>
    </xf>
    <xf numFmtId="164" fontId="3" fillId="8" borderId="20" xfId="0" applyNumberFormat="1" applyFont="1" applyFill="1" applyBorder="1"/>
    <xf numFmtId="41" fontId="3" fillId="8" borderId="20" xfId="0" applyNumberFormat="1" applyFont="1" applyFill="1" applyBorder="1"/>
    <xf numFmtId="0" fontId="0" fillId="0" borderId="19" xfId="0" applyBorder="1"/>
    <xf numFmtId="41" fontId="0" fillId="0" borderId="19" xfId="0" applyNumberFormat="1" applyBorder="1"/>
    <xf numFmtId="3" fontId="7" fillId="7" borderId="4" xfId="4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5" xfId="5" applyFont="1" applyBorder="1" applyAlignment="1">
      <alignment horizontal="center" vertical="center"/>
    </xf>
    <xf numFmtId="0" fontId="7" fillId="0" borderId="0" xfId="3" applyFont="1" applyAlignment="1">
      <alignment horizontal="center" vertical="center"/>
    </xf>
    <xf numFmtId="0" fontId="7" fillId="0" borderId="5" xfId="3" applyFont="1" applyBorder="1" applyAlignment="1">
      <alignment horizontal="center" vertical="center"/>
    </xf>
    <xf numFmtId="0" fontId="9" fillId="0" borderId="5" xfId="5" applyFont="1" applyBorder="1" applyAlignment="1">
      <alignment horizontal="center" vertical="center"/>
    </xf>
    <xf numFmtId="9" fontId="1" fillId="6" borderId="6" xfId="6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18" fillId="0" borderId="0" xfId="0" applyFont="1"/>
    <xf numFmtId="3" fontId="1" fillId="10" borderId="19" xfId="0" applyNumberFormat="1" applyFont="1" applyFill="1" applyBorder="1"/>
    <xf numFmtId="0" fontId="20" fillId="0" borderId="0" xfId="3" applyFont="1" applyAlignment="1">
      <alignment horizontal="center"/>
    </xf>
    <xf numFmtId="0" fontId="7" fillId="0" borderId="19" xfId="3" applyFont="1" applyBorder="1"/>
    <xf numFmtId="41" fontId="7" fillId="0" borderId="19" xfId="3" applyNumberFormat="1" applyFont="1" applyBorder="1"/>
    <xf numFmtId="9" fontId="7" fillId="3" borderId="5" xfId="1" applyFont="1" applyFill="1" applyBorder="1"/>
    <xf numFmtId="9" fontId="0" fillId="0" borderId="5" xfId="0" applyNumberFormat="1" applyBorder="1" applyAlignment="1">
      <alignment horizontal="center"/>
    </xf>
    <xf numFmtId="0" fontId="0" fillId="0" borderId="5" xfId="0" applyBorder="1" applyAlignment="1">
      <alignment horizontal="left"/>
    </xf>
    <xf numFmtId="0" fontId="7" fillId="0" borderId="0" xfId="3" applyFont="1" applyAlignment="1">
      <alignment horizontal="left"/>
    </xf>
    <xf numFmtId="41" fontId="19" fillId="3" borderId="0" xfId="0" applyNumberFormat="1" applyFont="1" applyFill="1"/>
    <xf numFmtId="0" fontId="1" fillId="10" borderId="19" xfId="0" applyFont="1" applyFill="1" applyBorder="1"/>
    <xf numFmtId="41" fontId="1" fillId="10" borderId="19" xfId="0" applyNumberFormat="1" applyFont="1" applyFill="1" applyBorder="1"/>
    <xf numFmtId="41" fontId="9" fillId="3" borderId="0" xfId="0" applyNumberFormat="1" applyFont="1" applyFill="1" applyBorder="1"/>
    <xf numFmtId="41" fontId="7" fillId="0" borderId="30" xfId="3" applyNumberFormat="1" applyFont="1" applyBorder="1"/>
    <xf numFmtId="0" fontId="7" fillId="0" borderId="32" xfId="3" applyFont="1" applyBorder="1"/>
    <xf numFmtId="166" fontId="7" fillId="0" borderId="33" xfId="3" applyNumberFormat="1" applyFont="1" applyBorder="1"/>
    <xf numFmtId="0" fontId="20" fillId="0" borderId="29" xfId="3" applyFont="1" applyBorder="1"/>
    <xf numFmtId="0" fontId="7" fillId="0" borderId="31" xfId="3" applyFont="1" applyBorder="1" applyAlignment="1">
      <alignment horizontal="left" vertical="center"/>
    </xf>
    <xf numFmtId="0" fontId="7" fillId="0" borderId="34" xfId="3" applyFont="1" applyBorder="1" applyAlignment="1">
      <alignment horizontal="left" vertical="center"/>
    </xf>
    <xf numFmtId="41" fontId="0" fillId="3" borderId="0" xfId="0" applyNumberFormat="1" applyFill="1"/>
    <xf numFmtId="0" fontId="0" fillId="0" borderId="19" xfId="0" applyBorder="1" applyAlignment="1">
      <alignment horizontal="center"/>
    </xf>
    <xf numFmtId="0" fontId="0" fillId="0" borderId="0" xfId="0" applyAlignment="1">
      <alignment vertical="center"/>
    </xf>
    <xf numFmtId="0" fontId="22" fillId="2" borderId="0" xfId="0" applyFont="1" applyFill="1" applyAlignment="1">
      <alignment vertical="center"/>
    </xf>
    <xf numFmtId="0" fontId="21" fillId="2" borderId="0" xfId="0" applyFont="1" applyFill="1" applyAlignment="1">
      <alignment horizontal="center" vertical="center"/>
    </xf>
    <xf numFmtId="0" fontId="21" fillId="2" borderId="0" xfId="0" applyFont="1" applyFill="1" applyAlignment="1">
      <alignment vertical="center"/>
    </xf>
    <xf numFmtId="0" fontId="22" fillId="12" borderId="0" xfId="0" applyFont="1" applyFill="1" applyAlignment="1">
      <alignment vertical="center"/>
    </xf>
    <xf numFmtId="0" fontId="0" fillId="0" borderId="0" xfId="0" applyAlignment="1">
      <alignment horizontal="left" vertical="center"/>
    </xf>
    <xf numFmtId="3" fontId="0" fillId="0" borderId="0" xfId="0" applyNumberFormat="1" applyAlignment="1">
      <alignment vertical="center"/>
    </xf>
    <xf numFmtId="0" fontId="0" fillId="0" borderId="19" xfId="0" applyBorder="1" applyAlignment="1">
      <alignment horizontal="left" vertical="center"/>
    </xf>
    <xf numFmtId="0" fontId="0" fillId="0" borderId="19" xfId="0" applyBorder="1" applyAlignment="1">
      <alignment horizontal="center" vertical="center"/>
    </xf>
    <xf numFmtId="0" fontId="0" fillId="0" borderId="19" xfId="0" applyBorder="1" applyAlignment="1">
      <alignment vertical="center"/>
    </xf>
    <xf numFmtId="41" fontId="0" fillId="0" borderId="0" xfId="0" applyNumberFormat="1" applyAlignment="1">
      <alignment vertical="center"/>
    </xf>
    <xf numFmtId="42" fontId="0" fillId="0" borderId="19" xfId="0" applyNumberFormat="1" applyBorder="1" applyAlignment="1">
      <alignment vertical="center"/>
    </xf>
    <xf numFmtId="0" fontId="22" fillId="12" borderId="0" xfId="0" applyFont="1" applyFill="1" applyBorder="1" applyAlignment="1">
      <alignment vertical="center"/>
    </xf>
    <xf numFmtId="0" fontId="21" fillId="12" borderId="0" xfId="0" applyFont="1" applyFill="1" applyBorder="1" applyAlignment="1">
      <alignment horizontal="center" vertical="center"/>
    </xf>
    <xf numFmtId="0" fontId="21" fillId="12" borderId="0" xfId="0" applyFont="1" applyFill="1" applyBorder="1" applyAlignment="1">
      <alignment vertical="center"/>
    </xf>
    <xf numFmtId="0" fontId="15" fillId="11" borderId="19" xfId="0" applyFont="1" applyFill="1" applyBorder="1" applyAlignment="1">
      <alignment vertical="center"/>
    </xf>
    <xf numFmtId="169" fontId="0" fillId="0" borderId="19" xfId="9" applyNumberFormat="1" applyFont="1" applyBorder="1" applyAlignment="1">
      <alignment vertical="center"/>
    </xf>
    <xf numFmtId="0" fontId="1" fillId="0" borderId="19" xfId="0" applyFont="1" applyBorder="1" applyAlignment="1">
      <alignment vertical="center"/>
    </xf>
    <xf numFmtId="169" fontId="1" fillId="0" borderId="19" xfId="9" applyNumberFormat="1" applyFont="1" applyBorder="1" applyAlignment="1">
      <alignment vertical="center"/>
    </xf>
    <xf numFmtId="0" fontId="0" fillId="10" borderId="19" xfId="0" applyFill="1" applyBorder="1" applyAlignment="1">
      <alignment vertical="center"/>
    </xf>
    <xf numFmtId="169" fontId="0" fillId="10" borderId="19" xfId="9" applyNumberFormat="1" applyFont="1" applyFill="1" applyBorder="1" applyAlignment="1">
      <alignment vertical="center"/>
    </xf>
    <xf numFmtId="0" fontId="0" fillId="0" borderId="0" xfId="0" applyNumberFormat="1" applyAlignment="1">
      <alignment vertical="center"/>
    </xf>
    <xf numFmtId="0" fontId="0" fillId="4" borderId="19" xfId="0" applyFill="1" applyBorder="1" applyAlignment="1">
      <alignment vertical="center"/>
    </xf>
    <xf numFmtId="169" fontId="0" fillId="4" borderId="19" xfId="9" applyNumberFormat="1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19" xfId="0" applyFont="1" applyBorder="1" applyAlignment="1">
      <alignment horizontal="left" vertical="center"/>
    </xf>
    <xf numFmtId="0" fontId="1" fillId="0" borderId="19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41" fontId="1" fillId="0" borderId="0" xfId="0" applyNumberFormat="1" applyFont="1" applyAlignment="1">
      <alignment vertical="center"/>
    </xf>
    <xf numFmtId="0" fontId="23" fillId="0" borderId="19" xfId="0" applyFont="1" applyBorder="1" applyAlignment="1">
      <alignment horizontal="left" vertical="center" indent="1"/>
    </xf>
    <xf numFmtId="42" fontId="23" fillId="0" borderId="19" xfId="0" applyNumberFormat="1" applyFont="1" applyBorder="1" applyAlignment="1">
      <alignment vertical="center"/>
    </xf>
    <xf numFmtId="41" fontId="1" fillId="0" borderId="19" xfId="0" applyNumberFormat="1" applyFont="1" applyBorder="1" applyAlignment="1">
      <alignment vertical="center"/>
    </xf>
    <xf numFmtId="41" fontId="23" fillId="0" borderId="19" xfId="0" applyNumberFormat="1" applyFont="1" applyBorder="1" applyAlignment="1">
      <alignment vertical="center"/>
    </xf>
    <xf numFmtId="41" fontId="0" fillId="0" borderId="19" xfId="0" applyNumberFormat="1" applyBorder="1" applyAlignment="1">
      <alignment vertical="center"/>
    </xf>
    <xf numFmtId="0" fontId="0" fillId="3" borderId="0" xfId="0" applyFill="1" applyAlignment="1">
      <alignment horizontal="center" vertical="center"/>
    </xf>
    <xf numFmtId="0" fontId="24" fillId="2" borderId="0" xfId="0" applyFont="1" applyFill="1" applyAlignment="1">
      <alignment horizontal="center" vertical="center"/>
    </xf>
    <xf numFmtId="167" fontId="9" fillId="3" borderId="0" xfId="0" applyNumberFormat="1" applyFont="1" applyFill="1" applyAlignment="1">
      <alignment vertical="center"/>
    </xf>
    <xf numFmtId="43" fontId="0" fillId="0" borderId="0" xfId="0" applyNumberFormat="1"/>
    <xf numFmtId="0" fontId="9" fillId="0" borderId="0" xfId="0" applyFont="1"/>
    <xf numFmtId="3" fontId="3" fillId="0" borderId="19" xfId="0" applyNumberFormat="1" applyFont="1" applyBorder="1"/>
    <xf numFmtId="0" fontId="3" fillId="0" borderId="19" xfId="0" applyFont="1" applyBorder="1"/>
    <xf numFmtId="0" fontId="3" fillId="0" borderId="19" xfId="0" applyFont="1" applyBorder="1" applyAlignment="1">
      <alignment horizontal="center"/>
    </xf>
    <xf numFmtId="41" fontId="3" fillId="0" borderId="19" xfId="0" applyNumberFormat="1" applyFont="1" applyBorder="1"/>
    <xf numFmtId="0" fontId="15" fillId="9" borderId="0" xfId="0" applyFont="1" applyFill="1"/>
    <xf numFmtId="0" fontId="0" fillId="9" borderId="0" xfId="0" applyFill="1" applyAlignment="1">
      <alignment horizontal="center"/>
    </xf>
    <xf numFmtId="0" fontId="0" fillId="9" borderId="0" xfId="0" applyFill="1"/>
    <xf numFmtId="0" fontId="15" fillId="9" borderId="35" xfId="0" applyFont="1" applyFill="1" applyBorder="1"/>
    <xf numFmtId="0" fontId="0" fillId="9" borderId="35" xfId="0" applyFill="1" applyBorder="1" applyAlignment="1">
      <alignment horizontal="center"/>
    </xf>
    <xf numFmtId="0" fontId="0" fillId="9" borderId="35" xfId="0" applyFill="1" applyBorder="1"/>
    <xf numFmtId="0" fontId="1" fillId="0" borderId="19" xfId="0" applyFont="1" applyFill="1" applyBorder="1" applyAlignment="1">
      <alignment vertical="center"/>
    </xf>
    <xf numFmtId="43" fontId="1" fillId="9" borderId="35" xfId="0" applyNumberFormat="1" applyFont="1" applyFill="1" applyBorder="1"/>
    <xf numFmtId="168" fontId="17" fillId="0" borderId="0" xfId="0" applyNumberFormat="1" applyFont="1" applyAlignment="1">
      <alignment horizontal="center" vertical="center"/>
    </xf>
    <xf numFmtId="41" fontId="0" fillId="9" borderId="0" xfId="0" applyNumberFormat="1" applyFill="1"/>
    <xf numFmtId="9" fontId="0" fillId="9" borderId="0" xfId="1" applyFont="1" applyFill="1"/>
    <xf numFmtId="0" fontId="9" fillId="0" borderId="0" xfId="0" applyFont="1" applyBorder="1"/>
    <xf numFmtId="9" fontId="7" fillId="0" borderId="0" xfId="3" applyNumberFormat="1" applyFont="1"/>
    <xf numFmtId="0" fontId="15" fillId="0" borderId="0" xfId="0" applyFont="1" applyAlignment="1">
      <alignment horizontal="left" indent="1"/>
    </xf>
    <xf numFmtId="41" fontId="27" fillId="0" borderId="0" xfId="0" applyNumberFormat="1" applyFont="1"/>
    <xf numFmtId="0" fontId="0" fillId="0" borderId="0" xfId="0" applyFont="1" applyBorder="1"/>
    <xf numFmtId="0" fontId="28" fillId="0" borderId="0" xfId="0" applyFont="1" applyAlignment="1">
      <alignment horizontal="left" indent="1"/>
    </xf>
    <xf numFmtId="0" fontId="16" fillId="0" borderId="0" xfId="0" applyFont="1" applyAlignment="1">
      <alignment horizontal="left" indent="2"/>
    </xf>
    <xf numFmtId="0" fontId="26" fillId="0" borderId="0" xfId="0" applyFont="1" applyAlignment="1">
      <alignment horizontal="left" indent="1"/>
    </xf>
    <xf numFmtId="166" fontId="16" fillId="0" borderId="0" xfId="0" applyNumberFormat="1" applyFont="1"/>
    <xf numFmtId="0" fontId="1" fillId="0" borderId="0" xfId="0" applyFont="1" applyFill="1" applyBorder="1"/>
    <xf numFmtId="0" fontId="0" fillId="3" borderId="0" xfId="0" applyFont="1" applyFill="1"/>
    <xf numFmtId="0" fontId="0" fillId="0" borderId="0" xfId="0" applyFont="1"/>
    <xf numFmtId="0" fontId="0" fillId="0" borderId="21" xfId="0" applyFont="1" applyBorder="1" applyAlignment="1">
      <alignment horizontal="center"/>
    </xf>
    <xf numFmtId="0" fontId="0" fillId="0" borderId="22" xfId="0" applyFont="1" applyBorder="1" applyAlignment="1">
      <alignment horizontal="center"/>
    </xf>
    <xf numFmtId="0" fontId="25" fillId="0" borderId="16" xfId="0" applyFont="1" applyBorder="1" applyAlignment="1">
      <alignment horizontal="center"/>
    </xf>
    <xf numFmtId="0" fontId="0" fillId="0" borderId="23" xfId="0" applyFont="1" applyBorder="1" applyAlignment="1">
      <alignment horizontal="center"/>
    </xf>
    <xf numFmtId="164" fontId="29" fillId="0" borderId="26" xfId="0" applyNumberFormat="1" applyFont="1" applyBorder="1"/>
    <xf numFmtId="41" fontId="0" fillId="0" borderId="26" xfId="0" applyNumberFormat="1" applyFont="1" applyBorder="1" applyAlignment="1">
      <alignment horizontal="center"/>
    </xf>
    <xf numFmtId="41" fontId="25" fillId="0" borderId="27" xfId="0" applyNumberFormat="1" applyFont="1" applyBorder="1" applyAlignment="1">
      <alignment horizontal="center"/>
    </xf>
    <xf numFmtId="41" fontId="0" fillId="0" borderId="0" xfId="0" applyNumberFormat="1" applyFont="1" applyBorder="1" applyAlignment="1">
      <alignment horizontal="center"/>
    </xf>
    <xf numFmtId="41" fontId="25" fillId="0" borderId="17" xfId="0" applyNumberFormat="1" applyFont="1" applyBorder="1" applyAlignment="1">
      <alignment horizontal="center"/>
    </xf>
    <xf numFmtId="0" fontId="0" fillId="0" borderId="14" xfId="0" applyFont="1" applyBorder="1"/>
    <xf numFmtId="41" fontId="0" fillId="0" borderId="14" xfId="0" applyNumberFormat="1" applyFont="1" applyBorder="1" applyAlignment="1">
      <alignment horizontal="center"/>
    </xf>
    <xf numFmtId="41" fontId="25" fillId="0" borderId="18" xfId="0" applyNumberFormat="1" applyFont="1" applyBorder="1" applyAlignment="1">
      <alignment horizontal="center"/>
    </xf>
    <xf numFmtId="166" fontId="0" fillId="0" borderId="0" xfId="0" applyNumberFormat="1" applyFont="1"/>
    <xf numFmtId="0" fontId="28" fillId="0" borderId="0" xfId="0" applyFont="1"/>
    <xf numFmtId="164" fontId="28" fillId="0" borderId="0" xfId="0" applyNumberFormat="1" applyFont="1" applyBorder="1"/>
    <xf numFmtId="164" fontId="29" fillId="0" borderId="0" xfId="0" applyNumberFormat="1" applyFont="1" applyBorder="1"/>
    <xf numFmtId="164" fontId="29" fillId="10" borderId="26" xfId="0" applyNumberFormat="1" applyFont="1" applyFill="1" applyBorder="1"/>
    <xf numFmtId="41" fontId="0" fillId="10" borderId="26" xfId="0" applyNumberFormat="1" applyFont="1" applyFill="1" applyBorder="1" applyAlignment="1">
      <alignment horizontal="center"/>
    </xf>
    <xf numFmtId="41" fontId="25" fillId="10" borderId="27" xfId="0" applyNumberFormat="1" applyFont="1" applyFill="1" applyBorder="1" applyAlignment="1">
      <alignment horizontal="center"/>
    </xf>
    <xf numFmtId="164" fontId="28" fillId="10" borderId="0" xfId="0" applyNumberFormat="1" applyFont="1" applyFill="1" applyBorder="1"/>
    <xf numFmtId="41" fontId="0" fillId="10" borderId="0" xfId="0" applyNumberFormat="1" applyFont="1" applyFill="1" applyBorder="1" applyAlignment="1">
      <alignment horizontal="center"/>
    </xf>
    <xf numFmtId="41" fontId="25" fillId="10" borderId="17" xfId="0" applyNumberFormat="1" applyFont="1" applyFill="1" applyBorder="1" applyAlignment="1">
      <alignment horizontal="center"/>
    </xf>
    <xf numFmtId="0" fontId="0" fillId="0" borderId="0" xfId="0" applyFont="1" applyBorder="1" applyAlignment="1">
      <alignment horizontal="center"/>
    </xf>
    <xf numFmtId="164" fontId="29" fillId="5" borderId="7" xfId="0" applyNumberFormat="1" applyFont="1" applyFill="1" applyBorder="1"/>
    <xf numFmtId="41" fontId="0" fillId="5" borderId="7" xfId="0" applyNumberFormat="1" applyFont="1" applyFill="1" applyBorder="1" applyAlignment="1">
      <alignment horizontal="center"/>
    </xf>
    <xf numFmtId="41" fontId="25" fillId="5" borderId="24" xfId="0" applyNumberFormat="1" applyFont="1" applyFill="1" applyBorder="1" applyAlignment="1">
      <alignment horizontal="center"/>
    </xf>
    <xf numFmtId="0" fontId="25" fillId="0" borderId="17" xfId="0" applyFont="1" applyBorder="1" applyAlignment="1">
      <alignment horizontal="center"/>
    </xf>
    <xf numFmtId="0" fontId="0" fillId="0" borderId="0" xfId="0" applyFont="1" applyAlignment="1">
      <alignment horizontal="right"/>
    </xf>
    <xf numFmtId="0" fontId="30" fillId="0" borderId="0" xfId="0" applyFont="1"/>
    <xf numFmtId="0" fontId="25" fillId="5" borderId="7" xfId="0" applyFont="1" applyFill="1" applyBorder="1"/>
    <xf numFmtId="41" fontId="25" fillId="5" borderId="7" xfId="0" applyNumberFormat="1" applyFont="1" applyFill="1" applyBorder="1"/>
    <xf numFmtId="41" fontId="25" fillId="5" borderId="24" xfId="0" applyNumberFormat="1" applyFont="1" applyFill="1" applyBorder="1"/>
    <xf numFmtId="41" fontId="0" fillId="0" borderId="0" xfId="0" applyNumberFormat="1" applyFont="1"/>
    <xf numFmtId="41" fontId="25" fillId="0" borderId="17" xfId="0" applyNumberFormat="1" applyFont="1" applyBorder="1"/>
    <xf numFmtId="0" fontId="0" fillId="0" borderId="39" xfId="0" applyFont="1" applyBorder="1"/>
    <xf numFmtId="41" fontId="0" fillId="0" borderId="39" xfId="0" applyNumberFormat="1" applyFont="1" applyBorder="1"/>
    <xf numFmtId="41" fontId="0" fillId="0" borderId="40" xfId="0" applyNumberFormat="1" applyFont="1" applyBorder="1"/>
    <xf numFmtId="0" fontId="0" fillId="0" borderId="41" xfId="0" applyFont="1" applyBorder="1"/>
    <xf numFmtId="41" fontId="0" fillId="0" borderId="41" xfId="0" applyNumberFormat="1" applyFont="1" applyBorder="1"/>
    <xf numFmtId="41" fontId="0" fillId="0" borderId="42" xfId="0" applyNumberFormat="1" applyFont="1" applyBorder="1"/>
    <xf numFmtId="41" fontId="26" fillId="0" borderId="0" xfId="0" applyNumberFormat="1" applyFont="1"/>
    <xf numFmtId="41" fontId="31" fillId="0" borderId="17" xfId="0" applyNumberFormat="1" applyFont="1" applyBorder="1"/>
    <xf numFmtId="0" fontId="26" fillId="0" borderId="0" xfId="0" applyFont="1"/>
    <xf numFmtId="0" fontId="0" fillId="0" borderId="7" xfId="0" applyFont="1" applyBorder="1"/>
    <xf numFmtId="41" fontId="0" fillId="0" borderId="7" xfId="0" applyNumberFormat="1" applyFont="1" applyBorder="1"/>
    <xf numFmtId="41" fontId="25" fillId="0" borderId="24" xfId="0" applyNumberFormat="1" applyFont="1" applyBorder="1"/>
    <xf numFmtId="41" fontId="0" fillId="0" borderId="0" xfId="0" applyNumberFormat="1" applyFont="1" applyBorder="1"/>
    <xf numFmtId="41" fontId="25" fillId="0" borderId="0" xfId="0" applyNumberFormat="1" applyFont="1" applyBorder="1"/>
    <xf numFmtId="167" fontId="25" fillId="0" borderId="0" xfId="1" applyNumberFormat="1" applyFont="1" applyBorder="1"/>
    <xf numFmtId="0" fontId="30" fillId="0" borderId="0" xfId="0" applyFont="1" applyBorder="1"/>
    <xf numFmtId="0" fontId="25" fillId="9" borderId="20" xfId="0" applyFont="1" applyFill="1" applyBorder="1"/>
    <xf numFmtId="41" fontId="25" fillId="9" borderId="20" xfId="0" applyNumberFormat="1" applyFont="1" applyFill="1" applyBorder="1"/>
    <xf numFmtId="41" fontId="25" fillId="9" borderId="25" xfId="0" applyNumberFormat="1" applyFont="1" applyFill="1" applyBorder="1"/>
    <xf numFmtId="41" fontId="0" fillId="0" borderId="14" xfId="0" applyNumberFormat="1" applyFont="1" applyBorder="1"/>
    <xf numFmtId="41" fontId="25" fillId="0" borderId="18" xfId="0" applyNumberFormat="1" applyFont="1" applyBorder="1"/>
    <xf numFmtId="0" fontId="0" fillId="0" borderId="9" xfId="0" applyFont="1" applyBorder="1"/>
    <xf numFmtId="41" fontId="0" fillId="0" borderId="9" xfId="0" applyNumberFormat="1" applyFont="1" applyBorder="1"/>
    <xf numFmtId="41" fontId="0" fillId="0" borderId="16" xfId="0" applyNumberFormat="1" applyFont="1" applyBorder="1"/>
    <xf numFmtId="41" fontId="0" fillId="0" borderId="17" xfId="0" applyNumberFormat="1" applyFont="1" applyBorder="1"/>
    <xf numFmtId="41" fontId="26" fillId="0" borderId="17" xfId="0" applyNumberFormat="1" applyFont="1" applyBorder="1"/>
    <xf numFmtId="9" fontId="31" fillId="0" borderId="17" xfId="1" applyFont="1" applyBorder="1"/>
    <xf numFmtId="0" fontId="0" fillId="0" borderId="44" xfId="0" applyFont="1" applyBorder="1" applyAlignment="1">
      <alignment horizontal="center"/>
    </xf>
    <xf numFmtId="0" fontId="0" fillId="0" borderId="43" xfId="0" applyFont="1" applyBorder="1" applyAlignment="1">
      <alignment horizontal="center"/>
    </xf>
    <xf numFmtId="0" fontId="0" fillId="0" borderId="45" xfId="0" applyFont="1" applyBorder="1" applyAlignment="1">
      <alignment horizontal="center"/>
    </xf>
    <xf numFmtId="0" fontId="0" fillId="0" borderId="46" xfId="0" applyFont="1" applyBorder="1" applyAlignment="1">
      <alignment horizontal="center"/>
    </xf>
    <xf numFmtId="0" fontId="25" fillId="0" borderId="9" xfId="0" applyFont="1" applyBorder="1" applyAlignment="1">
      <alignment horizontal="center"/>
    </xf>
    <xf numFmtId="41" fontId="25" fillId="0" borderId="26" xfId="0" applyNumberFormat="1" applyFont="1" applyBorder="1" applyAlignment="1">
      <alignment horizontal="center"/>
    </xf>
    <xf numFmtId="41" fontId="25" fillId="0" borderId="0" xfId="0" applyNumberFormat="1" applyFont="1" applyBorder="1" applyAlignment="1">
      <alignment horizontal="center"/>
    </xf>
    <xf numFmtId="41" fontId="25" fillId="0" borderId="14" xfId="0" applyNumberFormat="1" applyFont="1" applyBorder="1" applyAlignment="1">
      <alignment horizontal="center"/>
    </xf>
    <xf numFmtId="166" fontId="0" fillId="0" borderId="0" xfId="0" applyNumberFormat="1" applyFont="1" applyBorder="1"/>
    <xf numFmtId="41" fontId="25" fillId="10" borderId="26" xfId="0" applyNumberFormat="1" applyFont="1" applyFill="1" applyBorder="1" applyAlignment="1">
      <alignment horizontal="center"/>
    </xf>
    <xf numFmtId="41" fontId="25" fillId="10" borderId="0" xfId="0" applyNumberFormat="1" applyFont="1" applyFill="1" applyBorder="1" applyAlignment="1">
      <alignment horizontal="center"/>
    </xf>
    <xf numFmtId="41" fontId="25" fillId="5" borderId="7" xfId="0" applyNumberFormat="1" applyFont="1" applyFill="1" applyBorder="1" applyAlignment="1">
      <alignment horizontal="center"/>
    </xf>
    <xf numFmtId="0" fontId="25" fillId="0" borderId="0" xfId="0" applyFont="1" applyBorder="1" applyAlignment="1">
      <alignment horizontal="center"/>
    </xf>
    <xf numFmtId="41" fontId="31" fillId="0" borderId="0" xfId="0" applyNumberFormat="1" applyFont="1" applyBorder="1"/>
    <xf numFmtId="9" fontId="31" fillId="0" borderId="0" xfId="1" applyFont="1" applyBorder="1"/>
    <xf numFmtId="41" fontId="25" fillId="0" borderId="7" xfId="0" applyNumberFormat="1" applyFont="1" applyBorder="1"/>
    <xf numFmtId="41" fontId="25" fillId="0" borderId="14" xfId="0" applyNumberFormat="1" applyFont="1" applyBorder="1"/>
    <xf numFmtId="41" fontId="26" fillId="0" borderId="0" xfId="0" applyNumberFormat="1" applyFont="1" applyBorder="1"/>
    <xf numFmtId="41" fontId="17" fillId="0" borderId="0" xfId="0" applyNumberFormat="1" applyFont="1" applyBorder="1" applyAlignment="1">
      <alignment horizontal="center" vertical="center"/>
    </xf>
    <xf numFmtId="0" fontId="32" fillId="13" borderId="28" xfId="0" applyFont="1" applyFill="1" applyBorder="1"/>
    <xf numFmtId="167" fontId="0" fillId="0" borderId="0" xfId="1" applyNumberFormat="1" applyFont="1"/>
    <xf numFmtId="170" fontId="0" fillId="0" borderId="0" xfId="0" applyNumberFormat="1"/>
    <xf numFmtId="168" fontId="0" fillId="0" borderId="0" xfId="0" applyNumberFormat="1"/>
    <xf numFmtId="0" fontId="0" fillId="4" borderId="7" xfId="0" applyFill="1" applyBorder="1"/>
    <xf numFmtId="168" fontId="1" fillId="4" borderId="7" xfId="0" applyNumberFormat="1" applyFont="1" applyFill="1" applyBorder="1"/>
    <xf numFmtId="9" fontId="1" fillId="4" borderId="7" xfId="0" applyNumberFormat="1" applyFont="1" applyFill="1" applyBorder="1"/>
    <xf numFmtId="0" fontId="0" fillId="0" borderId="0" xfId="0" applyFill="1" applyBorder="1"/>
    <xf numFmtId="0" fontId="10" fillId="0" borderId="36" xfId="0" applyFont="1" applyBorder="1" applyAlignment="1">
      <alignment horizontal="center" vertical="center"/>
    </xf>
    <xf numFmtId="0" fontId="10" fillId="0" borderId="37" xfId="0" applyFont="1" applyBorder="1" applyAlignment="1">
      <alignment horizontal="center" vertical="center"/>
    </xf>
    <xf numFmtId="0" fontId="10" fillId="0" borderId="38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2" xfId="0" applyFont="1" applyBorder="1" applyAlignment="1">
      <alignment horizontal="center"/>
    </xf>
    <xf numFmtId="0" fontId="0" fillId="0" borderId="21" xfId="0" applyFont="1" applyBorder="1" applyAlignment="1">
      <alignment horizontal="center"/>
    </xf>
  </cellXfs>
  <cellStyles count="10">
    <cellStyle name="Comma" xfId="9" builtinId="3"/>
    <cellStyle name="Hyperlink" xfId="7" builtinId="8"/>
    <cellStyle name="Normal" xfId="0" builtinId="0"/>
    <cellStyle name="Normal 2" xfId="8"/>
    <cellStyle name="Normal 3" xfId="5"/>
    <cellStyle name="Percent" xfId="1" builtinId="5"/>
    <cellStyle name="Percent 2" xfId="6"/>
    <cellStyle name="Обычный 14" xfId="3"/>
    <cellStyle name="Обычный 2 10" xfId="2"/>
    <cellStyle name="Обычный 2 5" xfId="4"/>
  </cellStyles>
  <dxfs count="5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work!$O$31:$O$54</c:f>
              <c:numCache>
                <c:formatCode>General</c:formatCode>
                <c:ptCount val="24"/>
                <c:pt idx="0">
                  <c:v>100</c:v>
                </c:pt>
                <c:pt idx="1">
                  <c:v>103</c:v>
                </c:pt>
                <c:pt idx="2">
                  <c:v>109</c:v>
                </c:pt>
                <c:pt idx="3">
                  <c:v>122</c:v>
                </c:pt>
                <c:pt idx="4">
                  <c:v>137</c:v>
                </c:pt>
                <c:pt idx="5">
                  <c:v>156</c:v>
                </c:pt>
                <c:pt idx="6">
                  <c:v>182</c:v>
                </c:pt>
                <c:pt idx="7">
                  <c:v>217</c:v>
                </c:pt>
                <c:pt idx="8">
                  <c:v>263</c:v>
                </c:pt>
                <c:pt idx="9">
                  <c:v>319</c:v>
                </c:pt>
                <c:pt idx="10">
                  <c:v>387</c:v>
                </c:pt>
                <c:pt idx="11">
                  <c:v>450</c:v>
                </c:pt>
                <c:pt idx="12">
                  <c:v>537</c:v>
                </c:pt>
                <c:pt idx="13">
                  <c:v>625</c:v>
                </c:pt>
                <c:pt idx="14">
                  <c:v>711</c:v>
                </c:pt>
                <c:pt idx="15">
                  <c:v>796</c:v>
                </c:pt>
                <c:pt idx="16">
                  <c:v>860</c:v>
                </c:pt>
                <c:pt idx="17">
                  <c:v>916</c:v>
                </c:pt>
                <c:pt idx="18">
                  <c:v>968</c:v>
                </c:pt>
                <c:pt idx="19">
                  <c:v>1000</c:v>
                </c:pt>
                <c:pt idx="20">
                  <c:v>1026</c:v>
                </c:pt>
                <c:pt idx="21">
                  <c:v>1046</c:v>
                </c:pt>
                <c:pt idx="22">
                  <c:v>1058</c:v>
                </c:pt>
                <c:pt idx="23">
                  <c:v>1068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66F-4B5D-AE7F-EE16AB35CC61}"/>
            </c:ext>
          </c:extLst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yVal>
            <c:numRef>
              <c:f>work!$N$31:$N$54</c:f>
              <c:numCache>
                <c:formatCode>General</c:formatCode>
                <c:ptCount val="24"/>
                <c:pt idx="0">
                  <c:v>50</c:v>
                </c:pt>
                <c:pt idx="1">
                  <c:v>52</c:v>
                </c:pt>
                <c:pt idx="2">
                  <c:v>56</c:v>
                </c:pt>
                <c:pt idx="3">
                  <c:v>65</c:v>
                </c:pt>
                <c:pt idx="4">
                  <c:v>75</c:v>
                </c:pt>
                <c:pt idx="5">
                  <c:v>87</c:v>
                </c:pt>
                <c:pt idx="6">
                  <c:v>104</c:v>
                </c:pt>
                <c:pt idx="7">
                  <c:v>127</c:v>
                </c:pt>
                <c:pt idx="8">
                  <c:v>158</c:v>
                </c:pt>
                <c:pt idx="9">
                  <c:v>197</c:v>
                </c:pt>
                <c:pt idx="10">
                  <c:v>239</c:v>
                </c:pt>
                <c:pt idx="11">
                  <c:v>289</c:v>
                </c:pt>
                <c:pt idx="12">
                  <c:v>355</c:v>
                </c:pt>
                <c:pt idx="13">
                  <c:v>419</c:v>
                </c:pt>
                <c:pt idx="14">
                  <c:v>485</c:v>
                </c:pt>
                <c:pt idx="15">
                  <c:v>552</c:v>
                </c:pt>
                <c:pt idx="16">
                  <c:v>604</c:v>
                </c:pt>
                <c:pt idx="17">
                  <c:v>650</c:v>
                </c:pt>
                <c:pt idx="18">
                  <c:v>691</c:v>
                </c:pt>
                <c:pt idx="19">
                  <c:v>719</c:v>
                </c:pt>
                <c:pt idx="20">
                  <c:v>743</c:v>
                </c:pt>
                <c:pt idx="21">
                  <c:v>760</c:v>
                </c:pt>
                <c:pt idx="22">
                  <c:v>771</c:v>
                </c:pt>
                <c:pt idx="23">
                  <c:v>780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66F-4B5D-AE7F-EE16AB35CC61}"/>
            </c:ext>
          </c:extLst>
        </c:ser>
        <c:ser>
          <c:idx val="2"/>
          <c:order val="2"/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yVal>
            <c:numRef>
              <c:f>work!$P$31:$P$54</c:f>
              <c:numCache>
                <c:formatCode>General</c:formatCode>
                <c:ptCount val="24"/>
                <c:pt idx="0">
                  <c:v>170</c:v>
                </c:pt>
                <c:pt idx="1">
                  <c:v>175</c:v>
                </c:pt>
                <c:pt idx="2">
                  <c:v>184</c:v>
                </c:pt>
                <c:pt idx="3">
                  <c:v>203</c:v>
                </c:pt>
                <c:pt idx="4">
                  <c:v>224</c:v>
                </c:pt>
                <c:pt idx="5">
                  <c:v>262</c:v>
                </c:pt>
                <c:pt idx="6">
                  <c:v>306</c:v>
                </c:pt>
                <c:pt idx="7">
                  <c:v>359</c:v>
                </c:pt>
                <c:pt idx="8">
                  <c:v>427</c:v>
                </c:pt>
                <c:pt idx="9">
                  <c:v>507</c:v>
                </c:pt>
                <c:pt idx="10">
                  <c:v>594</c:v>
                </c:pt>
                <c:pt idx="11">
                  <c:v>696</c:v>
                </c:pt>
                <c:pt idx="12">
                  <c:v>813</c:v>
                </c:pt>
                <c:pt idx="13">
                  <c:v>922</c:v>
                </c:pt>
                <c:pt idx="14">
                  <c:v>1027</c:v>
                </c:pt>
                <c:pt idx="15">
                  <c:v>1129</c:v>
                </c:pt>
                <c:pt idx="16">
                  <c:v>1206</c:v>
                </c:pt>
                <c:pt idx="17">
                  <c:v>1271</c:v>
                </c:pt>
                <c:pt idx="18">
                  <c:v>1332</c:v>
                </c:pt>
                <c:pt idx="19">
                  <c:v>1371</c:v>
                </c:pt>
                <c:pt idx="20">
                  <c:v>1403</c:v>
                </c:pt>
                <c:pt idx="21">
                  <c:v>1424</c:v>
                </c:pt>
                <c:pt idx="22">
                  <c:v>1438</c:v>
                </c:pt>
                <c:pt idx="23">
                  <c:v>1449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66F-4B5D-AE7F-EE16AB35CC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87700392"/>
        <c:axId val="987705880"/>
      </c:scatterChart>
      <c:valAx>
        <c:axId val="9877003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7705880"/>
        <c:crosses val="autoZero"/>
        <c:crossBetween val="midCat"/>
      </c:valAx>
      <c:valAx>
        <c:axId val="987705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77003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0"/>
          </c:trendline>
          <c:yVal>
            <c:numRef>
              <c:f>work!$S$32:$S$54</c:f>
              <c:numCache>
                <c:formatCode>General</c:formatCode>
                <c:ptCount val="23"/>
                <c:pt idx="0">
                  <c:v>3</c:v>
                </c:pt>
                <c:pt idx="1">
                  <c:v>6</c:v>
                </c:pt>
                <c:pt idx="2">
                  <c:v>13</c:v>
                </c:pt>
                <c:pt idx="3">
                  <c:v>15</c:v>
                </c:pt>
                <c:pt idx="4">
                  <c:v>19</c:v>
                </c:pt>
                <c:pt idx="5">
                  <c:v>26</c:v>
                </c:pt>
                <c:pt idx="6">
                  <c:v>35</c:v>
                </c:pt>
                <c:pt idx="7">
                  <c:v>46</c:v>
                </c:pt>
                <c:pt idx="8">
                  <c:v>56</c:v>
                </c:pt>
                <c:pt idx="9">
                  <c:v>68</c:v>
                </c:pt>
                <c:pt idx="10">
                  <c:v>63</c:v>
                </c:pt>
                <c:pt idx="11">
                  <c:v>87</c:v>
                </c:pt>
                <c:pt idx="12">
                  <c:v>88</c:v>
                </c:pt>
                <c:pt idx="13">
                  <c:v>86</c:v>
                </c:pt>
                <c:pt idx="14">
                  <c:v>85</c:v>
                </c:pt>
                <c:pt idx="15">
                  <c:v>64</c:v>
                </c:pt>
                <c:pt idx="16">
                  <c:v>56</c:v>
                </c:pt>
                <c:pt idx="17">
                  <c:v>52</c:v>
                </c:pt>
                <c:pt idx="18">
                  <c:v>32</c:v>
                </c:pt>
                <c:pt idx="19">
                  <c:v>26</c:v>
                </c:pt>
                <c:pt idx="20">
                  <c:v>20</c:v>
                </c:pt>
                <c:pt idx="21">
                  <c:v>12</c:v>
                </c:pt>
                <c:pt idx="22">
                  <c:v>10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162-49C2-952F-2FFBEBE86B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87711760"/>
        <c:axId val="987709408"/>
      </c:scatterChart>
      <c:valAx>
        <c:axId val="9877117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7709408"/>
        <c:crosses val="autoZero"/>
        <c:crossBetween val="midCat"/>
      </c:valAx>
      <c:valAx>
        <c:axId val="987709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77117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Q!$A$90</c:f>
              <c:strCache>
                <c:ptCount val="1"/>
                <c:pt idx="0">
                  <c:v>Получение кредита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B2D-4CF1-BA39-CABDF3809701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2D-4CF1-BA39-CABDF3809701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B2D-4CF1-BA39-CABDF3809701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B2D-4CF1-BA39-CABDF3809701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B2D-4CF1-BA39-CABDF3809701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B2D-4CF1-BA39-CABDF380970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Q!$B$2:$O$2</c:f>
              <c:strCache>
                <c:ptCount val="14"/>
                <c:pt idx="0">
                  <c:v>III-2017</c:v>
                </c:pt>
                <c:pt idx="1">
                  <c:v>IV-2017</c:v>
                </c:pt>
                <c:pt idx="2">
                  <c:v>I-2018</c:v>
                </c:pt>
                <c:pt idx="3">
                  <c:v>II-2018</c:v>
                </c:pt>
                <c:pt idx="4">
                  <c:v>III-2018</c:v>
                </c:pt>
                <c:pt idx="5">
                  <c:v>IV-2018</c:v>
                </c:pt>
                <c:pt idx="6">
                  <c:v>I-2019</c:v>
                </c:pt>
                <c:pt idx="7">
                  <c:v>II-2019</c:v>
                </c:pt>
                <c:pt idx="8">
                  <c:v>III-2019</c:v>
                </c:pt>
                <c:pt idx="9">
                  <c:v>IV-2019</c:v>
                </c:pt>
                <c:pt idx="10">
                  <c:v>I-2020</c:v>
                </c:pt>
                <c:pt idx="11">
                  <c:v>II-2020</c:v>
                </c:pt>
                <c:pt idx="12">
                  <c:v>III-2020</c:v>
                </c:pt>
                <c:pt idx="13">
                  <c:v>IV-2020</c:v>
                </c:pt>
              </c:strCache>
            </c:strRef>
          </c:cat>
          <c:val>
            <c:numRef>
              <c:f>Q!$B$90:$L$90</c:f>
              <c:numCache>
                <c:formatCode>_(* #,##0_);_(* \(#,##0\);_(* "-"_);_(@_)</c:formatCode>
                <c:ptCount val="11"/>
                <c:pt idx="0">
                  <c:v>13700</c:v>
                </c:pt>
                <c:pt idx="1">
                  <c:v>5800</c:v>
                </c:pt>
                <c:pt idx="2">
                  <c:v>4600</c:v>
                </c:pt>
                <c:pt idx="3">
                  <c:v>6600</c:v>
                </c:pt>
                <c:pt idx="4">
                  <c:v>16200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B2D-4CF1-BA39-CABDF3809701}"/>
            </c:ext>
          </c:extLst>
        </c:ser>
        <c:ser>
          <c:idx val="1"/>
          <c:order val="1"/>
          <c:tx>
            <c:strRef>
              <c:f>Q!$A$91</c:f>
              <c:strCache>
                <c:ptCount val="1"/>
                <c:pt idx="0">
                  <c:v>Возврат кредита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B2D-4CF1-BA39-CABDF380970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B2D-4CF1-BA39-CABDF380970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B2D-4CF1-BA39-CABDF3809701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B2D-4CF1-BA39-CABDF3809701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B2D-4CF1-BA39-CABDF3809701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B2D-4CF1-BA39-CABDF3809701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B2D-4CF1-BA39-CABDF3809701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B2D-4CF1-BA39-CABDF3809701}"/>
                </c:ext>
              </c:extLst>
            </c:dLbl>
            <c:dLbl>
              <c:idx val="9"/>
              <c:layout>
                <c:manualLayout>
                  <c:x val="2.8852141408207141E-3"/>
                  <c:y val="1.06669927715996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B2D-4CF1-BA39-CABDF380970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Q!$B$2:$O$2</c:f>
              <c:strCache>
                <c:ptCount val="14"/>
                <c:pt idx="0">
                  <c:v>III-2017</c:v>
                </c:pt>
                <c:pt idx="1">
                  <c:v>IV-2017</c:v>
                </c:pt>
                <c:pt idx="2">
                  <c:v>I-2018</c:v>
                </c:pt>
                <c:pt idx="3">
                  <c:v>II-2018</c:v>
                </c:pt>
                <c:pt idx="4">
                  <c:v>III-2018</c:v>
                </c:pt>
                <c:pt idx="5">
                  <c:v>IV-2018</c:v>
                </c:pt>
                <c:pt idx="6">
                  <c:v>I-2019</c:v>
                </c:pt>
                <c:pt idx="7">
                  <c:v>II-2019</c:v>
                </c:pt>
                <c:pt idx="8">
                  <c:v>III-2019</c:v>
                </c:pt>
                <c:pt idx="9">
                  <c:v>IV-2019</c:v>
                </c:pt>
                <c:pt idx="10">
                  <c:v>I-2020</c:v>
                </c:pt>
                <c:pt idx="11">
                  <c:v>II-2020</c:v>
                </c:pt>
                <c:pt idx="12">
                  <c:v>III-2020</c:v>
                </c:pt>
                <c:pt idx="13">
                  <c:v>IV-2020</c:v>
                </c:pt>
              </c:strCache>
            </c:strRef>
          </c:cat>
          <c:val>
            <c:numRef>
              <c:f>Q!$B$91:$L$91</c:f>
              <c:numCache>
                <c:formatCode>_(* #,##0_);_(* \(#,##0\);_(* "-"_);_(@_)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-14000</c:v>
                </c:pt>
                <c:pt idx="9">
                  <c:v>-26600</c:v>
                </c:pt>
                <c:pt idx="10">
                  <c:v>-6300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FB2D-4CF1-BA39-CABDF3809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90"/>
        <c:axId val="1443192959"/>
        <c:axId val="1327111663"/>
      </c:barChart>
      <c:catAx>
        <c:axId val="14431929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7111663"/>
        <c:crosses val="autoZero"/>
        <c:auto val="1"/>
        <c:lblAlgn val="ctr"/>
        <c:lblOffset val="100"/>
        <c:noMultiLvlLbl val="0"/>
      </c:catAx>
      <c:valAx>
        <c:axId val="1327111663"/>
        <c:scaling>
          <c:orientation val="minMax"/>
        </c:scaling>
        <c:delete val="1"/>
        <c:axPos val="l"/>
        <c:numFmt formatCode="_(* #,##0_);_(* \(#,##0\);_(* &quot;-&quot;_);_(@_)" sourceLinked="1"/>
        <c:majorTickMark val="none"/>
        <c:minorTickMark val="none"/>
        <c:tickLblPos val="nextTo"/>
        <c:crossAx val="14431929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1.9007086494857845E-2"/>
          <c:y val="2.2081631328328938E-2"/>
          <c:w val="0.96775614170081781"/>
          <c:h val="6.19410043722789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1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4689829472358831E-2"/>
          <c:y val="3.7590192928922454E-2"/>
          <c:w val="0.93062034105528235"/>
          <c:h val="0.68115959837617335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C2C-423A-8114-2353C0D74A5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C2C-423A-8114-2353C0D74A5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4C2C-423A-8114-2353C0D74A5F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4C2C-423A-8114-2353C0D74A5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Infographics!$Q$2:$Q$5</c:f>
              <c:strCache>
                <c:ptCount val="4"/>
                <c:pt idx="0">
                  <c:v>Корм для рыбы</c:v>
                </c:pt>
                <c:pt idx="1">
                  <c:v>Производственный персонал</c:v>
                </c:pt>
                <c:pt idx="2">
                  <c:v>Стоимость малька</c:v>
                </c:pt>
                <c:pt idx="3">
                  <c:v>Прочие расходы</c:v>
                </c:pt>
              </c:strCache>
            </c:strRef>
          </c:cat>
          <c:val>
            <c:numRef>
              <c:f>Infographics!$R$2:$R$5</c:f>
              <c:numCache>
                <c:formatCode>0%</c:formatCode>
                <c:ptCount val="4"/>
                <c:pt idx="0">
                  <c:v>0.69623479365092933</c:v>
                </c:pt>
                <c:pt idx="1">
                  <c:v>0.14075940217769992</c:v>
                </c:pt>
                <c:pt idx="2">
                  <c:v>0.10995247728271863</c:v>
                </c:pt>
                <c:pt idx="3">
                  <c:v>5.3053326888652164E-2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C2C-423A-8114-2353C0D74A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65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4689829472358831E-2"/>
          <c:y val="3.7590192928922454E-2"/>
          <c:w val="0.93062034105528235"/>
          <c:h val="0.68115959837617335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C10-42A6-9248-1C56E25D976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C10-42A6-9248-1C56E25D976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C10-42A6-9248-1C56E25D976F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0C10-42A6-9248-1C56E25D976F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BBA0-496C-A479-A1CF2FA0B51C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BBA0-496C-A479-A1CF2FA0B51C}"/>
              </c:ext>
            </c:extLst>
          </c:dPt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Infographics!$U$2:$U$7</c:f>
              <c:strCache>
                <c:ptCount val="6"/>
                <c:pt idx="0">
                  <c:v>Персонал</c:v>
                </c:pt>
                <c:pt idx="1">
                  <c:v>Коммандировки</c:v>
                </c:pt>
                <c:pt idx="2">
                  <c:v>Электроэнергия</c:v>
                </c:pt>
                <c:pt idx="3">
                  <c:v>Хозяйственные нужды</c:v>
                </c:pt>
                <c:pt idx="4">
                  <c:v>Транспорт</c:v>
                </c:pt>
                <c:pt idx="5">
                  <c:v>Складские расходы</c:v>
                </c:pt>
              </c:strCache>
            </c:strRef>
          </c:cat>
          <c:val>
            <c:numRef>
              <c:f>Infographics!$X$2:$X$7</c:f>
              <c:numCache>
                <c:formatCode>0.0%</c:formatCode>
                <c:ptCount val="6"/>
                <c:pt idx="0">
                  <c:v>0.81010960631765339</c:v>
                </c:pt>
                <c:pt idx="1">
                  <c:v>8.4263862196541306E-2</c:v>
                </c:pt>
                <c:pt idx="2">
                  <c:v>4.351654855220443E-2</c:v>
                </c:pt>
                <c:pt idx="3">
                  <c:v>3.5208843828601767E-2</c:v>
                </c:pt>
                <c:pt idx="4">
                  <c:v>2.2153879262940438E-2</c:v>
                </c:pt>
                <c:pt idx="5">
                  <c:v>4.7472598420586652E-3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C10-42A6-9248-1C56E25D97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65"/>
      </c:doughnut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9.7658962965666368E-2"/>
          <c:y val="0.75846045802554451"/>
          <c:w val="0.7722367496646928"/>
          <c:h val="0.221184275797294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4689829472358831E-2"/>
          <c:y val="3.7590192928922454E-2"/>
          <c:w val="0.93062034105528235"/>
          <c:h val="0.68115959837617335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EC7C-4F47-B1D6-C19BDD15A3B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EC7C-4F47-B1D6-C19BDD15A3B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EC7C-4F47-B1D6-C19BDD15A3B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EC7C-4F47-B1D6-C19BDD15A3B1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EC7C-4F47-B1D6-C19BDD15A3B1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EC7C-4F47-B1D6-C19BDD15A3B1}"/>
              </c:ext>
            </c:extLst>
          </c:dPt>
          <c:cat>
            <c:strRef>
              <c:f>Infographics!$Z$2:$Z$7</c:f>
              <c:strCache>
                <c:ptCount val="6"/>
                <c:pt idx="0">
                  <c:v>Персонал</c:v>
                </c:pt>
                <c:pt idx="1">
                  <c:v>Налоги и платежи в бюджет</c:v>
                </c:pt>
                <c:pt idx="2">
                  <c:v>Банковские расходы</c:v>
                </c:pt>
                <c:pt idx="3">
                  <c:v>Страхование</c:v>
                </c:pt>
                <c:pt idx="4">
                  <c:v>Юридические услуги</c:v>
                </c:pt>
                <c:pt idx="5">
                  <c:v>Прочие расходы</c:v>
                </c:pt>
              </c:strCache>
            </c:strRef>
          </c:cat>
          <c:val>
            <c:numRef>
              <c:f>Infographics!$AB$2:$AB$7</c:f>
              <c:numCache>
                <c:formatCode>0%</c:formatCode>
                <c:ptCount val="6"/>
                <c:pt idx="0">
                  <c:v>0.74166212546897359</c:v>
                </c:pt>
                <c:pt idx="1">
                  <c:v>0.13819898455155216</c:v>
                </c:pt>
                <c:pt idx="2">
                  <c:v>6.0462055741304067E-2</c:v>
                </c:pt>
                <c:pt idx="3">
                  <c:v>2.5912309603416027E-2</c:v>
                </c:pt>
                <c:pt idx="4">
                  <c:v>2.5127088100282208E-2</c:v>
                </c:pt>
                <c:pt idx="5">
                  <c:v>8.6374365344720101E-3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C7C-4F47-B1D6-C19BDD15A3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65"/>
      </c:doughnut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9.7658962965666368E-2"/>
          <c:y val="0.75846045802554451"/>
          <c:w val="0.7722367496646928"/>
          <c:h val="0.221184275797294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Infographics!$A$32</c:f>
              <c:strCache>
                <c:ptCount val="1"/>
                <c:pt idx="0">
                  <c:v>EBITDA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Infographics!$B$31:$E$31</c:f>
              <c:numCache>
                <c:formatCode>General</c:formatCode>
                <c:ptCount val="4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</c:numCache>
            </c:numRef>
          </c:cat>
          <c:val>
            <c:numRef>
              <c:f>Infographics!$B$32:$E$32</c:f>
              <c:numCache>
                <c:formatCode>_(* #,##0.0_);_(* \(#,##0.0\);_(* "-"??_);_(@_)</c:formatCode>
                <c:ptCount val="4"/>
                <c:pt idx="0">
                  <c:v>-1.8654499999999998</c:v>
                </c:pt>
                <c:pt idx="1">
                  <c:v>11.398650666666672</c:v>
                </c:pt>
                <c:pt idx="2">
                  <c:v>34.810861333333342</c:v>
                </c:pt>
                <c:pt idx="3">
                  <c:v>37.135861333333352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85-4A80-9B01-EAEFDEAA8F79}"/>
            </c:ext>
          </c:extLst>
        </c:ser>
        <c:ser>
          <c:idx val="1"/>
          <c:order val="1"/>
          <c:tx>
            <c:strRef>
              <c:f>Infographics!$A$33</c:f>
              <c:strCache>
                <c:ptCount val="1"/>
                <c:pt idx="0">
                  <c:v>Чистая прибыль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Infographics!$B$31:$E$31</c:f>
              <c:numCache>
                <c:formatCode>General</c:formatCode>
                <c:ptCount val="4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</c:numCache>
            </c:numRef>
          </c:cat>
          <c:val>
            <c:numRef>
              <c:f>Infographics!$B$33:$E$33</c:f>
              <c:numCache>
                <c:formatCode>_(* #,##0.0_);_(* \(#,##0.0\);_(* "-"??_);_(@_)</c:formatCode>
                <c:ptCount val="4"/>
                <c:pt idx="0">
                  <c:v>-3.1721397665895061</c:v>
                </c:pt>
                <c:pt idx="1">
                  <c:v>4.2979630936782618</c:v>
                </c:pt>
                <c:pt idx="2">
                  <c:v>26.57172823227118</c:v>
                </c:pt>
                <c:pt idx="3">
                  <c:v>34.576571205398643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85-4A80-9B01-EAEFDEAA8F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-5"/>
        <c:axId val="1329676895"/>
        <c:axId val="1323749903"/>
      </c:barChart>
      <c:catAx>
        <c:axId val="13296768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3749903"/>
        <c:crosses val="autoZero"/>
        <c:auto val="1"/>
        <c:lblAlgn val="ctr"/>
        <c:lblOffset val="100"/>
        <c:noMultiLvlLbl val="0"/>
      </c:catAx>
      <c:valAx>
        <c:axId val="1323749903"/>
        <c:scaling>
          <c:orientation val="minMax"/>
        </c:scaling>
        <c:delete val="1"/>
        <c:axPos val="l"/>
        <c:numFmt formatCode="_(* #,##0.0_);_(* \(#,##0.0\);_(* &quot;-&quot;??_);_(@_)" sourceLinked="1"/>
        <c:majorTickMark val="none"/>
        <c:minorTickMark val="none"/>
        <c:tickLblPos val="nextTo"/>
        <c:crossAx val="13296768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0204943132108479E-2"/>
          <c:y val="0.89430300379119276"/>
          <c:w val="0.91070122484689409"/>
          <c:h val="7.791921843102946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Infographics!$J$30</c:f>
              <c:strCache>
                <c:ptCount val="1"/>
                <c:pt idx="0">
                  <c:v>Операционный денежный поток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Infographics!$B$31:$E$31</c:f>
              <c:numCache>
                <c:formatCode>General</c:formatCode>
                <c:ptCount val="4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</c:numCache>
            </c:numRef>
          </c:cat>
          <c:val>
            <c:numRef>
              <c:f>Infographics!$K$30:$N$30</c:f>
              <c:numCache>
                <c:formatCode>_(* #,##0.0_);_(* \(#,##0.0\);_(* "-"??_);_(@_)</c:formatCode>
                <c:ptCount val="4"/>
                <c:pt idx="0">
                  <c:v>-9.409183333333333</c:v>
                </c:pt>
                <c:pt idx="1">
                  <c:v>-14.316117326666667</c:v>
                </c:pt>
                <c:pt idx="2">
                  <c:v>27.521773498787887</c:v>
                </c:pt>
                <c:pt idx="3">
                  <c:v>61.32233729454547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AB-4F98-92B9-6A0352B3EEFF}"/>
            </c:ext>
          </c:extLst>
        </c:ser>
        <c:ser>
          <c:idx val="1"/>
          <c:order val="1"/>
          <c:tx>
            <c:strRef>
              <c:f>Infographics!$J$31</c:f>
              <c:strCache>
                <c:ptCount val="1"/>
                <c:pt idx="0">
                  <c:v>Чистый денежный поток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Infographics!$B$31:$E$31</c:f>
              <c:numCache>
                <c:formatCode>General</c:formatCode>
                <c:ptCount val="4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</c:numCache>
            </c:numRef>
          </c:cat>
          <c:val>
            <c:numRef>
              <c:f>Infographics!$K$31:$N$31</c:f>
              <c:numCache>
                <c:formatCode>_(* #,##0.0_);_(* \(#,##0.0\);_(* "-"??_);_(@_)</c:formatCode>
                <c:ptCount val="4"/>
                <c:pt idx="0">
                  <c:v>9.0816666666667295E-2</c:v>
                </c:pt>
                <c:pt idx="1">
                  <c:v>13.083882673333335</c:v>
                </c:pt>
                <c:pt idx="2">
                  <c:v>-13.078226501212113</c:v>
                </c:pt>
                <c:pt idx="3">
                  <c:v>55.022337294545459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AB-4F98-92B9-6A0352B3EE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-5"/>
        <c:axId val="1329676895"/>
        <c:axId val="1323749903"/>
      </c:barChart>
      <c:catAx>
        <c:axId val="13296768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3749903"/>
        <c:crosses val="autoZero"/>
        <c:auto val="1"/>
        <c:lblAlgn val="ctr"/>
        <c:lblOffset val="100"/>
        <c:noMultiLvlLbl val="0"/>
      </c:catAx>
      <c:valAx>
        <c:axId val="1323749903"/>
        <c:scaling>
          <c:orientation val="minMax"/>
        </c:scaling>
        <c:delete val="1"/>
        <c:axPos val="l"/>
        <c:numFmt formatCode="_(* #,##0.0_);_(* \(#,##0.0\);_(* &quot;-&quot;??_);_(@_)" sourceLinked="1"/>
        <c:majorTickMark val="none"/>
        <c:minorTickMark val="none"/>
        <c:tickLblPos val="nextTo"/>
        <c:crossAx val="13296768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0204943132108479E-2"/>
          <c:y val="0.89430300379119276"/>
          <c:w val="0.91070122484689409"/>
          <c:h val="7.791921843102946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1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Spin" dx="22" fmlaLink="$D$7" max="90" page="10" val="0"/>
</file>

<file path=xl/ctrlProps/ctrlProp2.xml><?xml version="1.0" encoding="utf-8"?>
<formControlPr xmlns="http://schemas.microsoft.com/office/spreadsheetml/2009/9/main" objectType="Spin" dx="22" fmlaLink="$D$11" max="90" page="10" val="15"/>
</file>

<file path=xl/ctrlProps/ctrlProp3.xml><?xml version="1.0" encoding="utf-8"?>
<formControlPr xmlns="http://schemas.microsoft.com/office/spreadsheetml/2009/9/main" objectType="Spin" dx="22" fmlaLink="$D$15" max="90" page="10" val="0"/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gif"/><Relationship Id="rId2" Type="http://schemas.openxmlformats.org/officeDocument/2006/relationships/image" Target="../media/image2.gif"/><Relationship Id="rId1" Type="http://schemas.openxmlformats.org/officeDocument/2006/relationships/image" Target="../media/image1.gif"/><Relationship Id="rId5" Type="http://schemas.openxmlformats.org/officeDocument/2006/relationships/chart" Target="../charts/chart2.xml"/><Relationship Id="rId4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chart" Target="../charts/chart8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85725</xdr:colOff>
          <xdr:row>5</xdr:row>
          <xdr:rowOff>9525</xdr:rowOff>
        </xdr:from>
        <xdr:to>
          <xdr:col>4</xdr:col>
          <xdr:colOff>381000</xdr:colOff>
          <xdr:row>7</xdr:row>
          <xdr:rowOff>9525</xdr:rowOff>
        </xdr:to>
        <xdr:sp macro="" textlink="">
          <xdr:nvSpPr>
            <xdr:cNvPr id="3073" name="Spinner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0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85725</xdr:colOff>
          <xdr:row>8</xdr:row>
          <xdr:rowOff>161925</xdr:rowOff>
        </xdr:from>
        <xdr:to>
          <xdr:col>4</xdr:col>
          <xdr:colOff>381000</xdr:colOff>
          <xdr:row>11</xdr:row>
          <xdr:rowOff>9525</xdr:rowOff>
        </xdr:to>
        <xdr:sp macro="" textlink="">
          <xdr:nvSpPr>
            <xdr:cNvPr id="3074" name="Spinner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0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85725</xdr:colOff>
          <xdr:row>13</xdr:row>
          <xdr:rowOff>0</xdr:rowOff>
        </xdr:from>
        <xdr:to>
          <xdr:col>4</xdr:col>
          <xdr:colOff>381000</xdr:colOff>
          <xdr:row>15</xdr:row>
          <xdr:rowOff>9525</xdr:rowOff>
        </xdr:to>
        <xdr:sp macro="" textlink="">
          <xdr:nvSpPr>
            <xdr:cNvPr id="3075" name="Spinner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0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12</xdr:col>
      <xdr:colOff>0</xdr:colOff>
      <xdr:row>26</xdr:row>
      <xdr:rowOff>9525</xdr:rowOff>
    </xdr:to>
    <xdr:pic>
      <xdr:nvPicPr>
        <xdr:cNvPr id="4" name="Picture 3" descr="Image result for таблица роста форели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95825"/>
          <a:ext cx="7315200" cy="4057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171450</xdr:colOff>
      <xdr:row>26</xdr:row>
      <xdr:rowOff>85725</xdr:rowOff>
    </xdr:from>
    <xdr:to>
      <xdr:col>11</xdr:col>
      <xdr:colOff>428625</xdr:colOff>
      <xdr:row>52</xdr:row>
      <xdr:rowOff>47625</xdr:rowOff>
    </xdr:to>
    <xdr:pic>
      <xdr:nvPicPr>
        <xdr:cNvPr id="5" name="Picture 4" descr="http://sibir.arktikfish.com/images/Sborn_metod_rek/sig782.GIF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8829675"/>
          <a:ext cx="6962775" cy="4171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73398</xdr:colOff>
      <xdr:row>52</xdr:row>
      <xdr:rowOff>152400</xdr:rowOff>
    </xdr:from>
    <xdr:to>
      <xdr:col>11</xdr:col>
      <xdr:colOff>301998</xdr:colOff>
      <xdr:row>78</xdr:row>
      <xdr:rowOff>57150</xdr:rowOff>
    </xdr:to>
    <xdr:pic>
      <xdr:nvPicPr>
        <xdr:cNvPr id="6" name="Picture 5" descr="Image result for таблица роста форели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98" y="8310282"/>
          <a:ext cx="6884894" cy="39836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23</xdr:col>
      <xdr:colOff>607593</xdr:colOff>
      <xdr:row>23</xdr:row>
      <xdr:rowOff>70840</xdr:rowOff>
    </xdr:from>
    <xdr:to>
      <xdr:col>32</xdr:col>
      <xdr:colOff>114054</xdr:colOff>
      <xdr:row>47</xdr:row>
      <xdr:rowOff>147423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23</xdr:col>
      <xdr:colOff>607229</xdr:colOff>
      <xdr:row>48</xdr:row>
      <xdr:rowOff>29644</xdr:rowOff>
    </xdr:from>
    <xdr:to>
      <xdr:col>32</xdr:col>
      <xdr:colOff>118173</xdr:colOff>
      <xdr:row>65</xdr:row>
      <xdr:rowOff>105846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204107</xdr:colOff>
      <xdr:row>0</xdr:row>
      <xdr:rowOff>81643</xdr:rowOff>
    </xdr:from>
    <xdr:to>
      <xdr:col>14</xdr:col>
      <xdr:colOff>473213</xdr:colOff>
      <xdr:row>26</xdr:row>
      <xdr:rowOff>135224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68036</xdr:colOff>
      <xdr:row>0</xdr:row>
      <xdr:rowOff>95250</xdr:rowOff>
    </xdr:from>
    <xdr:to>
      <xdr:col>19</xdr:col>
      <xdr:colOff>358775</xdr:colOff>
      <xdr:row>23</xdr:row>
      <xdr:rowOff>83182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408214</xdr:colOff>
      <xdr:row>0</xdr:row>
      <xdr:rowOff>108857</xdr:rowOff>
    </xdr:from>
    <xdr:to>
      <xdr:col>24</xdr:col>
      <xdr:colOff>86632</xdr:colOff>
      <xdr:row>23</xdr:row>
      <xdr:rowOff>96789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24</xdr:col>
      <xdr:colOff>163287</xdr:colOff>
      <xdr:row>0</xdr:row>
      <xdr:rowOff>149678</xdr:rowOff>
    </xdr:from>
    <xdr:to>
      <xdr:col>28</xdr:col>
      <xdr:colOff>454026</xdr:colOff>
      <xdr:row>23</xdr:row>
      <xdr:rowOff>137610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54428</xdr:colOff>
      <xdr:row>27</xdr:row>
      <xdr:rowOff>81643</xdr:rowOff>
    </xdr:from>
    <xdr:to>
      <xdr:col>7</xdr:col>
      <xdr:colOff>340178</xdr:colOff>
      <xdr:row>44</xdr:row>
      <xdr:rowOff>8164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421822</xdr:colOff>
      <xdr:row>27</xdr:row>
      <xdr:rowOff>81642</xdr:rowOff>
    </xdr:from>
    <xdr:to>
      <xdr:col>15</xdr:col>
      <xdr:colOff>95251</xdr:colOff>
      <xdr:row>44</xdr:row>
      <xdr:rowOff>8163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Cicoresky">
  <a:themeElements>
    <a:clrScheme name="Cicoresky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811910"/>
      </a:accent1>
      <a:accent2>
        <a:srgbClr val="CEA8A5"/>
      </a:accent2>
      <a:accent3>
        <a:srgbClr val="69677D"/>
      </a:accent3>
      <a:accent4>
        <a:srgbClr val="514F5D"/>
      </a:accent4>
      <a:accent5>
        <a:srgbClr val="3A3742"/>
      </a:accent5>
      <a:accent6>
        <a:srgbClr val="2B2A32"/>
      </a:accent6>
      <a:hlink>
        <a:srgbClr val="0563C1"/>
      </a:hlink>
      <a:folHlink>
        <a:srgbClr val="954F72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Cicoresky" id="{FA63D4B6-1457-4D19-AC4E-C4128BEFB820}" vid="{B75D5B75-67CC-4CD3-8300-5CC5D5CEC37C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://sibir.arktikfish.com/index.php/rekomendatsii/53-tekhnologicheskaya-skhema" TargetMode="External"/><Relationship Id="rId2" Type="http://schemas.openxmlformats.org/officeDocument/2006/relationships/hyperlink" Target="http://ru.raisioagro.com/94" TargetMode="External"/><Relationship Id="rId1" Type="http://schemas.openxmlformats.org/officeDocument/2006/relationships/hyperlink" Target="https://www.aquafeed.ru/node/41" TargetMode="External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42"/>
  <sheetViews>
    <sheetView showGridLines="0" tabSelected="1" zoomScale="85" zoomScaleNormal="85" workbookViewId="0">
      <selection activeCell="E31" sqref="E31"/>
    </sheetView>
  </sheetViews>
  <sheetFormatPr defaultColWidth="9.140625" defaultRowHeight="12.75" x14ac:dyDescent="0.2"/>
  <cols>
    <col min="1" max="1" width="2.85546875" customWidth="1"/>
    <col min="2" max="2" width="25.7109375" style="12" customWidth="1"/>
    <col min="3" max="3" width="9.7109375" style="12" customWidth="1"/>
    <col min="4" max="4" width="9.7109375" style="85" customWidth="1"/>
    <col min="5" max="5" width="9.7109375" style="12" customWidth="1"/>
    <col min="6" max="6" width="13.140625" style="12" customWidth="1"/>
    <col min="7" max="10" width="6.140625" style="85" customWidth="1"/>
    <col min="11" max="12" width="8.85546875" style="12" customWidth="1"/>
    <col min="13" max="16384" width="9.140625" style="12"/>
  </cols>
  <sheetData>
    <row r="1" spans="2:11" customFormat="1" x14ac:dyDescent="0.2">
      <c r="D1" s="83"/>
      <c r="G1" s="83"/>
      <c r="H1" s="83"/>
      <c r="I1" s="83"/>
      <c r="J1" s="83"/>
    </row>
    <row r="2" spans="2:11" customFormat="1" x14ac:dyDescent="0.2">
      <c r="B2" s="12"/>
      <c r="C2" s="92">
        <v>2018</v>
      </c>
      <c r="D2" s="92">
        <v>2019</v>
      </c>
      <c r="E2" s="92">
        <v>2020</v>
      </c>
      <c r="G2" s="83"/>
      <c r="H2" s="83"/>
      <c r="I2" s="83"/>
      <c r="J2" s="83"/>
    </row>
    <row r="3" spans="2:11" customFormat="1" x14ac:dyDescent="0.2">
      <c r="B3" s="93" t="s">
        <v>64</v>
      </c>
      <c r="C3" s="94">
        <v>100000</v>
      </c>
      <c r="D3" s="94">
        <v>200000</v>
      </c>
      <c r="E3" s="94">
        <v>200000</v>
      </c>
      <c r="G3" s="83"/>
      <c r="H3" s="83"/>
      <c r="I3" s="83"/>
      <c r="J3" s="83"/>
    </row>
    <row r="4" spans="2:11" customFormat="1" ht="13.5" thickBot="1" x14ac:dyDescent="0.25">
      <c r="D4" s="83"/>
      <c r="G4" s="83"/>
      <c r="H4" s="83"/>
      <c r="I4" s="83"/>
      <c r="J4" s="83"/>
    </row>
    <row r="5" spans="2:11" ht="13.5" thickBot="1" x14ac:dyDescent="0.25">
      <c r="B5" s="19" t="s">
        <v>81</v>
      </c>
      <c r="C5" s="20"/>
      <c r="D5" s="82"/>
      <c r="E5" s="15"/>
      <c r="F5" s="14" t="s">
        <v>11</v>
      </c>
      <c r="G5" s="87">
        <v>0</v>
      </c>
      <c r="H5" s="87">
        <v>30</v>
      </c>
      <c r="I5" s="87">
        <v>60</v>
      </c>
      <c r="J5" s="87">
        <v>90</v>
      </c>
      <c r="K5" s="15"/>
    </row>
    <row r="6" spans="2:11" x14ac:dyDescent="0.2">
      <c r="B6" s="17" t="s">
        <v>82</v>
      </c>
      <c r="C6" s="13" t="s">
        <v>10</v>
      </c>
      <c r="D6" s="18">
        <v>0</v>
      </c>
      <c r="E6" s="15"/>
      <c r="F6" s="14" t="s">
        <v>12</v>
      </c>
      <c r="G6" s="84">
        <v>0</v>
      </c>
      <c r="H6" s="84">
        <v>1</v>
      </c>
      <c r="I6" s="84">
        <v>2</v>
      </c>
      <c r="J6" s="84">
        <v>3</v>
      </c>
      <c r="K6" s="15"/>
    </row>
    <row r="7" spans="2:11" ht="13.5" thickBot="1" x14ac:dyDescent="0.25">
      <c r="B7" s="17" t="s">
        <v>83</v>
      </c>
      <c r="C7" s="13" t="s">
        <v>213</v>
      </c>
      <c r="D7" s="84">
        <v>0</v>
      </c>
      <c r="E7" s="15"/>
      <c r="F7" s="14" t="s">
        <v>13</v>
      </c>
      <c r="G7" s="88">
        <f>IF(AND($D$7&gt;=G5,$D$7&lt;=H5),(H5-$D$7)/$H$5,0)</f>
        <v>1</v>
      </c>
      <c r="H7" s="88">
        <f>IF(AND($D$7&gt;=G5,$D$7&lt;=H5),$D$7/$H$5,IF(AND($D$7&gt;=H5,$D$7&lt;=I5),(I5-D7)/H5,0))</f>
        <v>0</v>
      </c>
      <c r="I7" s="88">
        <f>IF(AND($D$7&gt;=G5,$D$7&lt;=H5),0,IF(AND($D$7&gt;=H5,$D$7&lt;=I5),(D7-H5)/H5,(J5-D7)/H5))</f>
        <v>0</v>
      </c>
      <c r="J7" s="88">
        <f>IF(D7&lt;=60,0,(D7-I5)/H5)</f>
        <v>0</v>
      </c>
      <c r="K7" s="16">
        <f>SUM(G7:J7)</f>
        <v>1</v>
      </c>
    </row>
    <row r="8" spans="2:11" ht="13.5" thickBot="1" x14ac:dyDescent="0.25">
      <c r="B8"/>
      <c r="C8"/>
      <c r="D8" s="83"/>
      <c r="E8" s="15"/>
    </row>
    <row r="9" spans="2:11" ht="13.5" thickBot="1" x14ac:dyDescent="0.25">
      <c r="B9" s="19" t="s">
        <v>84</v>
      </c>
      <c r="C9" s="20"/>
      <c r="D9" s="82"/>
      <c r="E9" s="15"/>
      <c r="F9" s="14" t="s">
        <v>11</v>
      </c>
      <c r="G9" s="87">
        <v>0</v>
      </c>
      <c r="H9" s="87">
        <v>30</v>
      </c>
      <c r="I9" s="87">
        <v>60</v>
      </c>
      <c r="J9" s="87">
        <v>90</v>
      </c>
      <c r="K9" s="15"/>
    </row>
    <row r="10" spans="2:11" x14ac:dyDescent="0.2">
      <c r="B10" s="17" t="s">
        <v>82</v>
      </c>
      <c r="C10" s="13" t="s">
        <v>10</v>
      </c>
      <c r="D10" s="18">
        <v>0</v>
      </c>
      <c r="E10" s="15"/>
      <c r="F10" s="14" t="s">
        <v>12</v>
      </c>
      <c r="G10" s="84">
        <v>0</v>
      </c>
      <c r="H10" s="84">
        <v>1</v>
      </c>
      <c r="I10" s="84">
        <v>2</v>
      </c>
      <c r="J10" s="84">
        <v>3</v>
      </c>
      <c r="K10" s="15"/>
    </row>
    <row r="11" spans="2:11" ht="13.5" thickBot="1" x14ac:dyDescent="0.25">
      <c r="B11" s="17" t="s">
        <v>83</v>
      </c>
      <c r="C11" s="13" t="s">
        <v>213</v>
      </c>
      <c r="D11" s="84">
        <v>15</v>
      </c>
      <c r="E11" s="15"/>
      <c r="F11" s="14" t="s">
        <v>13</v>
      </c>
      <c r="G11" s="88">
        <f>IF(AND($D$11&gt;=G9,$D$11&lt;=H9),(H9-$D$11)/$H$9,0)</f>
        <v>0.5</v>
      </c>
      <c r="H11" s="88">
        <f>IF(AND($D$11&gt;=G9,$D$11&lt;=H9),$D$11/$H$9,IF(AND($D$11&gt;=H9,$D$11&lt;=I9),(I9-D11)/H9,0))</f>
        <v>0.5</v>
      </c>
      <c r="I11" s="88">
        <f>IF(AND($D$11&gt;=G9,$D$11&lt;=H9),0,IF(AND($D$11&gt;=H9,$D$11&lt;=I9),(D11-H9)/H9,(J9-D11)/H9))</f>
        <v>0</v>
      </c>
      <c r="J11" s="88">
        <f>IF(D11&lt;=60,0,(D11-I9)/H9)</f>
        <v>0</v>
      </c>
      <c r="K11" s="16">
        <f>SUM(G11:J11)</f>
        <v>1</v>
      </c>
    </row>
    <row r="12" spans="2:11" ht="13.5" thickBot="1" x14ac:dyDescent="0.25">
      <c r="E12" s="15"/>
    </row>
    <row r="13" spans="2:11" ht="13.5" thickBot="1" x14ac:dyDescent="0.25">
      <c r="B13" s="19" t="s">
        <v>85</v>
      </c>
      <c r="C13" s="20"/>
      <c r="D13" s="82"/>
      <c r="E13" s="15"/>
      <c r="F13" s="14" t="s">
        <v>11</v>
      </c>
      <c r="G13" s="87">
        <v>0</v>
      </c>
      <c r="H13" s="87">
        <v>30</v>
      </c>
      <c r="I13" s="87">
        <v>60</v>
      </c>
      <c r="J13" s="87">
        <v>90</v>
      </c>
      <c r="K13" s="15"/>
    </row>
    <row r="14" spans="2:11" x14ac:dyDescent="0.2">
      <c r="B14" s="17" t="s">
        <v>82</v>
      </c>
      <c r="C14" s="13" t="s">
        <v>10</v>
      </c>
      <c r="D14" s="18">
        <v>0</v>
      </c>
      <c r="E14" s="15"/>
      <c r="F14" s="14" t="s">
        <v>12</v>
      </c>
      <c r="G14" s="84">
        <v>0</v>
      </c>
      <c r="H14" s="84">
        <v>1</v>
      </c>
      <c r="I14" s="84">
        <v>2</v>
      </c>
      <c r="J14" s="84">
        <v>3</v>
      </c>
      <c r="K14" s="15"/>
    </row>
    <row r="15" spans="2:11" ht="13.5" thickBot="1" x14ac:dyDescent="0.25">
      <c r="B15" s="17" t="s">
        <v>83</v>
      </c>
      <c r="C15" s="13" t="s">
        <v>213</v>
      </c>
      <c r="D15" s="84">
        <v>0</v>
      </c>
      <c r="E15" s="15"/>
      <c r="F15" s="14" t="s">
        <v>13</v>
      </c>
      <c r="G15" s="88">
        <f>IF(AND($D$15&gt;=G13,$D$15&lt;=H13),(H13-$D$15)/$H$13,0)</f>
        <v>1</v>
      </c>
      <c r="H15" s="88">
        <f>IF(AND($D$15&gt;=G13,$D$15&lt;=H13),$D$15/$H$13,IF(AND($D$15&gt;=H13,$D$15&lt;=I13),(I13-D15)/H13,0))</f>
        <v>0</v>
      </c>
      <c r="I15" s="88">
        <f>IF(AND($D$15&gt;=G13,$D$15&lt;=H13),0,IF(AND($D$15&gt;=H13,$D$15&lt;=I13),(D15-H13)/H13,(J13-D15)/H13))</f>
        <v>0</v>
      </c>
      <c r="J15" s="88">
        <f>IF(D15&lt;=60,0,(D15-I13)/H13)</f>
        <v>0</v>
      </c>
      <c r="K15" s="16">
        <f>SUM(G15:J15)</f>
        <v>1</v>
      </c>
    </row>
    <row r="16" spans="2:11" ht="13.5" thickBot="1" x14ac:dyDescent="0.25">
      <c r="E16" s="15"/>
    </row>
    <row r="17" spans="2:7" ht="13.5" thickBot="1" x14ac:dyDescent="0.25">
      <c r="B17" s="19" t="s">
        <v>86</v>
      </c>
      <c r="C17" s="20"/>
      <c r="D17" s="82"/>
    </row>
    <row r="18" spans="2:7" x14ac:dyDescent="0.2">
      <c r="B18" s="17" t="s">
        <v>87</v>
      </c>
      <c r="C18" s="13" t="s">
        <v>10</v>
      </c>
      <c r="D18" s="18">
        <v>0.15</v>
      </c>
    </row>
    <row r="19" spans="2:7" x14ac:dyDescent="0.2">
      <c r="B19" s="17" t="s">
        <v>212</v>
      </c>
      <c r="C19" s="13"/>
      <c r="D19" s="18">
        <v>0.09</v>
      </c>
    </row>
    <row r="20" spans="2:7" ht="13.5" thickBot="1" x14ac:dyDescent="0.25">
      <c r="B20" s="166"/>
      <c r="C20" s="167"/>
      <c r="G20" s="12"/>
    </row>
    <row r="21" spans="2:7" ht="13.5" thickBot="1" x14ac:dyDescent="0.25">
      <c r="B21" s="19" t="s">
        <v>15</v>
      </c>
      <c r="C21" s="20"/>
      <c r="D21" s="82"/>
      <c r="G21" s="12"/>
    </row>
    <row r="22" spans="2:7" x14ac:dyDescent="0.2">
      <c r="B22" s="12" t="s">
        <v>104</v>
      </c>
    </row>
    <row r="23" spans="2:7" x14ac:dyDescent="0.2">
      <c r="B23" s="22" t="s">
        <v>7</v>
      </c>
      <c r="C23" s="23">
        <v>600</v>
      </c>
      <c r="D23" s="86" t="s">
        <v>19</v>
      </c>
      <c r="E23" s="96">
        <v>0.05</v>
      </c>
    </row>
    <row r="24" spans="2:7" x14ac:dyDescent="0.2">
      <c r="B24" s="22" t="s">
        <v>8</v>
      </c>
      <c r="C24" s="23">
        <v>350</v>
      </c>
      <c r="D24" s="86" t="s">
        <v>19</v>
      </c>
      <c r="E24" s="96">
        <v>0.9</v>
      </c>
    </row>
    <row r="25" spans="2:7" x14ac:dyDescent="0.2">
      <c r="B25" s="22" t="s">
        <v>9</v>
      </c>
      <c r="C25" s="23">
        <v>350</v>
      </c>
      <c r="D25" s="86" t="s">
        <v>19</v>
      </c>
      <c r="E25" s="96">
        <v>0.05</v>
      </c>
    </row>
    <row r="26" spans="2:7" x14ac:dyDescent="0.2">
      <c r="B26" s="12" t="s">
        <v>16</v>
      </c>
    </row>
    <row r="27" spans="2:7" x14ac:dyDescent="0.2">
      <c r="B27" s="22" t="str">
        <f>C35&amp;" "&amp;D35</f>
        <v>15 гр.</v>
      </c>
      <c r="C27" s="23">
        <v>1400</v>
      </c>
      <c r="D27" s="86" t="s">
        <v>19</v>
      </c>
    </row>
    <row r="28" spans="2:7" x14ac:dyDescent="0.2">
      <c r="B28" s="12" t="s">
        <v>17</v>
      </c>
    </row>
    <row r="29" spans="2:7" x14ac:dyDescent="0.2">
      <c r="B29" s="22" t="s">
        <v>18</v>
      </c>
      <c r="C29" s="23">
        <v>150</v>
      </c>
      <c r="D29" s="86" t="s">
        <v>19</v>
      </c>
    </row>
    <row r="30" spans="2:7" x14ac:dyDescent="0.2">
      <c r="B30" s="22" t="s">
        <v>212</v>
      </c>
      <c r="C30" s="95">
        <v>0.2</v>
      </c>
      <c r="D30" s="12"/>
    </row>
    <row r="31" spans="2:7" x14ac:dyDescent="0.2">
      <c r="B31" s="98"/>
    </row>
    <row r="32" spans="2:7" x14ac:dyDescent="0.2">
      <c r="B32" s="97" t="s">
        <v>105</v>
      </c>
      <c r="C32" s="23">
        <v>60</v>
      </c>
    </row>
    <row r="33" spans="2:4" x14ac:dyDescent="0.2">
      <c r="B33" s="97" t="s">
        <v>48</v>
      </c>
      <c r="C33" s="95">
        <v>0.9</v>
      </c>
    </row>
    <row r="35" spans="2:4" x14ac:dyDescent="0.2">
      <c r="B35" s="97" t="s">
        <v>120</v>
      </c>
      <c r="C35" s="23">
        <v>15</v>
      </c>
      <c r="D35" s="85" t="s">
        <v>121</v>
      </c>
    </row>
    <row r="36" spans="2:4" x14ac:dyDescent="0.2">
      <c r="B36" s="97" t="s">
        <v>122</v>
      </c>
      <c r="C36" s="23">
        <v>1000</v>
      </c>
      <c r="D36" s="85" t="s">
        <v>121</v>
      </c>
    </row>
    <row r="37" spans="2:4" x14ac:dyDescent="0.2">
      <c r="B37" s="97" t="s">
        <v>123</v>
      </c>
      <c r="C37" s="23">
        <f>C35/C36</f>
        <v>1.4999999999999999E-2</v>
      </c>
    </row>
    <row r="39" spans="2:4" x14ac:dyDescent="0.2">
      <c r="B39" s="97" t="s">
        <v>206</v>
      </c>
      <c r="C39" s="95">
        <v>0.06</v>
      </c>
    </row>
    <row r="40" spans="2:4" x14ac:dyDescent="0.2">
      <c r="D40" s="12"/>
    </row>
    <row r="41" spans="2:4" x14ac:dyDescent="0.2">
      <c r="B41" s="106" t="s">
        <v>126</v>
      </c>
      <c r="C41" s="103">
        <f>MAX(M!165:165)</f>
        <v>46900</v>
      </c>
      <c r="D41" s="107" t="s">
        <v>101</v>
      </c>
    </row>
    <row r="42" spans="2:4" x14ac:dyDescent="0.2">
      <c r="B42" s="104"/>
      <c r="C42" s="105">
        <f>C41/C32</f>
        <v>781.66666666666663</v>
      </c>
      <c r="D42" s="108" t="s">
        <v>100</v>
      </c>
    </row>
  </sheetData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Spinner 1">
              <controlPr defaultSize="0" autoPict="0">
                <anchor moveWithCells="1" sizeWithCells="1">
                  <from>
                    <xdr:col>4</xdr:col>
                    <xdr:colOff>85725</xdr:colOff>
                    <xdr:row>5</xdr:row>
                    <xdr:rowOff>9525</xdr:rowOff>
                  </from>
                  <to>
                    <xdr:col>4</xdr:col>
                    <xdr:colOff>381000</xdr:colOff>
                    <xdr:row>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Spinner 2">
              <controlPr defaultSize="0" autoPict="0">
                <anchor moveWithCells="1" sizeWithCells="1">
                  <from>
                    <xdr:col>4</xdr:col>
                    <xdr:colOff>85725</xdr:colOff>
                    <xdr:row>8</xdr:row>
                    <xdr:rowOff>161925</xdr:rowOff>
                  </from>
                  <to>
                    <xdr:col>4</xdr:col>
                    <xdr:colOff>381000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6" name="Spinner 3">
              <controlPr defaultSize="0" autoPict="0">
                <anchor moveWithCells="1" sizeWithCells="1">
                  <from>
                    <xdr:col>4</xdr:col>
                    <xdr:colOff>85725</xdr:colOff>
                    <xdr:row>13</xdr:row>
                    <xdr:rowOff>0</xdr:rowOff>
                  </from>
                  <to>
                    <xdr:col>4</xdr:col>
                    <xdr:colOff>381000</xdr:colOff>
                    <xdr:row>15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B1:I102"/>
  <sheetViews>
    <sheetView showGridLines="0" topLeftCell="A53" zoomScale="85" zoomScaleNormal="85" workbookViewId="0">
      <selection activeCell="H62" sqref="H62"/>
    </sheetView>
  </sheetViews>
  <sheetFormatPr defaultRowHeight="12.75" outlineLevelRow="1" outlineLevelCol="1" x14ac:dyDescent="0.2"/>
  <cols>
    <col min="1" max="1" width="3" customWidth="1"/>
    <col min="2" max="2" width="40.140625" customWidth="1"/>
    <col min="3" max="3" width="8" style="89" hidden="1" customWidth="1" outlineLevel="1"/>
    <col min="4" max="4" width="9.140625" hidden="1" customWidth="1" outlineLevel="1"/>
    <col min="5" max="5" width="12.140625" bestFit="1" customWidth="1" collapsed="1"/>
    <col min="6" max="6" width="12.140625" bestFit="1" customWidth="1"/>
    <col min="7" max="7" width="2" customWidth="1"/>
    <col min="8" max="8" width="46.42578125" bestFit="1" customWidth="1"/>
  </cols>
  <sheetData>
    <row r="1" spans="2:8" s="111" customFormat="1" ht="15" customHeight="1" x14ac:dyDescent="0.2">
      <c r="B1" s="111" t="s">
        <v>93</v>
      </c>
      <c r="E1" s="146">
        <f>'0'!C32</f>
        <v>60</v>
      </c>
    </row>
    <row r="2" spans="2:8" s="111" customFormat="1" ht="15" customHeight="1" x14ac:dyDescent="0.2">
      <c r="B2" s="111" t="s">
        <v>143</v>
      </c>
      <c r="E2" s="148">
        <v>0.30099999999999999</v>
      </c>
    </row>
    <row r="3" spans="2:8" s="111" customFormat="1" ht="15" customHeight="1" x14ac:dyDescent="0.2">
      <c r="C3" s="83"/>
    </row>
    <row r="4" spans="2:8" s="111" customFormat="1" ht="15" customHeight="1" x14ac:dyDescent="0.2">
      <c r="B4" s="123" t="s">
        <v>167</v>
      </c>
      <c r="C4" s="124"/>
      <c r="D4" s="124"/>
      <c r="E4" s="124"/>
      <c r="F4" s="125"/>
      <c r="H4" s="115" t="s">
        <v>168</v>
      </c>
    </row>
    <row r="5" spans="2:8" s="111" customFormat="1" ht="15" hidden="1" customHeight="1" outlineLevel="1" x14ac:dyDescent="0.2">
      <c r="B5" s="126" t="s">
        <v>137</v>
      </c>
      <c r="C5" s="126"/>
      <c r="D5" s="126"/>
      <c r="E5" s="126" t="s">
        <v>138</v>
      </c>
      <c r="F5" s="126" t="s">
        <v>139</v>
      </c>
    </row>
    <row r="6" spans="2:8" s="111" customFormat="1" ht="15" hidden="1" customHeight="1" outlineLevel="1" x14ac:dyDescent="0.2">
      <c r="B6" s="130" t="s">
        <v>140</v>
      </c>
      <c r="C6" s="131"/>
      <c r="D6" s="131"/>
      <c r="E6" s="131">
        <v>2932000.17</v>
      </c>
      <c r="F6" s="130"/>
      <c r="H6" s="111" t="s">
        <v>169</v>
      </c>
    </row>
    <row r="7" spans="2:8" s="111" customFormat="1" ht="15" hidden="1" customHeight="1" outlineLevel="1" x14ac:dyDescent="0.2">
      <c r="B7" s="130" t="s">
        <v>141</v>
      </c>
      <c r="C7" s="131"/>
      <c r="D7" s="131"/>
      <c r="E7" s="131">
        <v>1032044</v>
      </c>
      <c r="F7" s="130"/>
      <c r="H7" s="111" t="s">
        <v>170</v>
      </c>
    </row>
    <row r="8" spans="2:8" s="111" customFormat="1" ht="15" hidden="1" customHeight="1" outlineLevel="1" x14ac:dyDescent="0.2">
      <c r="B8" s="133" t="s">
        <v>142</v>
      </c>
      <c r="C8" s="134"/>
      <c r="D8" s="134"/>
      <c r="E8" s="134">
        <v>871625.48</v>
      </c>
      <c r="F8" s="133"/>
      <c r="H8" s="111" t="s">
        <v>171</v>
      </c>
    </row>
    <row r="9" spans="2:8" s="111" customFormat="1" ht="15" hidden="1" customHeight="1" outlineLevel="1" x14ac:dyDescent="0.2">
      <c r="B9" s="133" t="s">
        <v>143</v>
      </c>
      <c r="C9" s="134"/>
      <c r="D9" s="134"/>
      <c r="E9" s="134">
        <v>330449.67</v>
      </c>
      <c r="F9" s="133"/>
      <c r="H9" s="111" t="s">
        <v>171</v>
      </c>
    </row>
    <row r="10" spans="2:8" s="111" customFormat="1" ht="15" hidden="1" customHeight="1" outlineLevel="1" x14ac:dyDescent="0.2">
      <c r="B10" s="133" t="s">
        <v>144</v>
      </c>
      <c r="C10" s="134"/>
      <c r="D10" s="134"/>
      <c r="E10" s="134">
        <v>61600</v>
      </c>
      <c r="F10" s="133"/>
      <c r="H10" s="111" t="s">
        <v>188</v>
      </c>
    </row>
    <row r="11" spans="2:8" s="111" customFormat="1" ht="15" hidden="1" customHeight="1" outlineLevel="1" x14ac:dyDescent="0.2">
      <c r="B11" s="133" t="s">
        <v>145</v>
      </c>
      <c r="C11" s="134"/>
      <c r="D11" s="134"/>
      <c r="E11" s="134">
        <v>55479.39</v>
      </c>
      <c r="F11" s="133"/>
      <c r="H11" s="111" t="s">
        <v>171</v>
      </c>
    </row>
    <row r="12" spans="2:8" s="111" customFormat="1" ht="15" hidden="1" customHeight="1" outlineLevel="1" x14ac:dyDescent="0.2">
      <c r="B12" s="133" t="s">
        <v>146</v>
      </c>
      <c r="C12" s="134"/>
      <c r="D12" s="134"/>
      <c r="E12" s="134">
        <v>39174.36</v>
      </c>
      <c r="F12" s="133"/>
      <c r="H12" s="111" t="s">
        <v>188</v>
      </c>
    </row>
    <row r="13" spans="2:8" s="111" customFormat="1" ht="15" hidden="1" customHeight="1" outlineLevel="1" x14ac:dyDescent="0.2">
      <c r="B13" s="133" t="s">
        <v>147</v>
      </c>
      <c r="C13" s="134"/>
      <c r="D13" s="134"/>
      <c r="E13" s="134">
        <v>38000</v>
      </c>
      <c r="F13" s="133"/>
      <c r="H13" s="111" t="s">
        <v>171</v>
      </c>
    </row>
    <row r="14" spans="2:8" s="111" customFormat="1" ht="15" hidden="1" customHeight="1" outlineLevel="1" x14ac:dyDescent="0.2">
      <c r="B14" s="133" t="s">
        <v>148</v>
      </c>
      <c r="C14" s="134"/>
      <c r="D14" s="134"/>
      <c r="E14" s="134">
        <v>37200</v>
      </c>
      <c r="F14" s="133"/>
      <c r="H14" s="111" t="s">
        <v>171</v>
      </c>
    </row>
    <row r="15" spans="2:8" s="111" customFormat="1" ht="15" hidden="1" customHeight="1" outlineLevel="1" x14ac:dyDescent="0.2">
      <c r="B15" s="133" t="s">
        <v>149</v>
      </c>
      <c r="C15" s="134"/>
      <c r="D15" s="134"/>
      <c r="E15" s="134">
        <v>30951</v>
      </c>
      <c r="F15" s="133"/>
      <c r="H15" s="111" t="s">
        <v>188</v>
      </c>
    </row>
    <row r="16" spans="2:8" s="111" customFormat="1" ht="15" hidden="1" customHeight="1" outlineLevel="1" x14ac:dyDescent="0.2">
      <c r="B16" s="133" t="s">
        <v>150</v>
      </c>
      <c r="C16" s="134"/>
      <c r="D16" s="134"/>
      <c r="E16" s="134">
        <v>30761.88</v>
      </c>
      <c r="F16" s="133"/>
      <c r="H16" s="111" t="s">
        <v>188</v>
      </c>
    </row>
    <row r="17" spans="2:8" s="111" customFormat="1" ht="15" hidden="1" customHeight="1" outlineLevel="1" x14ac:dyDescent="0.2">
      <c r="B17" s="133" t="s">
        <v>151</v>
      </c>
      <c r="C17" s="134"/>
      <c r="D17" s="134"/>
      <c r="E17" s="134">
        <v>27183</v>
      </c>
      <c r="F17" s="133"/>
      <c r="H17" s="111" t="s">
        <v>188</v>
      </c>
    </row>
    <row r="18" spans="2:8" s="111" customFormat="1" ht="15" hidden="1" customHeight="1" outlineLevel="1" x14ac:dyDescent="0.2">
      <c r="B18" s="133" t="s">
        <v>152</v>
      </c>
      <c r="C18" s="134"/>
      <c r="D18" s="134"/>
      <c r="E18" s="134">
        <v>11930</v>
      </c>
      <c r="F18" s="133"/>
      <c r="H18" s="111" t="s">
        <v>172</v>
      </c>
    </row>
    <row r="19" spans="2:8" s="111" customFormat="1" ht="15" hidden="1" customHeight="1" outlineLevel="1" x14ac:dyDescent="0.2">
      <c r="B19" s="133" t="s">
        <v>153</v>
      </c>
      <c r="C19" s="134"/>
      <c r="D19" s="134"/>
      <c r="E19" s="134">
        <v>7744</v>
      </c>
      <c r="F19" s="133"/>
      <c r="H19" s="111" t="s">
        <v>188</v>
      </c>
    </row>
    <row r="20" spans="2:8" s="111" customFormat="1" ht="15" hidden="1" customHeight="1" outlineLevel="1" x14ac:dyDescent="0.2">
      <c r="B20" s="133" t="s">
        <v>154</v>
      </c>
      <c r="C20" s="134"/>
      <c r="D20" s="134"/>
      <c r="E20" s="134">
        <v>1332.66</v>
      </c>
      <c r="F20" s="133"/>
      <c r="H20" s="111" t="s">
        <v>172</v>
      </c>
    </row>
    <row r="21" spans="2:8" s="111" customFormat="1" ht="15" hidden="1" customHeight="1" outlineLevel="1" x14ac:dyDescent="0.2">
      <c r="B21" s="133" t="s">
        <v>155</v>
      </c>
      <c r="C21" s="134"/>
      <c r="D21" s="134"/>
      <c r="E21" s="134">
        <v>518</v>
      </c>
      <c r="F21" s="133"/>
      <c r="H21" s="111" t="s">
        <v>172</v>
      </c>
    </row>
    <row r="22" spans="2:8" s="111" customFormat="1" ht="15" hidden="1" customHeight="1" outlineLevel="1" x14ac:dyDescent="0.2">
      <c r="B22" s="120" t="s">
        <v>156</v>
      </c>
      <c r="C22" s="127"/>
      <c r="D22" s="127"/>
      <c r="E22" s="127"/>
      <c r="F22" s="127">
        <v>2561888.4500000002</v>
      </c>
      <c r="H22" s="111" t="s">
        <v>178</v>
      </c>
    </row>
    <row r="23" spans="2:8" s="111" customFormat="1" ht="15" hidden="1" customHeight="1" outlineLevel="1" x14ac:dyDescent="0.2">
      <c r="B23" s="128" t="s">
        <v>157</v>
      </c>
      <c r="C23" s="129"/>
      <c r="D23" s="129"/>
      <c r="E23" s="129">
        <f>SUM(E6:E22)</f>
        <v>5507993.6100000003</v>
      </c>
      <c r="F23" s="129">
        <f>SUM(F6:F22)</f>
        <v>2561888.4500000002</v>
      </c>
    </row>
    <row r="24" spans="2:8" s="111" customFormat="1" ht="15" hidden="1" customHeight="1" outlineLevel="1" x14ac:dyDescent="0.2"/>
    <row r="25" spans="2:8" s="111" customFormat="1" ht="15" hidden="1" customHeight="1" outlineLevel="1" x14ac:dyDescent="0.2">
      <c r="B25" s="126" t="s">
        <v>158</v>
      </c>
      <c r="C25" s="126"/>
      <c r="D25" s="126"/>
      <c r="E25" s="126" t="s">
        <v>138</v>
      </c>
    </row>
    <row r="26" spans="2:8" s="111" customFormat="1" ht="15" hidden="1" customHeight="1" outlineLevel="1" x14ac:dyDescent="0.2">
      <c r="B26" s="133" t="s">
        <v>142</v>
      </c>
      <c r="C26" s="134"/>
      <c r="D26" s="134"/>
      <c r="E26" s="134">
        <v>1888904.77</v>
      </c>
      <c r="H26" s="111" t="s">
        <v>171</v>
      </c>
    </row>
    <row r="27" spans="2:8" s="111" customFormat="1" ht="15" hidden="1" customHeight="1" outlineLevel="1" x14ac:dyDescent="0.2">
      <c r="B27" s="133" t="s">
        <v>143</v>
      </c>
      <c r="C27" s="134"/>
      <c r="D27" s="134"/>
      <c r="E27" s="134">
        <v>1045577.41</v>
      </c>
      <c r="H27" s="111" t="s">
        <v>171</v>
      </c>
    </row>
    <row r="28" spans="2:8" s="111" customFormat="1" ht="15" hidden="1" customHeight="1" outlineLevel="1" x14ac:dyDescent="0.2">
      <c r="B28" s="133" t="s">
        <v>159</v>
      </c>
      <c r="C28" s="134"/>
      <c r="D28" s="134"/>
      <c r="E28" s="134">
        <v>160971</v>
      </c>
      <c r="H28" s="111" t="s">
        <v>171</v>
      </c>
    </row>
    <row r="29" spans="2:8" s="111" customFormat="1" ht="15" hidden="1" customHeight="1" outlineLevel="1" x14ac:dyDescent="0.2">
      <c r="B29" s="133" t="s">
        <v>79</v>
      </c>
      <c r="C29" s="134"/>
      <c r="D29" s="134"/>
      <c r="E29" s="134">
        <v>132042.85</v>
      </c>
      <c r="H29" s="111" t="s">
        <v>171</v>
      </c>
    </row>
    <row r="30" spans="2:8" s="111" customFormat="1" ht="15" hidden="1" customHeight="1" outlineLevel="1" x14ac:dyDescent="0.2">
      <c r="B30" s="133" t="s">
        <v>166</v>
      </c>
      <c r="C30" s="134"/>
      <c r="D30" s="134"/>
      <c r="E30" s="134">
        <v>106648.3</v>
      </c>
      <c r="H30" s="111" t="s">
        <v>171</v>
      </c>
    </row>
    <row r="31" spans="2:8" s="111" customFormat="1" ht="15" hidden="1" customHeight="1" outlineLevel="1" x14ac:dyDescent="0.2">
      <c r="B31" s="133" t="s">
        <v>160</v>
      </c>
      <c r="C31" s="134"/>
      <c r="D31" s="134"/>
      <c r="E31" s="134">
        <v>94570</v>
      </c>
      <c r="H31" s="111" t="s">
        <v>171</v>
      </c>
    </row>
    <row r="32" spans="2:8" s="111" customFormat="1" ht="15" hidden="1" customHeight="1" outlineLevel="1" x14ac:dyDescent="0.2">
      <c r="B32" s="130" t="s">
        <v>164</v>
      </c>
      <c r="C32" s="131"/>
      <c r="D32" s="131"/>
      <c r="E32" s="131">
        <v>92519.49</v>
      </c>
      <c r="H32" s="111" t="s">
        <v>173</v>
      </c>
    </row>
    <row r="33" spans="2:9" s="111" customFormat="1" ht="15" hidden="1" customHeight="1" outlineLevel="1" x14ac:dyDescent="0.2">
      <c r="B33" s="133" t="s">
        <v>163</v>
      </c>
      <c r="C33" s="134"/>
      <c r="D33" s="134"/>
      <c r="E33" s="134">
        <v>58144.1</v>
      </c>
      <c r="H33" s="111" t="s">
        <v>171</v>
      </c>
    </row>
    <row r="34" spans="2:9" s="111" customFormat="1" ht="15" hidden="1" customHeight="1" outlineLevel="1" x14ac:dyDescent="0.2">
      <c r="B34" s="133" t="s">
        <v>165</v>
      </c>
      <c r="C34" s="134"/>
      <c r="D34" s="134"/>
      <c r="E34" s="134">
        <v>14000</v>
      </c>
      <c r="H34" s="111" t="s">
        <v>171</v>
      </c>
    </row>
    <row r="35" spans="2:9" s="111" customFormat="1" ht="15" hidden="1" customHeight="1" outlineLevel="1" x14ac:dyDescent="0.2">
      <c r="B35" s="133" t="s">
        <v>161</v>
      </c>
      <c r="C35" s="134"/>
      <c r="D35" s="134"/>
      <c r="E35" s="134">
        <v>10124</v>
      </c>
      <c r="H35" s="111" t="s">
        <v>171</v>
      </c>
    </row>
    <row r="36" spans="2:9" s="111" customFormat="1" ht="15" hidden="1" customHeight="1" outlineLevel="1" x14ac:dyDescent="0.2">
      <c r="B36" s="120" t="s">
        <v>162</v>
      </c>
      <c r="E36" s="127">
        <v>500</v>
      </c>
      <c r="H36" s="111" t="s">
        <v>170</v>
      </c>
    </row>
    <row r="37" spans="2:9" s="111" customFormat="1" ht="15" hidden="1" customHeight="1" outlineLevel="1" x14ac:dyDescent="0.2">
      <c r="B37" s="128" t="s">
        <v>157</v>
      </c>
      <c r="C37" s="120"/>
      <c r="D37" s="120"/>
      <c r="E37" s="129">
        <f>SUM(E26:E36)</f>
        <v>3604001.9200000004</v>
      </c>
    </row>
    <row r="38" spans="2:9" s="111" customFormat="1" ht="15" customHeight="1" collapsed="1" x14ac:dyDescent="0.2">
      <c r="C38" s="83"/>
    </row>
    <row r="39" spans="2:9" s="111" customFormat="1" ht="15" customHeight="1" x14ac:dyDescent="0.2">
      <c r="C39" s="83"/>
    </row>
    <row r="40" spans="2:9" s="111" customFormat="1" ht="15" customHeight="1" x14ac:dyDescent="0.2">
      <c r="B40" s="112" t="s">
        <v>135</v>
      </c>
      <c r="C40" s="113"/>
      <c r="D40" s="114"/>
      <c r="E40" s="114"/>
      <c r="F40" s="147" t="s">
        <v>186</v>
      </c>
    </row>
    <row r="41" spans="2:9" s="111" customFormat="1" ht="15" customHeight="1" x14ac:dyDescent="0.2">
      <c r="B41" s="135" t="s">
        <v>78</v>
      </c>
      <c r="C41" s="139" t="s">
        <v>95</v>
      </c>
      <c r="D41" s="139" t="s">
        <v>96</v>
      </c>
      <c r="E41" s="139" t="s">
        <v>134</v>
      </c>
      <c r="F41" s="83"/>
    </row>
    <row r="42" spans="2:9" s="111" customFormat="1" ht="15" customHeight="1" x14ac:dyDescent="0.2">
      <c r="B42" s="116" t="s">
        <v>131</v>
      </c>
      <c r="C42" s="83">
        <v>6</v>
      </c>
      <c r="D42" s="117">
        <v>35000</v>
      </c>
      <c r="E42" s="121">
        <f>C42*D42</f>
        <v>210000</v>
      </c>
      <c r="F42" s="121"/>
    </row>
    <row r="43" spans="2:9" s="111" customFormat="1" ht="15" customHeight="1" x14ac:dyDescent="0.2">
      <c r="B43" s="116" t="s">
        <v>132</v>
      </c>
      <c r="C43" s="83">
        <v>1</v>
      </c>
      <c r="D43" s="117">
        <v>50000</v>
      </c>
      <c r="E43" s="121">
        <f>C43*D43</f>
        <v>50000</v>
      </c>
      <c r="F43" s="121"/>
    </row>
    <row r="44" spans="2:9" s="111" customFormat="1" ht="15" customHeight="1" x14ac:dyDescent="0.2">
      <c r="B44" s="116" t="s">
        <v>133</v>
      </c>
      <c r="C44" s="83">
        <v>1</v>
      </c>
      <c r="D44" s="117">
        <v>20000</v>
      </c>
      <c r="E44" s="121">
        <f>C44*D44</f>
        <v>20000</v>
      </c>
      <c r="F44" s="121"/>
    </row>
    <row r="45" spans="2:9" s="111" customFormat="1" ht="15" customHeight="1" x14ac:dyDescent="0.2">
      <c r="B45" s="136" t="s">
        <v>142</v>
      </c>
      <c r="C45" s="137"/>
      <c r="D45" s="128"/>
      <c r="E45" s="143">
        <f>SUM(E42:E44)</f>
        <v>280000</v>
      </c>
      <c r="F45" s="143"/>
      <c r="I45" s="132"/>
    </row>
    <row r="46" spans="2:9" s="111" customFormat="1" ht="15" customHeight="1" x14ac:dyDescent="0.2">
      <c r="B46" s="138" t="s">
        <v>143</v>
      </c>
      <c r="C46" s="139"/>
      <c r="D46" s="139"/>
      <c r="E46" s="140">
        <f>E45*E2</f>
        <v>84280</v>
      </c>
      <c r="F46" s="140"/>
    </row>
    <row r="47" spans="2:9" s="111" customFormat="1" ht="15" customHeight="1" x14ac:dyDescent="0.2">
      <c r="C47" s="83"/>
    </row>
    <row r="48" spans="2:9" s="111" customFormat="1" ht="15" customHeight="1" x14ac:dyDescent="0.2">
      <c r="B48" s="112" t="s">
        <v>193</v>
      </c>
      <c r="C48" s="113"/>
      <c r="D48" s="114"/>
      <c r="E48" s="147" t="s">
        <v>185</v>
      </c>
      <c r="F48" s="147" t="s">
        <v>186</v>
      </c>
    </row>
    <row r="49" spans="2:6" s="111" customFormat="1" ht="15" hidden="1" customHeight="1" outlineLevel="1" x14ac:dyDescent="0.2">
      <c r="C49" s="139" t="s">
        <v>97</v>
      </c>
      <c r="D49" s="139" t="s">
        <v>187</v>
      </c>
      <c r="E49" s="139" t="s">
        <v>94</v>
      </c>
      <c r="F49" s="83"/>
    </row>
    <row r="50" spans="2:6" s="111" customFormat="1" ht="15" customHeight="1" collapsed="1" x14ac:dyDescent="0.2">
      <c r="B50" s="120" t="s">
        <v>80</v>
      </c>
      <c r="C50" s="120">
        <v>240</v>
      </c>
      <c r="D50" s="120">
        <v>40</v>
      </c>
      <c r="E50" s="145">
        <f>C50*D50</f>
        <v>9600</v>
      </c>
      <c r="F50" s="145"/>
    </row>
    <row r="51" spans="2:6" s="111" customFormat="1" ht="15" hidden="1" customHeight="1" outlineLevel="1" x14ac:dyDescent="0.2">
      <c r="C51" s="111" t="s">
        <v>98</v>
      </c>
      <c r="D51" s="111" t="s">
        <v>99</v>
      </c>
      <c r="E51" s="83" t="s">
        <v>94</v>
      </c>
      <c r="F51" s="83"/>
    </row>
    <row r="52" spans="2:6" s="111" customFormat="1" ht="15" customHeight="1" collapsed="1" x14ac:dyDescent="0.2">
      <c r="B52" s="118" t="s">
        <v>79</v>
      </c>
      <c r="C52" s="119"/>
      <c r="D52" s="122">
        <v>500</v>
      </c>
      <c r="E52" s="145">
        <f>D52*$E$1</f>
        <v>30000</v>
      </c>
      <c r="F52" s="145"/>
    </row>
    <row r="53" spans="2:6" s="111" customFormat="1" ht="15" customHeight="1" x14ac:dyDescent="0.2">
      <c r="B53" s="118" t="s">
        <v>174</v>
      </c>
      <c r="C53" s="119"/>
      <c r="D53" s="122">
        <v>1000</v>
      </c>
      <c r="E53" s="145">
        <f>D53*$E$1</f>
        <v>60000</v>
      </c>
      <c r="F53" s="145"/>
    </row>
    <row r="54" spans="2:6" s="111" customFormat="1" ht="15" customHeight="1" x14ac:dyDescent="0.2">
      <c r="B54" s="118" t="s">
        <v>136</v>
      </c>
      <c r="C54" s="122">
        <v>6000</v>
      </c>
      <c r="D54" s="122">
        <f>C54/12</f>
        <v>500</v>
      </c>
      <c r="E54" s="145">
        <f>D54*$E$1</f>
        <v>30000</v>
      </c>
      <c r="F54" s="145"/>
    </row>
    <row r="55" spans="2:6" s="111" customFormat="1" ht="15" customHeight="1" x14ac:dyDescent="0.2">
      <c r="B55" s="118" t="s">
        <v>164</v>
      </c>
      <c r="C55" s="119"/>
      <c r="D55" s="122"/>
      <c r="E55" s="145">
        <f>ROUND(E32/12/100,0)*100</f>
        <v>7700</v>
      </c>
      <c r="F55" s="145"/>
    </row>
    <row r="56" spans="2:6" s="111" customFormat="1" ht="15" customHeight="1" x14ac:dyDescent="0.2">
      <c r="C56" s="83"/>
    </row>
    <row r="57" spans="2:6" s="111" customFormat="1" ht="15" customHeight="1" x14ac:dyDescent="0.2">
      <c r="B57" s="112" t="s">
        <v>175</v>
      </c>
      <c r="C57" s="113"/>
      <c r="D57" s="114"/>
      <c r="E57" s="147" t="s">
        <v>185</v>
      </c>
      <c r="F57" s="147" t="s">
        <v>186</v>
      </c>
    </row>
    <row r="58" spans="2:6" s="111" customFormat="1" ht="15" customHeight="1" x14ac:dyDescent="0.2">
      <c r="B58" s="136" t="s">
        <v>142</v>
      </c>
      <c r="C58" s="137"/>
      <c r="D58" s="128"/>
      <c r="E58" s="143">
        <f>ROUND(VLOOKUP(B58,admin,4,FALSE)/12/100,0)*100</f>
        <v>72600</v>
      </c>
      <c r="F58" s="140">
        <f t="shared" ref="F58:F59" si="0">E58*3</f>
        <v>217800</v>
      </c>
    </row>
    <row r="59" spans="2:6" s="111" customFormat="1" ht="15" customHeight="1" x14ac:dyDescent="0.2">
      <c r="B59" s="136" t="s">
        <v>143</v>
      </c>
      <c r="C59" s="137"/>
      <c r="D59" s="137"/>
      <c r="E59" s="143">
        <f>E58*E2</f>
        <v>21852.6</v>
      </c>
      <c r="F59" s="140">
        <f t="shared" si="0"/>
        <v>65557.799999999988</v>
      </c>
    </row>
    <row r="60" spans="2:6" s="111" customFormat="1" ht="15" customHeight="1" x14ac:dyDescent="0.2">
      <c r="B60" s="135" t="s">
        <v>176</v>
      </c>
      <c r="C60" s="83"/>
      <c r="E60" s="140">
        <f>SUM(E61:E65)</f>
        <v>13200</v>
      </c>
      <c r="F60" s="140">
        <f>SUM(F61:F65)</f>
        <v>52800</v>
      </c>
    </row>
    <row r="61" spans="2:6" s="111" customFormat="1" ht="15" customHeight="1" outlineLevel="1" x14ac:dyDescent="0.2">
      <c r="B61" s="141" t="s">
        <v>144</v>
      </c>
      <c r="C61" s="142"/>
      <c r="D61" s="142"/>
      <c r="E61" s="144">
        <f>ROUND(VLOOKUP(B61,admin,4,FALSE)/12/100,0)*100</f>
        <v>5100</v>
      </c>
      <c r="F61" s="144">
        <f>E61*4</f>
        <v>20400</v>
      </c>
    </row>
    <row r="62" spans="2:6" s="111" customFormat="1" ht="15" customHeight="1" outlineLevel="1" x14ac:dyDescent="0.2">
      <c r="B62" s="141" t="s">
        <v>149</v>
      </c>
      <c r="C62" s="142"/>
      <c r="D62" s="142"/>
      <c r="E62" s="144">
        <f>ROUND(VLOOKUP(B62,admin,4,FALSE)/12/100,0)*100</f>
        <v>2600</v>
      </c>
      <c r="F62" s="144">
        <f>E62*4</f>
        <v>10400</v>
      </c>
    </row>
    <row r="63" spans="2:6" s="111" customFormat="1" ht="15" customHeight="1" outlineLevel="1" x14ac:dyDescent="0.2">
      <c r="B63" s="141" t="s">
        <v>150</v>
      </c>
      <c r="C63" s="142"/>
      <c r="D63" s="142"/>
      <c r="E63" s="144">
        <f>ROUND(VLOOKUP(B63,admin,4,FALSE)/12/100,0)*100</f>
        <v>2600</v>
      </c>
      <c r="F63" s="144">
        <f>E63*4</f>
        <v>10400</v>
      </c>
    </row>
    <row r="64" spans="2:6" s="111" customFormat="1" ht="15" customHeight="1" outlineLevel="1" x14ac:dyDescent="0.2">
      <c r="B64" s="141" t="s">
        <v>151</v>
      </c>
      <c r="C64" s="142"/>
      <c r="D64" s="142"/>
      <c r="E64" s="144">
        <f>ROUND(VLOOKUP(B64,admin,4,FALSE)/12/100,0)*100</f>
        <v>2300</v>
      </c>
      <c r="F64" s="144">
        <f>E64*4</f>
        <v>9200</v>
      </c>
    </row>
    <row r="65" spans="2:6" s="111" customFormat="1" ht="15" customHeight="1" outlineLevel="1" x14ac:dyDescent="0.2">
      <c r="B65" s="141" t="s">
        <v>153</v>
      </c>
      <c r="C65" s="142"/>
      <c r="D65" s="142"/>
      <c r="E65" s="144">
        <f>ROUND(VLOOKUP(B65,admin,4,FALSE)/12/100,0)*100</f>
        <v>600</v>
      </c>
      <c r="F65" s="144">
        <f>E65*4</f>
        <v>2400</v>
      </c>
    </row>
    <row r="66" spans="2:6" s="111" customFormat="1" ht="15" customHeight="1" x14ac:dyDescent="0.2">
      <c r="B66" s="128" t="s">
        <v>177</v>
      </c>
      <c r="C66" s="120"/>
      <c r="D66" s="120"/>
      <c r="E66" s="143">
        <f>SUM(E67:E68)</f>
        <v>7700</v>
      </c>
      <c r="F66" s="140">
        <f>E66*3</f>
        <v>23100</v>
      </c>
    </row>
    <row r="67" spans="2:6" s="111" customFormat="1" ht="15" customHeight="1" outlineLevel="1" x14ac:dyDescent="0.2">
      <c r="B67" s="141" t="s">
        <v>145</v>
      </c>
      <c r="C67" s="142"/>
      <c r="D67" s="142"/>
      <c r="E67" s="144">
        <f>ROUND(VLOOKUP(B67,admin,4,FALSE)/12/100,0)*100</f>
        <v>4600</v>
      </c>
      <c r="F67" s="144"/>
    </row>
    <row r="68" spans="2:6" s="111" customFormat="1" ht="15" customHeight="1" outlineLevel="1" x14ac:dyDescent="0.2">
      <c r="B68" s="141" t="s">
        <v>148</v>
      </c>
      <c r="C68" s="142"/>
      <c r="D68" s="142"/>
      <c r="E68" s="144">
        <f>ROUND(VLOOKUP(B68,admin,4,FALSE)/12/100,0)*100</f>
        <v>3100</v>
      </c>
      <c r="F68" s="144"/>
    </row>
    <row r="69" spans="2:6" s="111" customFormat="1" ht="15" customHeight="1" x14ac:dyDescent="0.2">
      <c r="B69" s="128" t="s">
        <v>146</v>
      </c>
      <c r="C69" s="120"/>
      <c r="D69" s="120"/>
      <c r="E69" s="143">
        <f>ROUND(VLOOKUP(B69,admin,4,FALSE)/12/100,0)*100</f>
        <v>3300</v>
      </c>
      <c r="F69" s="140">
        <f>E69*3</f>
        <v>9900</v>
      </c>
    </row>
    <row r="70" spans="2:6" s="111" customFormat="1" ht="15" customHeight="1" x14ac:dyDescent="0.2">
      <c r="B70" s="128" t="s">
        <v>147</v>
      </c>
      <c r="C70" s="120"/>
      <c r="D70" s="120"/>
      <c r="E70" s="143">
        <f>ROUND(VLOOKUP(B70,admin,4,FALSE)/12/100,0)*100</f>
        <v>3200</v>
      </c>
      <c r="F70" s="140">
        <f t="shared" ref="F70:F71" si="1">E70*3</f>
        <v>9600</v>
      </c>
    </row>
    <row r="71" spans="2:6" s="111" customFormat="1" ht="15" customHeight="1" x14ac:dyDescent="0.2">
      <c r="B71" s="128" t="s">
        <v>204</v>
      </c>
      <c r="C71" s="120"/>
      <c r="D71" s="120"/>
      <c r="E71" s="143">
        <f>ROUND(SUM(E18,E20,E21)/12/100,0)*100</f>
        <v>1100</v>
      </c>
      <c r="F71" s="140">
        <f t="shared" si="1"/>
        <v>3300</v>
      </c>
    </row>
    <row r="72" spans="2:6" s="111" customFormat="1" ht="15" customHeight="1" x14ac:dyDescent="0.2">
      <c r="C72" s="83"/>
      <c r="E72" s="121"/>
      <c r="F72" s="121"/>
    </row>
    <row r="73" spans="2:6" ht="15" x14ac:dyDescent="0.2">
      <c r="B73" s="112" t="s">
        <v>179</v>
      </c>
      <c r="C73" s="113"/>
      <c r="D73" s="114"/>
      <c r="E73" s="147" t="s">
        <v>185</v>
      </c>
      <c r="F73" s="147" t="s">
        <v>186</v>
      </c>
    </row>
    <row r="74" spans="2:6" x14ac:dyDescent="0.2">
      <c r="B74" s="128" t="s">
        <v>142</v>
      </c>
      <c r="C74" s="120"/>
      <c r="D74" s="120"/>
      <c r="E74" s="143">
        <f>ROUND(VLOOKUP(B74,comm,4,FALSE)/12/100,0)*100</f>
        <v>157400</v>
      </c>
      <c r="F74" s="143"/>
    </row>
    <row r="75" spans="2:6" x14ac:dyDescent="0.2">
      <c r="B75" s="128" t="s">
        <v>143</v>
      </c>
      <c r="C75" s="120"/>
      <c r="D75" s="120"/>
      <c r="E75" s="143">
        <f>E74*E2</f>
        <v>47377.4</v>
      </c>
      <c r="F75" s="143"/>
    </row>
    <row r="76" spans="2:6" x14ac:dyDescent="0.2">
      <c r="B76" s="161" t="s">
        <v>180</v>
      </c>
      <c r="C76" s="110"/>
      <c r="D76" s="80"/>
      <c r="E76" s="72">
        <f>SUM(E77:E78)</f>
        <v>21300</v>
      </c>
      <c r="F76" s="72"/>
    </row>
    <row r="77" spans="2:6" outlineLevel="1" x14ac:dyDescent="0.2">
      <c r="B77" s="141" t="s">
        <v>80</v>
      </c>
      <c r="C77" s="142"/>
      <c r="D77" s="142"/>
      <c r="E77" s="144">
        <f>ROUND(E28/12/100,0)*100</f>
        <v>13400</v>
      </c>
      <c r="F77" s="144"/>
    </row>
    <row r="78" spans="2:6" outlineLevel="1" x14ac:dyDescent="0.2">
      <c r="B78" s="141" t="s">
        <v>181</v>
      </c>
      <c r="C78" s="142"/>
      <c r="D78" s="142"/>
      <c r="E78" s="144">
        <f>ROUND(E31/12/100,0)*100</f>
        <v>7900</v>
      </c>
      <c r="F78" s="144"/>
    </row>
    <row r="79" spans="2:6" x14ac:dyDescent="0.2">
      <c r="B79" s="161" t="s">
        <v>182</v>
      </c>
      <c r="C79" s="110"/>
      <c r="D79" s="80"/>
      <c r="E79" s="72">
        <f>SUM(E80:E81)</f>
        <v>5600</v>
      </c>
      <c r="F79" s="72"/>
    </row>
    <row r="80" spans="2:6" outlineLevel="1" x14ac:dyDescent="0.2">
      <c r="B80" s="141" t="s">
        <v>183</v>
      </c>
      <c r="C80" s="142"/>
      <c r="D80" s="142"/>
      <c r="E80" s="144">
        <f>ROUND(E33/12/100,0)*100</f>
        <v>4800</v>
      </c>
      <c r="F80" s="144"/>
    </row>
    <row r="81" spans="2:8" outlineLevel="1" x14ac:dyDescent="0.2">
      <c r="B81" s="141" t="s">
        <v>184</v>
      </c>
      <c r="C81" s="142"/>
      <c r="D81" s="142"/>
      <c r="E81" s="144">
        <f>ROUND(E35/12/100,0)*100</f>
        <v>800</v>
      </c>
      <c r="F81" s="144"/>
    </row>
    <row r="82" spans="2:8" x14ac:dyDescent="0.2">
      <c r="B82" s="128" t="s">
        <v>79</v>
      </c>
      <c r="C82" s="110"/>
      <c r="D82" s="80"/>
      <c r="E82" s="143">
        <f>ROUND(VLOOKUP(B82,comm,4,FALSE)/12/100,0)*100</f>
        <v>11000</v>
      </c>
      <c r="F82" s="143"/>
    </row>
    <row r="83" spans="2:8" x14ac:dyDescent="0.2">
      <c r="B83" s="128" t="s">
        <v>166</v>
      </c>
      <c r="C83" s="110"/>
      <c r="D83" s="80"/>
      <c r="E83" s="143">
        <f>ROUND(VLOOKUP(B83,comm,4,FALSE)/12/100,0)*100</f>
        <v>8900</v>
      </c>
      <c r="F83" s="143"/>
    </row>
    <row r="84" spans="2:8" x14ac:dyDescent="0.2">
      <c r="B84" s="128" t="s">
        <v>165</v>
      </c>
      <c r="C84" s="110"/>
      <c r="D84" s="80"/>
      <c r="E84" s="143">
        <f>ROUND(VLOOKUP(B84,comm,4,FALSE)/12/100,0)*100</f>
        <v>1200</v>
      </c>
      <c r="F84" s="143"/>
    </row>
    <row r="87" spans="2:8" ht="15" x14ac:dyDescent="0.2">
      <c r="B87" s="112" t="s">
        <v>189</v>
      </c>
      <c r="C87" s="113"/>
      <c r="D87" s="114"/>
      <c r="E87" s="147"/>
      <c r="F87" s="147"/>
    </row>
    <row r="88" spans="2:8" x14ac:dyDescent="0.2">
      <c r="B88" s="1" t="s">
        <v>196</v>
      </c>
    </row>
    <row r="89" spans="2:8" x14ac:dyDescent="0.2">
      <c r="B89" s="150" t="s">
        <v>194</v>
      </c>
      <c r="E89" s="22">
        <f>COUNTA(M!C146:AQ146)</f>
        <v>41</v>
      </c>
      <c r="F89" t="s">
        <v>195</v>
      </c>
    </row>
    <row r="90" spans="2:8" x14ac:dyDescent="0.2">
      <c r="B90" s="152" t="s">
        <v>190</v>
      </c>
      <c r="C90" s="153" t="s">
        <v>191</v>
      </c>
      <c r="D90" s="152"/>
      <c r="E90" s="151">
        <f>SUM(M!C5:AQ5)</f>
        <v>500000</v>
      </c>
      <c r="F90" s="80"/>
    </row>
    <row r="91" spans="2:8" x14ac:dyDescent="0.2">
      <c r="B91" s="152" t="s">
        <v>193</v>
      </c>
      <c r="C91" s="153"/>
      <c r="D91" s="152"/>
      <c r="E91" s="154">
        <f>SUM(E92:E99)</f>
        <v>106106.44666666666</v>
      </c>
      <c r="F91" s="80"/>
    </row>
    <row r="92" spans="2:8" outlineLevel="1" x14ac:dyDescent="0.2">
      <c r="B92" s="155" t="s">
        <v>128</v>
      </c>
      <c r="C92" s="156"/>
      <c r="D92" s="157"/>
      <c r="E92" s="164">
        <f>SUM(M!C34:AQ34)</f>
        <v>73875</v>
      </c>
      <c r="F92" s="165">
        <f t="shared" ref="F92:F99" si="2">E92/$E$91</f>
        <v>0.69623479365092933</v>
      </c>
      <c r="H92" s="149"/>
    </row>
    <row r="93" spans="2:8" outlineLevel="1" x14ac:dyDescent="0.2">
      <c r="B93" s="70" t="s">
        <v>192</v>
      </c>
      <c r="E93" s="4">
        <f>(E45+E46)*E89/1000</f>
        <v>14935.48</v>
      </c>
      <c r="F93" s="21">
        <f t="shared" si="2"/>
        <v>0.14075940217769992</v>
      </c>
      <c r="H93" s="149"/>
    </row>
    <row r="94" spans="2:8" outlineLevel="1" x14ac:dyDescent="0.2">
      <c r="B94" s="155" t="s">
        <v>130</v>
      </c>
      <c r="C94" s="156"/>
      <c r="D94" s="157"/>
      <c r="E94" s="164">
        <f>SUM(M!C48:AQ48)</f>
        <v>11666.666666666662</v>
      </c>
      <c r="F94" s="165">
        <f t="shared" si="2"/>
        <v>0.10995247728271863</v>
      </c>
      <c r="H94" s="149"/>
    </row>
    <row r="95" spans="2:8" outlineLevel="1" x14ac:dyDescent="0.2">
      <c r="B95" s="70" t="s">
        <v>174</v>
      </c>
      <c r="E95" s="4">
        <f>E53*$E$89/1000</f>
        <v>2460</v>
      </c>
      <c r="F95" s="21">
        <f t="shared" si="2"/>
        <v>2.3184265209898969E-2</v>
      </c>
      <c r="H95" s="149"/>
    </row>
    <row r="96" spans="2:8" outlineLevel="1" x14ac:dyDescent="0.2">
      <c r="B96" s="70" t="s">
        <v>79</v>
      </c>
      <c r="E96" s="4">
        <f>E52*$E$89/1000</f>
        <v>1230</v>
      </c>
      <c r="F96" s="21">
        <f t="shared" si="2"/>
        <v>1.1592132604949484E-2</v>
      </c>
      <c r="H96" s="149"/>
    </row>
    <row r="97" spans="2:8" outlineLevel="1" x14ac:dyDescent="0.2">
      <c r="B97" s="70" t="s">
        <v>136</v>
      </c>
      <c r="E97" s="4">
        <f>E54*$E$89/1000</f>
        <v>1230</v>
      </c>
      <c r="F97" s="21">
        <f t="shared" si="2"/>
        <v>1.1592132604949484E-2</v>
      </c>
      <c r="H97" s="149"/>
    </row>
    <row r="98" spans="2:8" outlineLevel="1" x14ac:dyDescent="0.2">
      <c r="B98" s="70" t="s">
        <v>80</v>
      </c>
      <c r="E98" s="4">
        <f>E50*E89/1000</f>
        <v>393.6</v>
      </c>
      <c r="F98" s="21">
        <f t="shared" si="2"/>
        <v>3.7094824335838351E-3</v>
      </c>
      <c r="H98" s="149"/>
    </row>
    <row r="99" spans="2:8" ht="13.5" outlineLevel="1" thickBot="1" x14ac:dyDescent="0.25">
      <c r="B99" s="70" t="s">
        <v>164</v>
      </c>
      <c r="E99" s="4">
        <f>E55*$E$89/1000</f>
        <v>315.7</v>
      </c>
      <c r="F99" s="21">
        <f t="shared" si="2"/>
        <v>2.9753140352703675E-3</v>
      </c>
      <c r="H99" s="149"/>
    </row>
    <row r="100" spans="2:8" ht="13.5" thickBot="1" x14ac:dyDescent="0.25">
      <c r="B100" s="158" t="s">
        <v>197</v>
      </c>
      <c r="C100" s="159"/>
      <c r="D100" s="160"/>
      <c r="E100" s="162">
        <f>E91/E90*1000</f>
        <v>212.21289333333331</v>
      </c>
      <c r="F100" s="160" t="s">
        <v>19</v>
      </c>
    </row>
    <row r="102" spans="2:8" x14ac:dyDescent="0.2">
      <c r="E102" s="149"/>
    </row>
  </sheetData>
  <conditionalFormatting sqref="F92:F99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{B9510128-CEC4-4996-A131-773747991787}</x14:id>
        </ext>
      </extLst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9510128-CEC4-4996-A131-773747991787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F92:F99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XFC184"/>
  <sheetViews>
    <sheetView topLeftCell="P1" zoomScale="80" zoomScaleNormal="80" zoomScaleSheetLayoutView="40" workbookViewId="0">
      <pane ySplit="3" topLeftCell="A151" activePane="bottomLeft" state="frozen"/>
      <selection activeCell="H89" sqref="H89"/>
      <selection pane="bottomLeft" activeCell="AD173" sqref="AD173"/>
    </sheetView>
  </sheetViews>
  <sheetFormatPr defaultRowHeight="12.75" outlineLevelRow="2" outlineLevelCol="1" x14ac:dyDescent="0.2"/>
  <cols>
    <col min="1" max="1" width="28.7109375" customWidth="1"/>
    <col min="3" max="43" width="9.7109375" customWidth="1"/>
    <col min="44" max="55" width="8.7109375" customWidth="1" outlineLevel="1"/>
  </cols>
  <sheetData>
    <row r="1" spans="1:55" x14ac:dyDescent="0.2">
      <c r="A1" s="1" t="s">
        <v>0</v>
      </c>
    </row>
    <row r="2" spans="1:55" x14ac:dyDescent="0.2">
      <c r="C2" s="269"/>
      <c r="D2" s="269"/>
      <c r="E2" s="269"/>
      <c r="F2" s="269"/>
      <c r="G2" s="269"/>
      <c r="H2" s="269">
        <v>2018</v>
      </c>
      <c r="I2" s="269"/>
      <c r="J2" s="269"/>
      <c r="K2" s="269"/>
      <c r="L2" s="269"/>
      <c r="M2" s="269"/>
      <c r="N2" s="269"/>
      <c r="O2" s="269"/>
      <c r="P2" s="269"/>
      <c r="Q2" s="269"/>
      <c r="R2" s="269"/>
      <c r="S2" s="269"/>
      <c r="T2" s="269">
        <v>2019</v>
      </c>
      <c r="U2" s="269"/>
      <c r="V2" s="269"/>
      <c r="W2" s="269"/>
      <c r="X2" s="269"/>
      <c r="Y2" s="269"/>
      <c r="Z2" s="269"/>
      <c r="AA2" s="269"/>
      <c r="AB2" s="269"/>
      <c r="AC2" s="269"/>
      <c r="AD2" s="269"/>
      <c r="AE2" s="269"/>
      <c r="AF2" s="269">
        <v>2020</v>
      </c>
      <c r="AG2" s="269"/>
      <c r="AH2" s="269"/>
      <c r="AI2" s="269"/>
      <c r="AJ2" s="269"/>
      <c r="AK2" s="269"/>
      <c r="AL2" s="269"/>
      <c r="AM2" s="269"/>
      <c r="AN2" s="269"/>
      <c r="AO2" s="269"/>
      <c r="AP2" s="269"/>
      <c r="AQ2" s="269"/>
      <c r="AR2" s="266">
        <v>2021</v>
      </c>
      <c r="AS2" s="267"/>
      <c r="AT2" s="267"/>
      <c r="AU2" s="267"/>
      <c r="AV2" s="267"/>
      <c r="AW2" s="267"/>
      <c r="AX2" s="267"/>
      <c r="AY2" s="267"/>
      <c r="AZ2" s="267"/>
      <c r="BA2" s="267"/>
      <c r="BB2" s="267"/>
      <c r="BC2" s="268"/>
    </row>
    <row r="3" spans="1:55" x14ac:dyDescent="0.2">
      <c r="C3" s="2">
        <v>8</v>
      </c>
      <c r="D3" s="2">
        <v>9</v>
      </c>
      <c r="E3" s="2">
        <v>10</v>
      </c>
      <c r="F3" s="2">
        <v>11</v>
      </c>
      <c r="G3" s="2">
        <v>12</v>
      </c>
      <c r="H3" s="2">
        <v>1</v>
      </c>
      <c r="I3" s="2">
        <v>2</v>
      </c>
      <c r="J3" s="2">
        <v>3</v>
      </c>
      <c r="K3" s="2">
        <v>4</v>
      </c>
      <c r="L3" s="2">
        <v>5</v>
      </c>
      <c r="M3" s="2">
        <v>6</v>
      </c>
      <c r="N3" s="2">
        <v>7</v>
      </c>
      <c r="O3" s="2">
        <v>8</v>
      </c>
      <c r="P3" s="2">
        <v>9</v>
      </c>
      <c r="Q3" s="2">
        <v>10</v>
      </c>
      <c r="R3" s="2">
        <v>11</v>
      </c>
      <c r="S3" s="2">
        <v>12</v>
      </c>
      <c r="T3" s="2">
        <v>1</v>
      </c>
      <c r="U3" s="2">
        <v>2</v>
      </c>
      <c r="V3" s="2">
        <v>3</v>
      </c>
      <c r="W3" s="2">
        <v>4</v>
      </c>
      <c r="X3" s="2">
        <v>5</v>
      </c>
      <c r="Y3" s="2">
        <v>6</v>
      </c>
      <c r="Z3" s="2">
        <v>7</v>
      </c>
      <c r="AA3" s="2">
        <v>8</v>
      </c>
      <c r="AB3" s="2">
        <v>9</v>
      </c>
      <c r="AC3" s="2">
        <v>10</v>
      </c>
      <c r="AD3" s="2">
        <v>11</v>
      </c>
      <c r="AE3" s="2">
        <v>12</v>
      </c>
      <c r="AF3" s="2">
        <v>1</v>
      </c>
      <c r="AG3" s="2">
        <v>2</v>
      </c>
      <c r="AH3" s="2">
        <v>3</v>
      </c>
      <c r="AI3" s="2">
        <v>4</v>
      </c>
      <c r="AJ3" s="2">
        <v>5</v>
      </c>
      <c r="AK3" s="2">
        <v>6</v>
      </c>
      <c r="AL3" s="2">
        <v>7</v>
      </c>
      <c r="AM3" s="2">
        <v>8</v>
      </c>
      <c r="AN3" s="2">
        <v>9</v>
      </c>
      <c r="AO3" s="2">
        <v>10</v>
      </c>
      <c r="AP3" s="2">
        <v>11</v>
      </c>
      <c r="AQ3" s="2">
        <v>12</v>
      </c>
      <c r="AR3" s="35">
        <v>1</v>
      </c>
      <c r="AS3" s="35">
        <v>2</v>
      </c>
      <c r="AT3" s="35">
        <v>3</v>
      </c>
      <c r="AU3" s="35">
        <v>4</v>
      </c>
      <c r="AV3" s="35">
        <v>5</v>
      </c>
      <c r="AW3" s="35">
        <v>6</v>
      </c>
      <c r="AX3" s="35">
        <v>7</v>
      </c>
      <c r="AY3" s="35">
        <v>8</v>
      </c>
      <c r="AZ3" s="35">
        <v>9</v>
      </c>
      <c r="BA3" s="35">
        <v>10</v>
      </c>
      <c r="BB3" s="35">
        <v>11</v>
      </c>
      <c r="BC3" s="35">
        <v>12</v>
      </c>
    </row>
    <row r="4" spans="1:55" ht="13.5" thickBot="1" x14ac:dyDescent="0.25">
      <c r="A4" t="s">
        <v>27</v>
      </c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</row>
    <row r="5" spans="1:55" s="6" customFormat="1" ht="13.5" thickBot="1" x14ac:dyDescent="0.25">
      <c r="A5" s="7" t="s">
        <v>6</v>
      </c>
      <c r="B5" s="7"/>
      <c r="C5" s="7"/>
      <c r="D5" s="7"/>
      <c r="E5" s="7"/>
      <c r="F5" s="7"/>
      <c r="G5" s="7"/>
      <c r="H5" s="8"/>
      <c r="I5" s="8"/>
      <c r="J5" s="7"/>
      <c r="K5" s="7"/>
      <c r="L5" s="7"/>
      <c r="M5" s="8"/>
      <c r="N5" s="8"/>
      <c r="O5" s="8"/>
      <c r="P5" s="9">
        <f>'0'!$C$3/4</f>
        <v>25000</v>
      </c>
      <c r="Q5" s="9">
        <f>'0'!$C$3/4</f>
        <v>25000</v>
      </c>
      <c r="R5" s="9">
        <f>'0'!$C$3/4</f>
        <v>25000</v>
      </c>
      <c r="S5" s="9">
        <f>'0'!$C$3/4-O6</f>
        <v>25000</v>
      </c>
      <c r="T5" s="8"/>
      <c r="U5" s="8"/>
      <c r="V5" s="9">
        <f>'0'!$D$3/11</f>
        <v>18181.81818181818</v>
      </c>
      <c r="W5" s="9">
        <f>'0'!$D$3/11</f>
        <v>18181.81818181818</v>
      </c>
      <c r="X5" s="9">
        <f>'0'!$D$3/11</f>
        <v>18181.81818181818</v>
      </c>
      <c r="Y5" s="8"/>
      <c r="Z5" s="8"/>
      <c r="AA5" s="8"/>
      <c r="AB5" s="9">
        <f>('0'!$D$3-SUM($V$5:$X$5))/4</f>
        <v>36363.636363636368</v>
      </c>
      <c r="AC5" s="9">
        <f>('0'!$D$3-SUM($V$5:$X$5))/4</f>
        <v>36363.636363636368</v>
      </c>
      <c r="AD5" s="9">
        <f>('0'!$D$3-SUM($V$5:$X$5))/4</f>
        <v>36363.636363636368</v>
      </c>
      <c r="AE5" s="9">
        <f>('0'!$D$3-SUM($V$5:$X$5))/4</f>
        <v>36363.636363636368</v>
      </c>
      <c r="AF5" s="8"/>
      <c r="AG5" s="8"/>
      <c r="AH5" s="9">
        <f>'0'!$E$3/7</f>
        <v>28571.428571428572</v>
      </c>
      <c r="AI5" s="9">
        <f>'0'!$E$3/7</f>
        <v>28571.428571428572</v>
      </c>
      <c r="AJ5" s="9">
        <f>'0'!$E$3/7</f>
        <v>28571.428571428572</v>
      </c>
      <c r="AK5" s="8"/>
      <c r="AL5" s="8"/>
      <c r="AM5" s="8"/>
      <c r="AN5" s="9">
        <f>'0'!$E$3/7</f>
        <v>28571.428571428572</v>
      </c>
      <c r="AO5" s="9">
        <f>'0'!$E$3/7</f>
        <v>28571.428571428572</v>
      </c>
      <c r="AP5" s="9">
        <f>'0'!$E$3/7</f>
        <v>28571.428571428572</v>
      </c>
      <c r="AQ5" s="9">
        <f>'0'!$E$3/7</f>
        <v>28571.428571428572</v>
      </c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</row>
    <row r="6" spans="1:55" x14ac:dyDescent="0.2">
      <c r="A6" t="s">
        <v>7</v>
      </c>
      <c r="B6" s="3">
        <f>'0'!E23</f>
        <v>0.05</v>
      </c>
      <c r="J6" s="4"/>
      <c r="K6" s="4"/>
      <c r="L6" s="4"/>
      <c r="P6" s="4">
        <f>P$5*$B6</f>
        <v>1250</v>
      </c>
      <c r="Q6" s="4">
        <f>Q$5*$B6</f>
        <v>1250</v>
      </c>
      <c r="R6" s="4">
        <f>R$5*$B6</f>
        <v>1250</v>
      </c>
      <c r="S6" s="4">
        <f>S$5*$B6</f>
        <v>1250</v>
      </c>
      <c r="V6" s="4">
        <f t="shared" ref="V6:X8" si="0">V$5*$B6</f>
        <v>909.09090909090901</v>
      </c>
      <c r="W6" s="4">
        <f t="shared" si="0"/>
        <v>909.09090909090901</v>
      </c>
      <c r="X6" s="4">
        <f t="shared" si="0"/>
        <v>909.09090909090901</v>
      </c>
      <c r="AB6" s="4">
        <f t="shared" ref="AB6:AE8" si="1">AB$5*$B6</f>
        <v>1818.1818181818185</v>
      </c>
      <c r="AC6" s="4">
        <f t="shared" si="1"/>
        <v>1818.1818181818185</v>
      </c>
      <c r="AD6" s="4">
        <f t="shared" si="1"/>
        <v>1818.1818181818185</v>
      </c>
      <c r="AE6" s="4">
        <f t="shared" si="1"/>
        <v>1818.1818181818185</v>
      </c>
      <c r="AH6" s="4">
        <f t="shared" ref="AH6:AJ8" si="2">AH$5*$B6</f>
        <v>1428.5714285714287</v>
      </c>
      <c r="AI6" s="4">
        <f t="shared" si="2"/>
        <v>1428.5714285714287</v>
      </c>
      <c r="AJ6" s="4">
        <f t="shared" si="2"/>
        <v>1428.5714285714287</v>
      </c>
      <c r="AN6" s="4">
        <f t="shared" ref="AN6:AQ8" si="3">AN$5*$B6</f>
        <v>1428.5714285714287</v>
      </c>
      <c r="AO6" s="4">
        <f t="shared" si="3"/>
        <v>1428.5714285714287</v>
      </c>
      <c r="AP6" s="4">
        <f t="shared" si="3"/>
        <v>1428.5714285714287</v>
      </c>
      <c r="AQ6" s="4">
        <f t="shared" si="3"/>
        <v>1428.5714285714287</v>
      </c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</row>
    <row r="7" spans="1:55" x14ac:dyDescent="0.2">
      <c r="A7" t="s">
        <v>8</v>
      </c>
      <c r="B7" s="3">
        <f>'0'!E24</f>
        <v>0.9</v>
      </c>
      <c r="J7" s="4"/>
      <c r="K7" s="4"/>
      <c r="L7" s="4"/>
      <c r="P7" s="4">
        <f>P$5*$B7</f>
        <v>22500</v>
      </c>
      <c r="Q7" s="4">
        <f t="shared" ref="P7:S8" si="4">Q$5*$B7</f>
        <v>22500</v>
      </c>
      <c r="R7" s="4">
        <f t="shared" si="4"/>
        <v>22500</v>
      </c>
      <c r="S7" s="4">
        <f>S$5*$B7</f>
        <v>22500</v>
      </c>
      <c r="V7" s="4">
        <f t="shared" si="0"/>
        <v>16363.636363636362</v>
      </c>
      <c r="W7" s="4">
        <f t="shared" si="0"/>
        <v>16363.636363636362</v>
      </c>
      <c r="X7" s="4">
        <f t="shared" si="0"/>
        <v>16363.636363636362</v>
      </c>
      <c r="AB7" s="4">
        <f t="shared" si="1"/>
        <v>32727.272727272732</v>
      </c>
      <c r="AC7" s="4">
        <f t="shared" si="1"/>
        <v>32727.272727272732</v>
      </c>
      <c r="AD7" s="4">
        <f t="shared" si="1"/>
        <v>32727.272727272732</v>
      </c>
      <c r="AE7" s="4">
        <f t="shared" si="1"/>
        <v>32727.272727272732</v>
      </c>
      <c r="AH7" s="4">
        <f t="shared" si="2"/>
        <v>25714.285714285717</v>
      </c>
      <c r="AI7" s="4">
        <f t="shared" si="2"/>
        <v>25714.285714285717</v>
      </c>
      <c r="AJ7" s="4">
        <f t="shared" si="2"/>
        <v>25714.285714285717</v>
      </c>
      <c r="AN7" s="4">
        <f t="shared" si="3"/>
        <v>25714.285714285717</v>
      </c>
      <c r="AO7" s="4">
        <f t="shared" si="3"/>
        <v>25714.285714285717</v>
      </c>
      <c r="AP7" s="4">
        <f t="shared" si="3"/>
        <v>25714.285714285717</v>
      </c>
      <c r="AQ7" s="4">
        <f t="shared" si="3"/>
        <v>25714.285714285717</v>
      </c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</row>
    <row r="8" spans="1:55" s="11" customFormat="1" x14ac:dyDescent="0.2">
      <c r="A8" s="11" t="s">
        <v>9</v>
      </c>
      <c r="B8" s="3">
        <f>'0'!E25</f>
        <v>0.05</v>
      </c>
      <c r="J8" s="10"/>
      <c r="K8" s="10"/>
      <c r="L8" s="10"/>
      <c r="P8" s="10">
        <f t="shared" si="4"/>
        <v>1250</v>
      </c>
      <c r="Q8" s="10">
        <f t="shared" si="4"/>
        <v>1250</v>
      </c>
      <c r="R8" s="10">
        <f t="shared" si="4"/>
        <v>1250</v>
      </c>
      <c r="S8" s="10">
        <f t="shared" si="4"/>
        <v>1250</v>
      </c>
      <c r="V8" s="10">
        <f t="shared" si="0"/>
        <v>909.09090909090901</v>
      </c>
      <c r="W8" s="10">
        <f t="shared" si="0"/>
        <v>909.09090909090901</v>
      </c>
      <c r="X8" s="10">
        <f t="shared" si="0"/>
        <v>909.09090909090901</v>
      </c>
      <c r="AB8" s="10">
        <f t="shared" si="1"/>
        <v>1818.1818181818185</v>
      </c>
      <c r="AC8" s="10">
        <f t="shared" si="1"/>
        <v>1818.1818181818185</v>
      </c>
      <c r="AD8" s="10">
        <f t="shared" si="1"/>
        <v>1818.1818181818185</v>
      </c>
      <c r="AE8" s="10">
        <f t="shared" si="1"/>
        <v>1818.1818181818185</v>
      </c>
      <c r="AH8" s="10">
        <f t="shared" si="2"/>
        <v>1428.5714285714287</v>
      </c>
      <c r="AI8" s="10">
        <f t="shared" si="2"/>
        <v>1428.5714285714287</v>
      </c>
      <c r="AJ8" s="10">
        <f t="shared" si="2"/>
        <v>1428.5714285714287</v>
      </c>
      <c r="AN8" s="10">
        <f t="shared" si="3"/>
        <v>1428.5714285714287</v>
      </c>
      <c r="AO8" s="10">
        <f t="shared" si="3"/>
        <v>1428.5714285714287</v>
      </c>
      <c r="AP8" s="10">
        <f t="shared" si="3"/>
        <v>1428.5714285714287</v>
      </c>
      <c r="AQ8" s="10">
        <f t="shared" si="3"/>
        <v>1428.5714285714287</v>
      </c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</row>
    <row r="9" spans="1:55" x14ac:dyDescent="0.2">
      <c r="J9" s="10"/>
      <c r="K9" s="10"/>
      <c r="L9" s="10"/>
      <c r="P9" s="10"/>
      <c r="Q9" s="10"/>
      <c r="R9" s="10"/>
      <c r="S9" s="10"/>
      <c r="V9" s="10"/>
      <c r="W9" s="10"/>
      <c r="X9" s="10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</row>
    <row r="10" spans="1:55" ht="13.5" thickBot="1" x14ac:dyDescent="0.25">
      <c r="A10" t="s">
        <v>110</v>
      </c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</row>
    <row r="11" spans="1:55" s="6" customFormat="1" ht="13.5" thickBot="1" x14ac:dyDescent="0.25">
      <c r="A11" s="7" t="s">
        <v>6</v>
      </c>
      <c r="B11" s="7"/>
      <c r="C11" s="9">
        <f>SUM(C12:C12)</f>
        <v>416.66666666666663</v>
      </c>
      <c r="D11" s="9">
        <f t="shared" ref="D11:AQ11" si="5">SUM(D12:D12)</f>
        <v>416.66666666666663</v>
      </c>
      <c r="E11" s="9">
        <f t="shared" si="5"/>
        <v>416.66666666666663</v>
      </c>
      <c r="F11" s="9">
        <f t="shared" si="5"/>
        <v>416.66666666666663</v>
      </c>
      <c r="G11" s="9">
        <f t="shared" si="5"/>
        <v>0</v>
      </c>
      <c r="H11" s="9">
        <f t="shared" si="5"/>
        <v>0</v>
      </c>
      <c r="I11" s="9">
        <f t="shared" si="5"/>
        <v>303.030303030303</v>
      </c>
      <c r="J11" s="9">
        <f t="shared" si="5"/>
        <v>303.030303030303</v>
      </c>
      <c r="K11" s="9">
        <f t="shared" si="5"/>
        <v>303.030303030303</v>
      </c>
      <c r="L11" s="9">
        <f t="shared" si="5"/>
        <v>0</v>
      </c>
      <c r="M11" s="9">
        <f t="shared" si="5"/>
        <v>0</v>
      </c>
      <c r="N11" s="9">
        <f t="shared" si="5"/>
        <v>0</v>
      </c>
      <c r="O11" s="9">
        <f t="shared" si="5"/>
        <v>606.06060606060612</v>
      </c>
      <c r="P11" s="9">
        <f t="shared" si="5"/>
        <v>606.06060606060612</v>
      </c>
      <c r="Q11" s="9">
        <f t="shared" si="5"/>
        <v>606.06060606060612</v>
      </c>
      <c r="R11" s="9">
        <f t="shared" si="5"/>
        <v>606.06060606060612</v>
      </c>
      <c r="S11" s="9">
        <f t="shared" si="5"/>
        <v>0</v>
      </c>
      <c r="T11" s="9">
        <f t="shared" si="5"/>
        <v>0</v>
      </c>
      <c r="U11" s="9">
        <f t="shared" si="5"/>
        <v>476.19047619047615</v>
      </c>
      <c r="V11" s="9">
        <f t="shared" si="5"/>
        <v>476.19047619047615</v>
      </c>
      <c r="W11" s="9">
        <f t="shared" si="5"/>
        <v>476.19047619047615</v>
      </c>
      <c r="X11" s="9">
        <f t="shared" si="5"/>
        <v>0</v>
      </c>
      <c r="Y11" s="9">
        <f t="shared" si="5"/>
        <v>0</v>
      </c>
      <c r="Z11" s="9">
        <f t="shared" si="5"/>
        <v>0</v>
      </c>
      <c r="AA11" s="9">
        <f t="shared" si="5"/>
        <v>476.19047619047615</v>
      </c>
      <c r="AB11" s="9">
        <f t="shared" si="5"/>
        <v>476.19047619047615</v>
      </c>
      <c r="AC11" s="9">
        <f t="shared" si="5"/>
        <v>476.19047619047615</v>
      </c>
      <c r="AD11" s="9">
        <f t="shared" si="5"/>
        <v>476.19047619047615</v>
      </c>
      <c r="AE11" s="9">
        <f t="shared" si="5"/>
        <v>0</v>
      </c>
      <c r="AF11" s="9">
        <f t="shared" si="5"/>
        <v>0</v>
      </c>
      <c r="AG11" s="9">
        <f t="shared" si="5"/>
        <v>0</v>
      </c>
      <c r="AH11" s="9">
        <f t="shared" si="5"/>
        <v>0</v>
      </c>
      <c r="AI11" s="9">
        <f t="shared" si="5"/>
        <v>0</v>
      </c>
      <c r="AJ11" s="9">
        <f t="shared" si="5"/>
        <v>0</v>
      </c>
      <c r="AK11" s="9">
        <f t="shared" si="5"/>
        <v>0</v>
      </c>
      <c r="AL11" s="9">
        <f t="shared" si="5"/>
        <v>0</v>
      </c>
      <c r="AM11" s="9">
        <f t="shared" si="5"/>
        <v>0</v>
      </c>
      <c r="AN11" s="9">
        <f t="shared" si="5"/>
        <v>0</v>
      </c>
      <c r="AO11" s="9">
        <f t="shared" si="5"/>
        <v>0</v>
      </c>
      <c r="AP11" s="9">
        <f t="shared" si="5"/>
        <v>0</v>
      </c>
      <c r="AQ11" s="9">
        <f t="shared" si="5"/>
        <v>0</v>
      </c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</row>
    <row r="12" spans="1:55" x14ac:dyDescent="0.2">
      <c r="C12" s="4">
        <f>P5*'0'!$C$37/'0'!$C$33</f>
        <v>416.66666666666663</v>
      </c>
      <c r="D12" s="4">
        <f>Q5*'0'!$C$37/'0'!$C$33</f>
        <v>416.66666666666663</v>
      </c>
      <c r="E12" s="4">
        <f>R5*'0'!$C$37/'0'!$C$33</f>
        <v>416.66666666666663</v>
      </c>
      <c r="F12" s="4">
        <f>(S5+O5)*'0'!$C$37/'0'!$C$33</f>
        <v>416.66666666666663</v>
      </c>
      <c r="G12" s="4">
        <f>T5*'0'!$C$37/'0'!$C$33</f>
        <v>0</v>
      </c>
      <c r="H12" s="4">
        <f>U5*'0'!$C$37/'0'!$C$33</f>
        <v>0</v>
      </c>
      <c r="I12" s="4">
        <f>V5*'0'!$C$37/'0'!$C$33</f>
        <v>303.030303030303</v>
      </c>
      <c r="J12" s="4">
        <f>W5*'0'!$C$37/'0'!$C$33</f>
        <v>303.030303030303</v>
      </c>
      <c r="K12" s="4">
        <f>X5*'0'!$C$37/'0'!$C$33</f>
        <v>303.030303030303</v>
      </c>
      <c r="L12" s="4">
        <f>Y5*'0'!$C$37/'0'!$C$33</f>
        <v>0</v>
      </c>
      <c r="M12" s="4">
        <f>Z5*'0'!$C$37/'0'!$C$33</f>
        <v>0</v>
      </c>
      <c r="N12" s="4">
        <f>AA5*'0'!$C$37/'0'!$C$33</f>
        <v>0</v>
      </c>
      <c r="O12" s="4">
        <f>AB5*'0'!$C$37/'0'!$C$33</f>
        <v>606.06060606060612</v>
      </c>
      <c r="P12" s="4">
        <f>AC5*'0'!$C$37/'0'!$C$33</f>
        <v>606.06060606060612</v>
      </c>
      <c r="Q12" s="4">
        <f>AD5*'0'!$C$37/'0'!$C$33</f>
        <v>606.06060606060612</v>
      </c>
      <c r="R12" s="4">
        <f>AE5*'0'!$C$37/'0'!$C$33</f>
        <v>606.06060606060612</v>
      </c>
      <c r="S12" s="4">
        <f>AF5*'0'!$C$37/'0'!$C$33</f>
        <v>0</v>
      </c>
      <c r="T12" s="4">
        <f>AG5*'0'!$C$37/'0'!$C$33</f>
        <v>0</v>
      </c>
      <c r="U12" s="4">
        <f>AH5*'0'!$C$37/'0'!$C$33</f>
        <v>476.19047619047615</v>
      </c>
      <c r="V12" s="4">
        <f>AI5*'0'!$C$37/'0'!$C$33</f>
        <v>476.19047619047615</v>
      </c>
      <c r="W12" s="4">
        <f>AJ5*'0'!$C$37/'0'!$C$33</f>
        <v>476.19047619047615</v>
      </c>
      <c r="X12" s="4">
        <f>AK5*'0'!$C$37/'0'!$C$33</f>
        <v>0</v>
      </c>
      <c r="Y12" s="4">
        <f>AL5*'0'!$C$37/'0'!$C$33</f>
        <v>0</v>
      </c>
      <c r="Z12" s="4">
        <f>AM5*'0'!$C$37/'0'!$C$33</f>
        <v>0</v>
      </c>
      <c r="AA12" s="4">
        <f>AN5*'0'!$C$37/'0'!$C$33</f>
        <v>476.19047619047615</v>
      </c>
      <c r="AB12" s="4">
        <f>AO5*'0'!$C$37/'0'!$C$33</f>
        <v>476.19047619047615</v>
      </c>
      <c r="AC12" s="4">
        <f>AP5*'0'!$C$37/'0'!$C$33</f>
        <v>476.19047619047615</v>
      </c>
      <c r="AD12" s="4">
        <f>AQ5*'0'!$C$37/'0'!$C$33</f>
        <v>476.19047619047615</v>
      </c>
      <c r="AE12" s="4">
        <f>AR5*'0'!$C$37/'0'!$C$33</f>
        <v>0</v>
      </c>
      <c r="AF12" s="4">
        <f>AS5*'0'!$C$37/'0'!$C$33</f>
        <v>0</v>
      </c>
      <c r="AG12" s="4">
        <f>AT5*'0'!$C$37/'0'!$C$33</f>
        <v>0</v>
      </c>
      <c r="AH12" s="4">
        <f>AU5*'0'!$C$37/'0'!$C$33</f>
        <v>0</v>
      </c>
      <c r="AI12" s="4">
        <f>AV5*'0'!$C$37/'0'!$C$33</f>
        <v>0</v>
      </c>
      <c r="AJ12" s="4">
        <f>AW5*'0'!$C$37/'0'!$C$33</f>
        <v>0</v>
      </c>
      <c r="AK12" s="4">
        <f>AX5*'0'!$C$37/'0'!$C$33</f>
        <v>0</v>
      </c>
      <c r="AL12" s="4">
        <f>AY5*'0'!$C$37/'0'!$C$33</f>
        <v>0</v>
      </c>
      <c r="AM12" s="4">
        <f>AZ5*'0'!$C$37/'0'!$C$33</f>
        <v>0</v>
      </c>
      <c r="AN12" s="4">
        <f>BA5*'0'!$C$37/'0'!$C$33</f>
        <v>0</v>
      </c>
      <c r="AO12" s="4">
        <f>BB5*'0'!$C$37/'0'!$C$33</f>
        <v>0</v>
      </c>
      <c r="AP12" s="4">
        <f>BC5*'0'!$C$37/'0'!$C$33</f>
        <v>0</v>
      </c>
      <c r="AQ12" s="4">
        <f>BD5*'0'!$C$37/'0'!$C$33</f>
        <v>0</v>
      </c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</row>
    <row r="13" spans="1:55" x14ac:dyDescent="0.2"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</row>
    <row r="14" spans="1:55" x14ac:dyDescent="0.2">
      <c r="A14" s="57" t="s">
        <v>103</v>
      </c>
      <c r="B14" s="57"/>
      <c r="C14" s="58">
        <f t="shared" ref="C14:AQ14" si="6">VLOOKUP(C3,feed,2,FALSE)</f>
        <v>8.4</v>
      </c>
      <c r="D14" s="58">
        <f t="shared" si="6"/>
        <v>10</v>
      </c>
      <c r="E14" s="58">
        <f t="shared" si="6"/>
        <v>6.6</v>
      </c>
      <c r="F14" s="58">
        <f t="shared" si="6"/>
        <v>3</v>
      </c>
      <c r="G14" s="58">
        <f t="shared" si="6"/>
        <v>1</v>
      </c>
      <c r="H14" s="58">
        <f t="shared" si="6"/>
        <v>1</v>
      </c>
      <c r="I14" s="58">
        <f t="shared" si="6"/>
        <v>1</v>
      </c>
      <c r="J14" s="58">
        <f t="shared" si="6"/>
        <v>1</v>
      </c>
      <c r="K14" s="58">
        <f t="shared" si="6"/>
        <v>1</v>
      </c>
      <c r="L14" s="58">
        <f t="shared" si="6"/>
        <v>1</v>
      </c>
      <c r="M14" s="58">
        <f t="shared" si="6"/>
        <v>2.2999999999999998</v>
      </c>
      <c r="N14" s="58">
        <f t="shared" si="6"/>
        <v>5.3</v>
      </c>
      <c r="O14" s="58">
        <f t="shared" si="6"/>
        <v>8.4</v>
      </c>
      <c r="P14" s="58">
        <f t="shared" si="6"/>
        <v>10</v>
      </c>
      <c r="Q14" s="58">
        <f t="shared" si="6"/>
        <v>6.6</v>
      </c>
      <c r="R14" s="58">
        <f t="shared" si="6"/>
        <v>3</v>
      </c>
      <c r="S14" s="58">
        <f t="shared" si="6"/>
        <v>1</v>
      </c>
      <c r="T14" s="58">
        <f t="shared" si="6"/>
        <v>1</v>
      </c>
      <c r="U14" s="58">
        <f t="shared" si="6"/>
        <v>1</v>
      </c>
      <c r="V14" s="58">
        <f t="shared" si="6"/>
        <v>1</v>
      </c>
      <c r="W14" s="58">
        <f t="shared" si="6"/>
        <v>1</v>
      </c>
      <c r="X14" s="58">
        <f t="shared" si="6"/>
        <v>1</v>
      </c>
      <c r="Y14" s="58">
        <f t="shared" si="6"/>
        <v>2.2999999999999998</v>
      </c>
      <c r="Z14" s="58">
        <f t="shared" si="6"/>
        <v>5.3</v>
      </c>
      <c r="AA14" s="58">
        <f t="shared" si="6"/>
        <v>8.4</v>
      </c>
      <c r="AB14" s="58">
        <f t="shared" si="6"/>
        <v>10</v>
      </c>
      <c r="AC14" s="58">
        <f t="shared" si="6"/>
        <v>6.6</v>
      </c>
      <c r="AD14" s="58">
        <f t="shared" si="6"/>
        <v>3</v>
      </c>
      <c r="AE14" s="58">
        <f t="shared" si="6"/>
        <v>1</v>
      </c>
      <c r="AF14" s="58">
        <f t="shared" si="6"/>
        <v>1</v>
      </c>
      <c r="AG14" s="58">
        <f t="shared" si="6"/>
        <v>1</v>
      </c>
      <c r="AH14" s="58">
        <f t="shared" si="6"/>
        <v>1</v>
      </c>
      <c r="AI14" s="58">
        <f t="shared" si="6"/>
        <v>1</v>
      </c>
      <c r="AJ14" s="58">
        <f t="shared" si="6"/>
        <v>1</v>
      </c>
      <c r="AK14" s="58">
        <f t="shared" si="6"/>
        <v>2.2999999999999998</v>
      </c>
      <c r="AL14" s="58">
        <f t="shared" si="6"/>
        <v>5.3</v>
      </c>
      <c r="AM14" s="58">
        <f t="shared" si="6"/>
        <v>8.4</v>
      </c>
      <c r="AN14" s="58">
        <f t="shared" si="6"/>
        <v>10</v>
      </c>
      <c r="AO14" s="58">
        <f t="shared" si="6"/>
        <v>6.6</v>
      </c>
      <c r="AP14" s="58">
        <f t="shared" si="6"/>
        <v>3</v>
      </c>
      <c r="AQ14" s="58">
        <f t="shared" si="6"/>
        <v>1</v>
      </c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</row>
    <row r="15" spans="1:55" x14ac:dyDescent="0.2"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</row>
    <row r="16" spans="1:55" s="1" customFormat="1" x14ac:dyDescent="0.2">
      <c r="A16" s="57" t="s">
        <v>45</v>
      </c>
      <c r="B16" s="57"/>
      <c r="C16" s="91">
        <f>SUM(C17:C23)</f>
        <v>2083.3333333333335</v>
      </c>
      <c r="D16" s="91">
        <f>SUM(D17:D23)</f>
        <v>2083.3333333333335</v>
      </c>
      <c r="E16" s="91">
        <f>SUM(E17:E23)</f>
        <v>2083.3333333333335</v>
      </c>
      <c r="F16" s="63">
        <f>SUM(F17:F23)</f>
        <v>2083.3333333333335</v>
      </c>
      <c r="G16" s="63">
        <f>SUM(G17:G23)</f>
        <v>2335.9240069084631</v>
      </c>
      <c r="H16" s="63">
        <f t="shared" ref="H16:AQ16" ca="1" si="7">SUM(H17:H23)</f>
        <v>3514.1536719802334</v>
      </c>
      <c r="I16" s="63">
        <f t="shared" ca="1" si="7"/>
        <v>3514.1536719802334</v>
      </c>
      <c r="J16" s="63">
        <f t="shared" ca="1" si="7"/>
        <v>3514.1536719802334</v>
      </c>
      <c r="K16" s="63">
        <f t="shared" ca="1" si="7"/>
        <v>3514.1536719802334</v>
      </c>
      <c r="L16" s="63">
        <f t="shared" ca="1" si="7"/>
        <v>3514.1536719802334</v>
      </c>
      <c r="M16" s="63">
        <f t="shared" ca="1" si="7"/>
        <v>8082.5534455545348</v>
      </c>
      <c r="N16" s="63">
        <f t="shared" ca="1" si="7"/>
        <v>29186.147348080143</v>
      </c>
      <c r="O16" s="63">
        <f t="shared" ca="1" si="7"/>
        <v>46257.290136579861</v>
      </c>
      <c r="P16" s="63">
        <f t="shared" ca="1" si="7"/>
        <v>55068.202543547435</v>
      </c>
      <c r="Q16" s="63">
        <f t="shared" ca="1" si="7"/>
        <v>36345.013678741314</v>
      </c>
      <c r="R16" s="63">
        <f t="shared" ca="1" si="7"/>
        <v>9512.6887423388434</v>
      </c>
      <c r="S16" s="63">
        <f t="shared" ca="1" si="7"/>
        <v>3170.8962474462814</v>
      </c>
      <c r="T16" s="63">
        <f t="shared" ca="1" si="7"/>
        <v>5022.4000068447776</v>
      </c>
      <c r="U16" s="63">
        <f t="shared" ca="1" si="7"/>
        <v>5022.4000068447776</v>
      </c>
      <c r="V16" s="63">
        <f t="shared" ca="1" si="7"/>
        <v>5022.4000068447776</v>
      </c>
      <c r="W16" s="63">
        <f t="shared" ca="1" si="7"/>
        <v>5022.4000068447776</v>
      </c>
      <c r="X16" s="63">
        <f t="shared" ca="1" si="7"/>
        <v>3844.1703417730068</v>
      </c>
      <c r="Y16" s="63">
        <f t="shared" ca="1" si="7"/>
        <v>8841.5917860779155</v>
      </c>
      <c r="Z16" s="63">
        <f t="shared" ca="1" si="7"/>
        <v>28672.135793713649</v>
      </c>
      <c r="AA16" s="63">
        <f t="shared" ca="1" si="7"/>
        <v>45442.630314565038</v>
      </c>
      <c r="AB16" s="63">
        <f t="shared" ca="1" si="7"/>
        <v>54098.369422101227</v>
      </c>
      <c r="AC16" s="63">
        <f t="shared" ca="1" si="7"/>
        <v>35704.923818586809</v>
      </c>
      <c r="AD16" s="63">
        <f t="shared" ca="1" si="7"/>
        <v>10251.511079506836</v>
      </c>
      <c r="AE16" s="63">
        <f t="shared" ca="1" si="7"/>
        <v>3417.1703598356116</v>
      </c>
      <c r="AF16" s="63">
        <f t="shared" ca="1" si="7"/>
        <v>3417.1703598356116</v>
      </c>
      <c r="AG16" s="63">
        <f t="shared" ca="1" si="7"/>
        <v>3417.1703598356116</v>
      </c>
      <c r="AH16" s="63">
        <f t="shared" ca="1" si="7"/>
        <v>3417.1703598356116</v>
      </c>
      <c r="AI16" s="63">
        <f t="shared" ca="1" si="7"/>
        <v>3417.1703598356116</v>
      </c>
      <c r="AJ16" s="63">
        <f t="shared" ca="1" si="7"/>
        <v>1565.6666004371157</v>
      </c>
      <c r="AK16" s="63">
        <f t="shared" ca="1" si="7"/>
        <v>3601.0331810053658</v>
      </c>
      <c r="AL16" s="63">
        <f t="shared" ca="1" si="7"/>
        <v>8298.0329823167122</v>
      </c>
      <c r="AM16" s="63">
        <f t="shared" ca="1" si="7"/>
        <v>13151.599443671772</v>
      </c>
      <c r="AN16" s="63">
        <f t="shared" ca="1" si="7"/>
        <v>15656.666004371158</v>
      </c>
      <c r="AO16" s="63">
        <f t="shared" ca="1" si="7"/>
        <v>10333.399562884964</v>
      </c>
      <c r="AP16" s="63">
        <f t="shared" ca="1" si="7"/>
        <v>0</v>
      </c>
      <c r="AQ16" s="63">
        <f t="shared" ca="1" si="7"/>
        <v>0</v>
      </c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</row>
    <row r="17" spans="1:55" x14ac:dyDescent="0.2">
      <c r="A17" t="s">
        <v>40</v>
      </c>
      <c r="B17" s="59">
        <f>0.985*SUM(O5:S5)</f>
        <v>98500</v>
      </c>
      <c r="C17" s="59">
        <f>P5/12</f>
        <v>2083.3333333333335</v>
      </c>
      <c r="D17" s="59">
        <f>C17</f>
        <v>2083.3333333333335</v>
      </c>
      <c r="E17" s="59">
        <f>D17</f>
        <v>2083.3333333333335</v>
      </c>
      <c r="F17" s="59">
        <f>E17</f>
        <v>2083.3333333333335</v>
      </c>
      <c r="G17" s="59">
        <f t="shared" ref="G17:Q17" si="8">($B$17-SUM($C$17:$F$17))*G14/SUM($G$14:$Q$14)</f>
        <v>2335.9240069084631</v>
      </c>
      <c r="H17" s="59">
        <f t="shared" si="8"/>
        <v>2335.9240069084631</v>
      </c>
      <c r="I17" s="59">
        <f t="shared" si="8"/>
        <v>2335.9240069084631</v>
      </c>
      <c r="J17" s="59">
        <f t="shared" si="8"/>
        <v>2335.9240069084631</v>
      </c>
      <c r="K17" s="59">
        <f t="shared" si="8"/>
        <v>2335.9240069084631</v>
      </c>
      <c r="L17" s="59">
        <f t="shared" si="8"/>
        <v>2335.9240069084631</v>
      </c>
      <c r="M17" s="59">
        <f t="shared" si="8"/>
        <v>5372.625215889464</v>
      </c>
      <c r="N17" s="59">
        <f t="shared" si="8"/>
        <v>12380.397236614854</v>
      </c>
      <c r="O17" s="59">
        <f t="shared" si="8"/>
        <v>19621.76165803109</v>
      </c>
      <c r="P17" s="59">
        <f t="shared" si="8"/>
        <v>23359.24006908463</v>
      </c>
      <c r="Q17" s="59">
        <f t="shared" si="8"/>
        <v>15417.098445595855</v>
      </c>
      <c r="R17" s="59"/>
      <c r="S17" s="5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</row>
    <row r="18" spans="1:55" x14ac:dyDescent="0.2">
      <c r="A18" t="s">
        <v>41</v>
      </c>
      <c r="B18" s="59">
        <f>0.985*SUM(V5:X5)</f>
        <v>53727.272727272728</v>
      </c>
      <c r="H18" s="59">
        <f t="shared" ref="H18:W18" ca="1" si="9">$B18*H$14/SUM(OFFSET($H$14,0,0,1,16))</f>
        <v>1178.2296650717703</v>
      </c>
      <c r="I18" s="59">
        <f t="shared" ca="1" si="9"/>
        <v>1178.2296650717703</v>
      </c>
      <c r="J18" s="59">
        <f t="shared" ca="1" si="9"/>
        <v>1178.2296650717703</v>
      </c>
      <c r="K18" s="59">
        <f t="shared" ca="1" si="9"/>
        <v>1178.2296650717703</v>
      </c>
      <c r="L18" s="59">
        <f t="shared" ca="1" si="9"/>
        <v>1178.2296650717703</v>
      </c>
      <c r="M18" s="59">
        <f t="shared" ca="1" si="9"/>
        <v>2709.9282296650713</v>
      </c>
      <c r="N18" s="59">
        <f t="shared" ca="1" si="9"/>
        <v>6244.6172248803832</v>
      </c>
      <c r="O18" s="59">
        <f t="shared" ca="1" si="9"/>
        <v>9897.1291866028714</v>
      </c>
      <c r="P18" s="59">
        <f t="shared" ca="1" si="9"/>
        <v>11782.296650717704</v>
      </c>
      <c r="Q18" s="59">
        <f t="shared" ca="1" si="9"/>
        <v>7776.3157894736842</v>
      </c>
      <c r="R18" s="59">
        <f t="shared" ca="1" si="9"/>
        <v>3534.6889952153106</v>
      </c>
      <c r="S18" s="59">
        <f t="shared" ca="1" si="9"/>
        <v>1178.2296650717703</v>
      </c>
      <c r="T18" s="59">
        <f t="shared" ca="1" si="9"/>
        <v>1178.2296650717703</v>
      </c>
      <c r="U18" s="59">
        <f t="shared" ca="1" si="9"/>
        <v>1178.2296650717703</v>
      </c>
      <c r="V18" s="59">
        <f t="shared" ca="1" si="9"/>
        <v>1178.2296650717703</v>
      </c>
      <c r="W18" s="59">
        <f t="shared" ca="1" si="9"/>
        <v>1178.2296650717703</v>
      </c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</row>
    <row r="19" spans="1:55" x14ac:dyDescent="0.2">
      <c r="A19" t="s">
        <v>42</v>
      </c>
      <c r="B19" s="59">
        <f>0.985*SUM(AB5:AE5)</f>
        <v>143272.72727272729</v>
      </c>
      <c r="N19" s="59">
        <f t="shared" ref="N19:AC19" ca="1" si="10">$B19*N$14/SUM(OFFSET($N$14,0,0,1,16))</f>
        <v>10561.132886584906</v>
      </c>
      <c r="O19" s="59">
        <f t="shared" ca="1" si="10"/>
        <v>16738.399291945894</v>
      </c>
      <c r="P19" s="59">
        <f t="shared" ca="1" si="10"/>
        <v>19926.665823745108</v>
      </c>
      <c r="Q19" s="59">
        <f t="shared" ca="1" si="10"/>
        <v>13151.599443671772</v>
      </c>
      <c r="R19" s="59">
        <f t="shared" ca="1" si="10"/>
        <v>5977.9997471235329</v>
      </c>
      <c r="S19" s="59">
        <f t="shared" ca="1" si="10"/>
        <v>1992.6665823745109</v>
      </c>
      <c r="T19" s="59">
        <f t="shared" ca="1" si="10"/>
        <v>1992.6665823745109</v>
      </c>
      <c r="U19" s="59">
        <f t="shared" ca="1" si="10"/>
        <v>1992.6665823745109</v>
      </c>
      <c r="V19" s="59">
        <f t="shared" ca="1" si="10"/>
        <v>1992.6665823745109</v>
      </c>
      <c r="W19" s="59">
        <f t="shared" ca="1" si="10"/>
        <v>1992.6665823745109</v>
      </c>
      <c r="X19" s="59">
        <f t="shared" ca="1" si="10"/>
        <v>1992.6665823745109</v>
      </c>
      <c r="Y19" s="59">
        <f t="shared" ca="1" si="10"/>
        <v>4583.1331394613753</v>
      </c>
      <c r="Z19" s="59">
        <f t="shared" ca="1" si="10"/>
        <v>10561.132886584906</v>
      </c>
      <c r="AA19" s="59">
        <f t="shared" ca="1" si="10"/>
        <v>16738.399291945894</v>
      </c>
      <c r="AB19" s="59">
        <f t="shared" ca="1" si="10"/>
        <v>19926.665823745108</v>
      </c>
      <c r="AC19" s="59">
        <f t="shared" ca="1" si="10"/>
        <v>13151.599443671772</v>
      </c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</row>
    <row r="20" spans="1:55" x14ac:dyDescent="0.2">
      <c r="A20" t="s">
        <v>43</v>
      </c>
      <c r="B20" s="59">
        <f>0.985*SUM(AH5:AJ5)</f>
        <v>84428.57142857142</v>
      </c>
      <c r="T20" s="59">
        <f t="shared" ref="T20:AI20" ca="1" si="11">$B20*T$14/SUM(OFFSET($T$14,0,0,1,16))</f>
        <v>1851.503759398496</v>
      </c>
      <c r="U20" s="59">
        <f t="shared" ca="1" si="11"/>
        <v>1851.503759398496</v>
      </c>
      <c r="V20" s="59">
        <f t="shared" ca="1" si="11"/>
        <v>1851.503759398496</v>
      </c>
      <c r="W20" s="59">
        <f t="shared" ca="1" si="11"/>
        <v>1851.503759398496</v>
      </c>
      <c r="X20" s="59">
        <f t="shared" ca="1" si="11"/>
        <v>1851.503759398496</v>
      </c>
      <c r="Y20" s="59">
        <f t="shared" ca="1" si="11"/>
        <v>4258.458646616541</v>
      </c>
      <c r="Z20" s="59">
        <f t="shared" ca="1" si="11"/>
        <v>9812.9699248120287</v>
      </c>
      <c r="AA20" s="59">
        <f t="shared" ca="1" si="11"/>
        <v>15552.631578947368</v>
      </c>
      <c r="AB20" s="59">
        <f t="shared" ca="1" si="11"/>
        <v>18515.037593984958</v>
      </c>
      <c r="AC20" s="59">
        <f t="shared" ca="1" si="11"/>
        <v>12219.924812030073</v>
      </c>
      <c r="AD20" s="59">
        <f t="shared" ca="1" si="11"/>
        <v>5554.5112781954876</v>
      </c>
      <c r="AE20" s="59">
        <f t="shared" ca="1" si="11"/>
        <v>1851.503759398496</v>
      </c>
      <c r="AF20" s="59">
        <f t="shared" ca="1" si="11"/>
        <v>1851.503759398496</v>
      </c>
      <c r="AG20" s="59">
        <f t="shared" ca="1" si="11"/>
        <v>1851.503759398496</v>
      </c>
      <c r="AH20" s="59">
        <f t="shared" ca="1" si="11"/>
        <v>1851.503759398496</v>
      </c>
      <c r="AI20" s="59">
        <f t="shared" ca="1" si="11"/>
        <v>1851.503759398496</v>
      </c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</row>
    <row r="21" spans="1:55" x14ac:dyDescent="0.2">
      <c r="A21" t="s">
        <v>44</v>
      </c>
      <c r="B21" s="59">
        <f>0.985*SUM(AN5:AQ5)</f>
        <v>112571.42857142858</v>
      </c>
      <c r="Z21" s="59">
        <f t="shared" ref="Z21:AO21" ca="1" si="12">$B21*Z$14/SUM(OFFSET($Z$14,0,0,1,16))</f>
        <v>8298.0329823167122</v>
      </c>
      <c r="AA21" s="59">
        <f t="shared" ca="1" si="12"/>
        <v>13151.599443671772</v>
      </c>
      <c r="AB21" s="59">
        <f t="shared" ca="1" si="12"/>
        <v>15656.666004371158</v>
      </c>
      <c r="AC21" s="59">
        <f t="shared" ca="1" si="12"/>
        <v>10333.399562884964</v>
      </c>
      <c r="AD21" s="59">
        <f t="shared" ca="1" si="12"/>
        <v>4696.9998013113473</v>
      </c>
      <c r="AE21" s="59">
        <f t="shared" ca="1" si="12"/>
        <v>1565.6666004371157</v>
      </c>
      <c r="AF21" s="59">
        <f t="shared" ca="1" si="12"/>
        <v>1565.6666004371157</v>
      </c>
      <c r="AG21" s="59">
        <f t="shared" ca="1" si="12"/>
        <v>1565.6666004371157</v>
      </c>
      <c r="AH21" s="59">
        <f t="shared" ca="1" si="12"/>
        <v>1565.6666004371157</v>
      </c>
      <c r="AI21" s="59">
        <f t="shared" ca="1" si="12"/>
        <v>1565.6666004371157</v>
      </c>
      <c r="AJ21" s="59">
        <f t="shared" ca="1" si="12"/>
        <v>1565.6666004371157</v>
      </c>
      <c r="AK21" s="59">
        <f t="shared" ca="1" si="12"/>
        <v>3601.0331810053658</v>
      </c>
      <c r="AL21" s="59">
        <f t="shared" ca="1" si="12"/>
        <v>8298.0329823167122</v>
      </c>
      <c r="AM21" s="59">
        <f t="shared" ca="1" si="12"/>
        <v>13151.599443671772</v>
      </c>
      <c r="AN21" s="59">
        <f t="shared" ca="1" si="12"/>
        <v>15656.666004371158</v>
      </c>
      <c r="AO21" s="59">
        <f t="shared" ca="1" si="12"/>
        <v>10333.399562884964</v>
      </c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</row>
    <row r="22" spans="1:55" x14ac:dyDescent="0.2">
      <c r="A22" s="61" t="s">
        <v>46</v>
      </c>
      <c r="B22" s="62">
        <f>0.985*SUM(AT5:AV5)</f>
        <v>0</v>
      </c>
      <c r="AF22" s="62">
        <f t="shared" ref="AF22:AQ22" ca="1" si="13">$B22*AF$14/SUM(OFFSET($AF$14,0,0,1,16))</f>
        <v>0</v>
      </c>
      <c r="AG22" s="62">
        <f t="shared" ca="1" si="13"/>
        <v>0</v>
      </c>
      <c r="AH22" s="62">
        <f t="shared" ca="1" si="13"/>
        <v>0</v>
      </c>
      <c r="AI22" s="62">
        <f t="shared" ca="1" si="13"/>
        <v>0</v>
      </c>
      <c r="AJ22" s="62">
        <f t="shared" ca="1" si="13"/>
        <v>0</v>
      </c>
      <c r="AK22" s="62">
        <f t="shared" ca="1" si="13"/>
        <v>0</v>
      </c>
      <c r="AL22" s="62">
        <f t="shared" ca="1" si="13"/>
        <v>0</v>
      </c>
      <c r="AM22" s="62">
        <f t="shared" ca="1" si="13"/>
        <v>0</v>
      </c>
      <c r="AN22" s="62">
        <f t="shared" ca="1" si="13"/>
        <v>0</v>
      </c>
      <c r="AO22" s="62">
        <f t="shared" ca="1" si="13"/>
        <v>0</v>
      </c>
      <c r="AP22" s="62">
        <f t="shared" ca="1" si="13"/>
        <v>0</v>
      </c>
      <c r="AQ22" s="62">
        <f t="shared" ca="1" si="13"/>
        <v>0</v>
      </c>
      <c r="AR22" s="60"/>
      <c r="AS22" s="60"/>
      <c r="AT22" s="60"/>
      <c r="AU22" s="60"/>
      <c r="AV22" s="29"/>
      <c r="AW22" s="29"/>
      <c r="AX22" s="29"/>
      <c r="AY22" s="29"/>
      <c r="AZ22" s="29"/>
      <c r="BA22" s="29"/>
      <c r="BB22" s="29"/>
      <c r="BC22" s="29"/>
    </row>
    <row r="23" spans="1:55" x14ac:dyDescent="0.2">
      <c r="A23" s="61" t="s">
        <v>47</v>
      </c>
      <c r="B23" s="62">
        <f>0.985*SUM(AZ5:BC5)</f>
        <v>0</v>
      </c>
      <c r="AF23" s="61"/>
      <c r="AG23" s="61"/>
      <c r="AH23" s="61"/>
      <c r="AI23" s="61"/>
      <c r="AJ23" s="61"/>
      <c r="AK23" s="61"/>
      <c r="AL23" s="62">
        <f t="shared" ref="AL23:AQ23" ca="1" si="14">$B23*AL$14/SUM(OFFSET($AL$14,0,0,1,16))</f>
        <v>0</v>
      </c>
      <c r="AM23" s="62">
        <f t="shared" ca="1" si="14"/>
        <v>0</v>
      </c>
      <c r="AN23" s="62">
        <f t="shared" ca="1" si="14"/>
        <v>0</v>
      </c>
      <c r="AO23" s="62">
        <f t="shared" ca="1" si="14"/>
        <v>0</v>
      </c>
      <c r="AP23" s="62">
        <f t="shared" ca="1" si="14"/>
        <v>0</v>
      </c>
      <c r="AQ23" s="62">
        <f t="shared" ca="1" si="14"/>
        <v>0</v>
      </c>
      <c r="AR23" s="60"/>
      <c r="AS23" s="60"/>
      <c r="AT23" s="60"/>
      <c r="AU23" s="60"/>
      <c r="AV23" s="60"/>
      <c r="AW23" s="60"/>
      <c r="AX23" s="60"/>
      <c r="AY23" s="60"/>
      <c r="AZ23" s="60"/>
      <c r="BA23" s="60"/>
      <c r="BB23" s="29"/>
      <c r="BC23" s="29"/>
    </row>
    <row r="24" spans="1:55" x14ac:dyDescent="0.2">
      <c r="A24" s="1" t="s">
        <v>49</v>
      </c>
      <c r="B24" s="66">
        <f>SUM(B17:B21)</f>
        <v>492500</v>
      </c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B24" s="29"/>
      <c r="BC24" s="29"/>
    </row>
    <row r="25" spans="1:55" x14ac:dyDescent="0.2">
      <c r="AR25" s="29"/>
      <c r="AS25" s="29"/>
      <c r="AT25" s="29"/>
      <c r="AU25" s="29"/>
      <c r="AV25" s="29"/>
      <c r="AW25" s="29"/>
      <c r="AX25" s="29"/>
      <c r="AY25" s="29"/>
      <c r="AZ25" s="29"/>
      <c r="BA25" s="29"/>
      <c r="BB25" s="29"/>
      <c r="BC25" s="29"/>
    </row>
    <row r="26" spans="1:55" ht="13.5" thickBot="1" x14ac:dyDescent="0.25">
      <c r="A26" s="70" t="s">
        <v>50</v>
      </c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</row>
    <row r="27" spans="1:55" s="6" customFormat="1" ht="13.5" thickBot="1" x14ac:dyDescent="0.25">
      <c r="A27" s="7" t="s">
        <v>53</v>
      </c>
      <c r="B27" s="7"/>
      <c r="C27" s="9">
        <v>0</v>
      </c>
      <c r="D27" s="9">
        <f t="shared" ref="D27:H27" si="15">C30</f>
        <v>416.66666666666652</v>
      </c>
      <c r="E27" s="9">
        <f t="shared" si="15"/>
        <v>333.33333333333303</v>
      </c>
      <c r="F27" s="9">
        <f t="shared" si="15"/>
        <v>249.99999999999955</v>
      </c>
      <c r="G27" s="9">
        <f t="shared" si="15"/>
        <v>166.66666666666606</v>
      </c>
      <c r="H27" s="9">
        <f t="shared" si="15"/>
        <v>830.74265975820299</v>
      </c>
      <c r="I27" s="9">
        <f t="shared" ref="I27:AQ27" ca="1" si="16">H30</f>
        <v>316.58898777796958</v>
      </c>
      <c r="J27" s="9">
        <f t="shared" ca="1" si="16"/>
        <v>802.43531579773662</v>
      </c>
      <c r="K27" s="9">
        <f t="shared" ca="1" si="16"/>
        <v>288.28164381750321</v>
      </c>
      <c r="L27" s="9">
        <f t="shared" ca="1" si="16"/>
        <v>774.1279718372698</v>
      </c>
      <c r="M27" s="9">
        <f t="shared" ca="1" si="16"/>
        <v>259.97429985703639</v>
      </c>
      <c r="N27" s="9">
        <f t="shared" ca="1" si="16"/>
        <v>177.42085430250154</v>
      </c>
      <c r="O27" s="9">
        <f t="shared" ca="1" si="16"/>
        <v>991.27350622235826</v>
      </c>
      <c r="P27" s="9">
        <f t="shared" ca="1" si="16"/>
        <v>733.98336964249756</v>
      </c>
      <c r="Q27" s="9">
        <f t="shared" ca="1" si="16"/>
        <v>665.78082609506237</v>
      </c>
      <c r="R27" s="9">
        <f t="shared" ca="1" si="16"/>
        <v>320.76714735374844</v>
      </c>
      <c r="S27" s="9">
        <f t="shared" ca="1" si="16"/>
        <v>808.078405014905</v>
      </c>
      <c r="T27" s="9">
        <f t="shared" ca="1" si="16"/>
        <v>637.18215756862355</v>
      </c>
      <c r="U27" s="9">
        <f t="shared" ca="1" si="16"/>
        <v>614.78215072384592</v>
      </c>
      <c r="V27" s="9">
        <f t="shared" ca="1" si="16"/>
        <v>592.38214387906828</v>
      </c>
      <c r="W27" s="9">
        <f t="shared" ca="1" si="16"/>
        <v>569.98213703429064</v>
      </c>
      <c r="X27" s="9">
        <f t="shared" ca="1" si="16"/>
        <v>547.58213018951301</v>
      </c>
      <c r="Y27" s="9">
        <f t="shared" ca="1" si="16"/>
        <v>1703.4117884165062</v>
      </c>
      <c r="Z27" s="9">
        <f t="shared" ca="1" si="16"/>
        <v>861.82000233859071</v>
      </c>
      <c r="AA27" s="9">
        <f t="shared" ca="1" si="16"/>
        <v>189.68420862494168</v>
      </c>
      <c r="AB27" s="9">
        <f t="shared" ca="1" si="16"/>
        <v>747.0538940598999</v>
      </c>
      <c r="AC27" s="9">
        <f t="shared" ca="1" si="16"/>
        <v>1648.6844719586734</v>
      </c>
      <c r="AD27" s="9">
        <f t="shared" ca="1" si="16"/>
        <v>943.76065337186446</v>
      </c>
      <c r="AE27" s="9">
        <f t="shared" ca="1" si="16"/>
        <v>692.24957386502865</v>
      </c>
      <c r="AF27" s="9">
        <f t="shared" ca="1" si="16"/>
        <v>3275.079214029417</v>
      </c>
      <c r="AG27" s="9">
        <f t="shared" ca="1" si="16"/>
        <v>857.90885419380538</v>
      </c>
      <c r="AH27" s="9">
        <f t="shared" ca="1" si="16"/>
        <v>440.73849435819375</v>
      </c>
      <c r="AI27" s="9">
        <f t="shared" ca="1" si="16"/>
        <v>23.568134522582113</v>
      </c>
      <c r="AJ27" s="9">
        <f t="shared" ca="1" si="16"/>
        <v>606.39777468697048</v>
      </c>
      <c r="AK27" s="9">
        <f t="shared" ca="1" si="16"/>
        <v>40.731174249854803</v>
      </c>
      <c r="AL27" s="9">
        <f t="shared" ca="1" si="16"/>
        <v>439.69799324448923</v>
      </c>
      <c r="AM27" s="9">
        <f t="shared" ca="1" si="16"/>
        <v>141.66501092777617</v>
      </c>
      <c r="AN27" s="9">
        <f t="shared" ca="1" si="16"/>
        <v>1990.0655672560042</v>
      </c>
      <c r="AO27" s="9">
        <f t="shared" ca="1" si="16"/>
        <v>1333.3995628848443</v>
      </c>
      <c r="AP27" s="9">
        <f t="shared" ca="1" si="16"/>
        <v>-1.2005330063402653E-10</v>
      </c>
      <c r="AQ27" s="9">
        <f t="shared" ca="1" si="16"/>
        <v>-1.2005330063402653E-10</v>
      </c>
      <c r="AR27" s="29"/>
      <c r="AS27" s="29"/>
      <c r="AT27" s="29"/>
      <c r="AU27" s="29"/>
      <c r="AV27" s="29"/>
      <c r="AW27" s="29"/>
      <c r="AX27" s="29"/>
      <c r="AY27" s="29"/>
      <c r="AZ27" s="29"/>
      <c r="BA27" s="29"/>
      <c r="BB27" s="29"/>
      <c r="BC27" s="29"/>
    </row>
    <row r="28" spans="1:55" s="6" customFormat="1" x14ac:dyDescent="0.2">
      <c r="A28" s="69" t="s">
        <v>56</v>
      </c>
      <c r="B28" s="67"/>
      <c r="C28" s="102">
        <v>2500</v>
      </c>
      <c r="D28" s="102">
        <v>2000</v>
      </c>
      <c r="E28" s="102">
        <v>2000</v>
      </c>
      <c r="F28" s="102">
        <v>2000</v>
      </c>
      <c r="G28" s="102">
        <v>3000</v>
      </c>
      <c r="H28" s="102">
        <v>3000</v>
      </c>
      <c r="I28" s="102">
        <v>4000</v>
      </c>
      <c r="J28" s="102">
        <v>3000</v>
      </c>
      <c r="K28" s="102">
        <v>4000</v>
      </c>
      <c r="L28" s="102">
        <v>3000</v>
      </c>
      <c r="M28" s="102">
        <v>8000</v>
      </c>
      <c r="N28" s="102">
        <v>30000</v>
      </c>
      <c r="O28" s="102">
        <v>46000</v>
      </c>
      <c r="P28" s="102">
        <v>55000</v>
      </c>
      <c r="Q28" s="102">
        <v>36000</v>
      </c>
      <c r="R28" s="102">
        <v>10000</v>
      </c>
      <c r="S28" s="102">
        <v>3000</v>
      </c>
      <c r="T28" s="102">
        <v>5000</v>
      </c>
      <c r="U28" s="102">
        <v>5000</v>
      </c>
      <c r="V28" s="102">
        <v>5000</v>
      </c>
      <c r="W28" s="102">
        <v>5000</v>
      </c>
      <c r="X28" s="102">
        <v>5000</v>
      </c>
      <c r="Y28" s="102">
        <v>8000</v>
      </c>
      <c r="Z28" s="102">
        <v>28000</v>
      </c>
      <c r="AA28" s="102">
        <v>46000</v>
      </c>
      <c r="AB28" s="102">
        <v>55000</v>
      </c>
      <c r="AC28" s="102">
        <v>35000</v>
      </c>
      <c r="AD28" s="102">
        <v>10000</v>
      </c>
      <c r="AE28" s="102">
        <v>6000</v>
      </c>
      <c r="AF28" s="102">
        <v>1000</v>
      </c>
      <c r="AG28" s="102">
        <v>3000</v>
      </c>
      <c r="AH28" s="102">
        <v>3000</v>
      </c>
      <c r="AI28" s="102">
        <v>4000</v>
      </c>
      <c r="AJ28" s="102">
        <v>1000</v>
      </c>
      <c r="AK28" s="102">
        <v>4000</v>
      </c>
      <c r="AL28" s="102">
        <v>8000</v>
      </c>
      <c r="AM28" s="102">
        <v>15000</v>
      </c>
      <c r="AN28" s="102">
        <v>15000</v>
      </c>
      <c r="AO28" s="102">
        <v>9000</v>
      </c>
      <c r="AP28" s="102"/>
      <c r="AQ28" s="102"/>
      <c r="AR28" s="29"/>
      <c r="AS28" s="29"/>
      <c r="AT28" s="29"/>
      <c r="AU28" s="29"/>
      <c r="AV28" s="29"/>
      <c r="AW28" s="29"/>
      <c r="AX28" s="29"/>
      <c r="AY28" s="29"/>
      <c r="AZ28" s="29"/>
      <c r="BA28" s="29"/>
      <c r="BB28" s="29"/>
      <c r="BC28" s="29"/>
    </row>
    <row r="29" spans="1:55" s="6" customFormat="1" ht="13.5" thickBot="1" x14ac:dyDescent="0.25">
      <c r="A29" s="69" t="s">
        <v>57</v>
      </c>
      <c r="B29" s="67"/>
      <c r="C29" s="71">
        <f>-C16</f>
        <v>-2083.3333333333335</v>
      </c>
      <c r="D29" s="71">
        <f>-D16</f>
        <v>-2083.3333333333335</v>
      </c>
      <c r="E29" s="71">
        <f>-E16</f>
        <v>-2083.3333333333335</v>
      </c>
      <c r="F29" s="71">
        <f>-F16</f>
        <v>-2083.3333333333335</v>
      </c>
      <c r="G29" s="71">
        <f>-G16</f>
        <v>-2335.9240069084631</v>
      </c>
      <c r="H29" s="71">
        <f t="shared" ref="H29:AQ29" ca="1" si="17">-H16</f>
        <v>-3514.1536719802334</v>
      </c>
      <c r="I29" s="71">
        <f t="shared" ca="1" si="17"/>
        <v>-3514.1536719802334</v>
      </c>
      <c r="J29" s="71">
        <f t="shared" ca="1" si="17"/>
        <v>-3514.1536719802334</v>
      </c>
      <c r="K29" s="71">
        <f t="shared" ca="1" si="17"/>
        <v>-3514.1536719802334</v>
      </c>
      <c r="L29" s="71">
        <f t="shared" ca="1" si="17"/>
        <v>-3514.1536719802334</v>
      </c>
      <c r="M29" s="71">
        <f t="shared" ca="1" si="17"/>
        <v>-8082.5534455545348</v>
      </c>
      <c r="N29" s="71">
        <f t="shared" ca="1" si="17"/>
        <v>-29186.147348080143</v>
      </c>
      <c r="O29" s="71">
        <f t="shared" ca="1" si="17"/>
        <v>-46257.290136579861</v>
      </c>
      <c r="P29" s="71">
        <f ca="1">-P16</f>
        <v>-55068.202543547435</v>
      </c>
      <c r="Q29" s="71">
        <f t="shared" ca="1" si="17"/>
        <v>-36345.013678741314</v>
      </c>
      <c r="R29" s="71">
        <f t="shared" ca="1" si="17"/>
        <v>-9512.6887423388434</v>
      </c>
      <c r="S29" s="71">
        <f t="shared" ca="1" si="17"/>
        <v>-3170.8962474462814</v>
      </c>
      <c r="T29" s="71">
        <f t="shared" ca="1" si="17"/>
        <v>-5022.4000068447776</v>
      </c>
      <c r="U29" s="71">
        <f t="shared" ca="1" si="17"/>
        <v>-5022.4000068447776</v>
      </c>
      <c r="V29" s="71">
        <f t="shared" ca="1" si="17"/>
        <v>-5022.4000068447776</v>
      </c>
      <c r="W29" s="71">
        <f t="shared" ca="1" si="17"/>
        <v>-5022.4000068447776</v>
      </c>
      <c r="X29" s="71">
        <f t="shared" ca="1" si="17"/>
        <v>-3844.1703417730068</v>
      </c>
      <c r="Y29" s="71">
        <f t="shared" ca="1" si="17"/>
        <v>-8841.5917860779155</v>
      </c>
      <c r="Z29" s="71">
        <f t="shared" ca="1" si="17"/>
        <v>-28672.135793713649</v>
      </c>
      <c r="AA29" s="71">
        <f t="shared" ca="1" si="17"/>
        <v>-45442.630314565038</v>
      </c>
      <c r="AB29" s="71">
        <f t="shared" ca="1" si="17"/>
        <v>-54098.369422101227</v>
      </c>
      <c r="AC29" s="71">
        <f t="shared" ca="1" si="17"/>
        <v>-35704.923818586809</v>
      </c>
      <c r="AD29" s="71">
        <f t="shared" ca="1" si="17"/>
        <v>-10251.511079506836</v>
      </c>
      <c r="AE29" s="71">
        <f t="shared" ca="1" si="17"/>
        <v>-3417.1703598356116</v>
      </c>
      <c r="AF29" s="71">
        <f t="shared" ca="1" si="17"/>
        <v>-3417.1703598356116</v>
      </c>
      <c r="AG29" s="71">
        <f t="shared" ca="1" si="17"/>
        <v>-3417.1703598356116</v>
      </c>
      <c r="AH29" s="71">
        <f t="shared" ca="1" si="17"/>
        <v>-3417.1703598356116</v>
      </c>
      <c r="AI29" s="71">
        <f t="shared" ca="1" si="17"/>
        <v>-3417.1703598356116</v>
      </c>
      <c r="AJ29" s="71">
        <f t="shared" ca="1" si="17"/>
        <v>-1565.6666004371157</v>
      </c>
      <c r="AK29" s="71">
        <f t="shared" ca="1" si="17"/>
        <v>-3601.0331810053658</v>
      </c>
      <c r="AL29" s="71">
        <f t="shared" ca="1" si="17"/>
        <v>-8298.0329823167122</v>
      </c>
      <c r="AM29" s="71">
        <f t="shared" ca="1" si="17"/>
        <v>-13151.599443671772</v>
      </c>
      <c r="AN29" s="71">
        <f t="shared" ca="1" si="17"/>
        <v>-15656.666004371158</v>
      </c>
      <c r="AO29" s="71">
        <f t="shared" ca="1" si="17"/>
        <v>-10333.399562884964</v>
      </c>
      <c r="AP29" s="71">
        <f t="shared" ca="1" si="17"/>
        <v>0</v>
      </c>
      <c r="AQ29" s="71">
        <f t="shared" ca="1" si="17"/>
        <v>0</v>
      </c>
      <c r="AR29" s="29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</row>
    <row r="30" spans="1:55" s="6" customFormat="1" ht="13.5" thickBot="1" x14ac:dyDescent="0.25">
      <c r="A30" s="7" t="s">
        <v>55</v>
      </c>
      <c r="B30" s="7"/>
      <c r="C30" s="9">
        <f>SUM(C27:C29)</f>
        <v>416.66666666666652</v>
      </c>
      <c r="D30" s="9">
        <f>SUM(D27:D29)</f>
        <v>333.33333333333303</v>
      </c>
      <c r="E30" s="9">
        <f>SUM(E27:E29)</f>
        <v>249.99999999999955</v>
      </c>
      <c r="F30" s="9">
        <f>SUM(F27:F29)</f>
        <v>166.66666666666606</v>
      </c>
      <c r="G30" s="9">
        <f>SUM(G27:G29)</f>
        <v>830.74265975820299</v>
      </c>
      <c r="H30" s="9">
        <f t="shared" ref="H30:AQ30" ca="1" si="18">SUM(H27:H29)</f>
        <v>316.58898777796958</v>
      </c>
      <c r="I30" s="9">
        <f t="shared" ca="1" si="18"/>
        <v>802.43531579773662</v>
      </c>
      <c r="J30" s="9">
        <f t="shared" ca="1" si="18"/>
        <v>288.28164381750321</v>
      </c>
      <c r="K30" s="9">
        <f t="shared" ca="1" si="18"/>
        <v>774.1279718372698</v>
      </c>
      <c r="L30" s="9">
        <f t="shared" ca="1" si="18"/>
        <v>259.97429985703639</v>
      </c>
      <c r="M30" s="9">
        <f t="shared" ca="1" si="18"/>
        <v>177.42085430250154</v>
      </c>
      <c r="N30" s="9">
        <f t="shared" ca="1" si="18"/>
        <v>991.27350622235826</v>
      </c>
      <c r="O30" s="9">
        <f t="shared" ca="1" si="18"/>
        <v>733.98336964249756</v>
      </c>
      <c r="P30" s="9">
        <f t="shared" ca="1" si="18"/>
        <v>665.78082609506237</v>
      </c>
      <c r="Q30" s="9">
        <f t="shared" ca="1" si="18"/>
        <v>320.76714735374844</v>
      </c>
      <c r="R30" s="9">
        <f t="shared" ca="1" si="18"/>
        <v>808.078405014905</v>
      </c>
      <c r="S30" s="9">
        <f t="shared" ca="1" si="18"/>
        <v>637.18215756862355</v>
      </c>
      <c r="T30" s="9">
        <f t="shared" ca="1" si="18"/>
        <v>614.78215072384592</v>
      </c>
      <c r="U30" s="9">
        <f t="shared" ca="1" si="18"/>
        <v>592.38214387906828</v>
      </c>
      <c r="V30" s="9">
        <f t="shared" ca="1" si="18"/>
        <v>569.98213703429064</v>
      </c>
      <c r="W30" s="9">
        <f t="shared" ca="1" si="18"/>
        <v>547.58213018951301</v>
      </c>
      <c r="X30" s="9">
        <f t="shared" ca="1" si="18"/>
        <v>1703.4117884165062</v>
      </c>
      <c r="Y30" s="9">
        <f t="shared" ca="1" si="18"/>
        <v>861.82000233859071</v>
      </c>
      <c r="Z30" s="9">
        <f t="shared" ca="1" si="18"/>
        <v>189.68420862494168</v>
      </c>
      <c r="AA30" s="9">
        <f t="shared" ca="1" si="18"/>
        <v>747.0538940598999</v>
      </c>
      <c r="AB30" s="9">
        <f t="shared" ca="1" si="18"/>
        <v>1648.6844719586734</v>
      </c>
      <c r="AC30" s="9">
        <f t="shared" ca="1" si="18"/>
        <v>943.76065337186446</v>
      </c>
      <c r="AD30" s="9">
        <f t="shared" ca="1" si="18"/>
        <v>692.24957386502865</v>
      </c>
      <c r="AE30" s="9">
        <f t="shared" ca="1" si="18"/>
        <v>3275.079214029417</v>
      </c>
      <c r="AF30" s="9">
        <f t="shared" ca="1" si="18"/>
        <v>857.90885419380538</v>
      </c>
      <c r="AG30" s="9">
        <f t="shared" ca="1" si="18"/>
        <v>440.73849435819375</v>
      </c>
      <c r="AH30" s="9">
        <f t="shared" ca="1" si="18"/>
        <v>23.568134522582113</v>
      </c>
      <c r="AI30" s="9">
        <f t="shared" ca="1" si="18"/>
        <v>606.39777468697048</v>
      </c>
      <c r="AJ30" s="9">
        <f t="shared" ca="1" si="18"/>
        <v>40.731174249854803</v>
      </c>
      <c r="AK30" s="9">
        <f t="shared" ca="1" si="18"/>
        <v>439.69799324448923</v>
      </c>
      <c r="AL30" s="9">
        <f t="shared" ca="1" si="18"/>
        <v>141.66501092777617</v>
      </c>
      <c r="AM30" s="9">
        <f t="shared" ca="1" si="18"/>
        <v>1990.0655672560042</v>
      </c>
      <c r="AN30" s="9">
        <f t="shared" ca="1" si="18"/>
        <v>1333.3995628848443</v>
      </c>
      <c r="AO30" s="9">
        <f t="shared" ca="1" si="18"/>
        <v>-1.2005330063402653E-10</v>
      </c>
      <c r="AP30" s="9">
        <f t="shared" ca="1" si="18"/>
        <v>-1.2005330063402653E-10</v>
      </c>
      <c r="AQ30" s="9">
        <f t="shared" ca="1" si="18"/>
        <v>-1.2005330063402653E-10</v>
      </c>
      <c r="AR30"/>
      <c r="AS30"/>
      <c r="AT30"/>
      <c r="AU30"/>
      <c r="AV30"/>
      <c r="AW30"/>
      <c r="AX30"/>
      <c r="AY30"/>
      <c r="AZ30"/>
      <c r="BA30"/>
      <c r="BB30"/>
      <c r="BC30"/>
    </row>
    <row r="31" spans="1:55" s="6" customFormat="1" x14ac:dyDescent="0.2">
      <c r="A31" s="67"/>
      <c r="B31" s="67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68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68"/>
      <c r="AN31" s="68"/>
      <c r="AO31" s="68"/>
      <c r="AP31" s="68"/>
      <c r="AQ31" s="68"/>
      <c r="AR31"/>
      <c r="AS31"/>
      <c r="AT31"/>
      <c r="AU31"/>
      <c r="AV31"/>
      <c r="AW31"/>
      <c r="AX31"/>
      <c r="AY31"/>
      <c r="AZ31"/>
      <c r="BA31"/>
      <c r="BB31"/>
      <c r="BC31"/>
    </row>
    <row r="32" spans="1:55" ht="13.5" thickBot="1" x14ac:dyDescent="0.25">
      <c r="A32" s="70" t="s">
        <v>60</v>
      </c>
    </row>
    <row r="33" spans="1:55" s="6" customFormat="1" ht="13.5" thickBot="1" x14ac:dyDescent="0.25">
      <c r="A33" s="7" t="s">
        <v>53</v>
      </c>
      <c r="B33" s="7"/>
      <c r="C33" s="9">
        <v>0</v>
      </c>
      <c r="D33" s="9">
        <f t="shared" ref="D33:H33" si="19">C36</f>
        <v>62.5</v>
      </c>
      <c r="E33" s="9">
        <f t="shared" si="19"/>
        <v>50</v>
      </c>
      <c r="F33" s="9">
        <f t="shared" si="19"/>
        <v>37.5</v>
      </c>
      <c r="G33" s="9">
        <f t="shared" si="19"/>
        <v>25</v>
      </c>
      <c r="H33" s="9">
        <f t="shared" si="19"/>
        <v>124.61139896373055</v>
      </c>
      <c r="I33" s="9">
        <f t="shared" ref="I33:AQ33" ca="1" si="20">H36</f>
        <v>47.488348166695573</v>
      </c>
      <c r="J33" s="9">
        <f t="shared" ca="1" si="20"/>
        <v>120.36529736966054</v>
      </c>
      <c r="K33" s="9">
        <f t="shared" ca="1" si="20"/>
        <v>43.242246572625504</v>
      </c>
      <c r="L33" s="9">
        <f t="shared" ca="1" si="20"/>
        <v>116.11919577559047</v>
      </c>
      <c r="M33" s="9">
        <f t="shared" ca="1" si="20"/>
        <v>38.996144978555435</v>
      </c>
      <c r="N33" s="9">
        <f t="shared" ca="1" si="20"/>
        <v>26.613128145375185</v>
      </c>
      <c r="O33" s="9">
        <f t="shared" ca="1" si="20"/>
        <v>148.69102593335447</v>
      </c>
      <c r="P33" s="9">
        <f t="shared" ca="1" si="20"/>
        <v>110.09750544637609</v>
      </c>
      <c r="Q33" s="9">
        <f t="shared" ca="1" si="20"/>
        <v>99.867123914260446</v>
      </c>
      <c r="R33" s="9">
        <f t="shared" ca="1" si="20"/>
        <v>48.11507210306354</v>
      </c>
      <c r="S33" s="9">
        <f t="shared" ca="1" si="20"/>
        <v>121.21176075223707</v>
      </c>
      <c r="T33" s="9">
        <f t="shared" ca="1" si="20"/>
        <v>95.577323635294874</v>
      </c>
      <c r="U33" s="9">
        <f t="shared" ca="1" si="20"/>
        <v>92.217322608578229</v>
      </c>
      <c r="V33" s="9">
        <f t="shared" ca="1" si="20"/>
        <v>88.857321581861584</v>
      </c>
      <c r="W33" s="9">
        <f t="shared" ca="1" si="20"/>
        <v>85.497320555144938</v>
      </c>
      <c r="X33" s="9">
        <f t="shared" ca="1" si="20"/>
        <v>82.137319528428293</v>
      </c>
      <c r="Y33" s="9">
        <f t="shared" ca="1" si="20"/>
        <v>255.51176826247729</v>
      </c>
      <c r="Z33" s="9">
        <f t="shared" ca="1" si="20"/>
        <v>129.27300035078997</v>
      </c>
      <c r="AA33" s="9">
        <f t="shared" ca="1" si="20"/>
        <v>28.452631293742343</v>
      </c>
      <c r="AB33" s="9">
        <f t="shared" ca="1" si="20"/>
        <v>112.05808410898589</v>
      </c>
      <c r="AC33" s="9">
        <f t="shared" ca="1" si="20"/>
        <v>247.30267079380246</v>
      </c>
      <c r="AD33" s="9">
        <f t="shared" ca="1" si="20"/>
        <v>141.56409800578058</v>
      </c>
      <c r="AE33" s="9">
        <f t="shared" ca="1" si="20"/>
        <v>103.83743607975521</v>
      </c>
      <c r="AF33" s="9">
        <f t="shared" ca="1" si="20"/>
        <v>491.26188210441353</v>
      </c>
      <c r="AG33" s="9">
        <f t="shared" ca="1" si="20"/>
        <v>128.68632812907185</v>
      </c>
      <c r="AH33" s="9">
        <f t="shared" ca="1" si="20"/>
        <v>66.110774153730176</v>
      </c>
      <c r="AI33" s="9">
        <f t="shared" ca="1" si="20"/>
        <v>3.5352201783884993</v>
      </c>
      <c r="AJ33" s="9">
        <f t="shared" ca="1" si="20"/>
        <v>90.959666203046822</v>
      </c>
      <c r="AK33" s="9">
        <f t="shared" ca="1" si="20"/>
        <v>6.1096761374794823</v>
      </c>
      <c r="AL33" s="9">
        <f t="shared" ca="1" si="20"/>
        <v>65.954698986674657</v>
      </c>
      <c r="AM33" s="9">
        <f t="shared" ca="1" si="20"/>
        <v>21.249751639167698</v>
      </c>
      <c r="AN33" s="9">
        <f t="shared" ca="1" si="20"/>
        <v>298.50983508840204</v>
      </c>
      <c r="AO33" s="9">
        <f t="shared" ca="1" si="20"/>
        <v>200.00993443272819</v>
      </c>
      <c r="AP33" s="9">
        <f t="shared" ca="1" si="20"/>
        <v>-1.659827830735594E-11</v>
      </c>
      <c r="AQ33" s="9">
        <f t="shared" ca="1" si="20"/>
        <v>-1.659827830735594E-11</v>
      </c>
      <c r="AR33"/>
      <c r="AS33"/>
      <c r="AT33"/>
      <c r="AU33"/>
      <c r="AV33"/>
      <c r="AW33"/>
      <c r="AX33"/>
      <c r="AY33"/>
      <c r="AZ33"/>
      <c r="BA33"/>
      <c r="BB33"/>
      <c r="BC33"/>
    </row>
    <row r="34" spans="1:55" s="6" customFormat="1" x14ac:dyDescent="0.2">
      <c r="A34" s="69" t="s">
        <v>56</v>
      </c>
      <c r="B34" s="67"/>
      <c r="C34" s="71">
        <f>C28*'0'!$C$29/1000</f>
        <v>375</v>
      </c>
      <c r="D34" s="71">
        <f>D28*'0'!$C$29/1000</f>
        <v>300</v>
      </c>
      <c r="E34" s="71">
        <f>E28*'0'!$C$29/1000</f>
        <v>300</v>
      </c>
      <c r="F34" s="71">
        <f>F28*'0'!$C$29/1000</f>
        <v>300</v>
      </c>
      <c r="G34" s="71">
        <f>G28*'0'!$C$29/1000</f>
        <v>450</v>
      </c>
      <c r="H34" s="71">
        <f>H28*'0'!$C$29/1000</f>
        <v>450</v>
      </c>
      <c r="I34" s="71">
        <f>I28*'0'!$C$29/1000</f>
        <v>600</v>
      </c>
      <c r="J34" s="71">
        <f>J28*'0'!$C$29/1000</f>
        <v>450</v>
      </c>
      <c r="K34" s="71">
        <f>K28*'0'!$C$29/1000</f>
        <v>600</v>
      </c>
      <c r="L34" s="71">
        <f>L28*'0'!$C$29/1000</f>
        <v>450</v>
      </c>
      <c r="M34" s="71">
        <f>M28*'0'!$C$29/1000</f>
        <v>1200</v>
      </c>
      <c r="N34" s="71">
        <f>N28*'0'!$C$29/1000</f>
        <v>4500</v>
      </c>
      <c r="O34" s="71">
        <f>O28*'0'!$C$29/1000</f>
        <v>6900</v>
      </c>
      <c r="P34" s="71">
        <f>P28*'0'!$C$29/1000</f>
        <v>8250</v>
      </c>
      <c r="Q34" s="71">
        <f>Q28*'0'!$C$29/1000</f>
        <v>5400</v>
      </c>
      <c r="R34" s="71">
        <f>R28*'0'!$C$29/1000</f>
        <v>1500</v>
      </c>
      <c r="S34" s="71">
        <f>S28*'0'!$C$29/1000</f>
        <v>450</v>
      </c>
      <c r="T34" s="71">
        <f>T28*'0'!$C$29/1000</f>
        <v>750</v>
      </c>
      <c r="U34" s="71">
        <f>U28*'0'!$C$29/1000</f>
        <v>750</v>
      </c>
      <c r="V34" s="71">
        <f>V28*'0'!$C$29/1000</f>
        <v>750</v>
      </c>
      <c r="W34" s="71">
        <f>W28*'0'!$C$29/1000</f>
        <v>750</v>
      </c>
      <c r="X34" s="71">
        <f>X28*'0'!$C$29/1000</f>
        <v>750</v>
      </c>
      <c r="Y34" s="71">
        <f>Y28*'0'!$C$29/1000</f>
        <v>1200</v>
      </c>
      <c r="Z34" s="71">
        <f>Z28*'0'!$C$29/1000</f>
        <v>4200</v>
      </c>
      <c r="AA34" s="71">
        <f>AA28*'0'!$C$29/1000</f>
        <v>6900</v>
      </c>
      <c r="AB34" s="71">
        <f>AB28*'0'!$C$29/1000</f>
        <v>8250</v>
      </c>
      <c r="AC34" s="71">
        <f>AC28*'0'!$C$29/1000</f>
        <v>5250</v>
      </c>
      <c r="AD34" s="71">
        <f>AD28*'0'!$C$29/1000</f>
        <v>1500</v>
      </c>
      <c r="AE34" s="71">
        <f>AE28*'0'!$C$29/1000</f>
        <v>900</v>
      </c>
      <c r="AF34" s="71">
        <f>AF28*'0'!$C$29/1000</f>
        <v>150</v>
      </c>
      <c r="AG34" s="71">
        <f>AG28*'0'!$C$29/1000</f>
        <v>450</v>
      </c>
      <c r="AH34" s="71">
        <f>AH28*'0'!$C$29/1000</f>
        <v>450</v>
      </c>
      <c r="AI34" s="71">
        <f>AI28*'0'!$C$29/1000</f>
        <v>600</v>
      </c>
      <c r="AJ34" s="71">
        <f>AJ28*'0'!$C$29/1000</f>
        <v>150</v>
      </c>
      <c r="AK34" s="71">
        <f>AK28*'0'!$C$29/1000</f>
        <v>600</v>
      </c>
      <c r="AL34" s="71">
        <f>AL28*'0'!$C$29/1000</f>
        <v>1200</v>
      </c>
      <c r="AM34" s="71">
        <f>AM28*'0'!$C$29/1000</f>
        <v>2250</v>
      </c>
      <c r="AN34" s="71">
        <f>AN28*'0'!$C$29/1000</f>
        <v>2250</v>
      </c>
      <c r="AO34" s="71">
        <f>AO28*'0'!$C$29/1000</f>
        <v>1350</v>
      </c>
      <c r="AP34" s="71">
        <f>AP28*'0'!$C$29/1000</f>
        <v>0</v>
      </c>
      <c r="AQ34" s="71">
        <f>AQ28*'0'!$C$29/1000</f>
        <v>0</v>
      </c>
      <c r="AR34"/>
      <c r="AS34"/>
      <c r="AT34"/>
      <c r="AU34"/>
      <c r="AV34"/>
      <c r="AW34"/>
      <c r="AX34"/>
      <c r="AY34"/>
      <c r="AZ34"/>
      <c r="BA34"/>
      <c r="BB34"/>
      <c r="BC34"/>
    </row>
    <row r="35" spans="1:55" s="6" customFormat="1" ht="13.5" thickBot="1" x14ac:dyDescent="0.25">
      <c r="A35" s="69" t="s">
        <v>57</v>
      </c>
      <c r="B35" s="67"/>
      <c r="C35" s="71">
        <f>C29*'0'!$C$29/1000</f>
        <v>-312.5</v>
      </c>
      <c r="D35" s="71">
        <f>D29*'0'!$C$29/1000</f>
        <v>-312.5</v>
      </c>
      <c r="E35" s="71">
        <f>E29*'0'!$C$29/1000</f>
        <v>-312.5</v>
      </c>
      <c r="F35" s="71">
        <f>F29*'0'!$C$29/1000</f>
        <v>-312.5</v>
      </c>
      <c r="G35" s="71">
        <f>G29*'0'!$C$29/1000</f>
        <v>-350.38860103626945</v>
      </c>
      <c r="H35" s="71">
        <f ca="1">H29*'0'!$C$29/1000</f>
        <v>-527.12305079703503</v>
      </c>
      <c r="I35" s="71">
        <f ca="1">I29*'0'!$C$29/1000</f>
        <v>-527.12305079703503</v>
      </c>
      <c r="J35" s="71">
        <f ca="1">J29*'0'!$C$29/1000</f>
        <v>-527.12305079703503</v>
      </c>
      <c r="K35" s="71">
        <f ca="1">K29*'0'!$C$29/1000</f>
        <v>-527.12305079703503</v>
      </c>
      <c r="L35" s="71">
        <f ca="1">L29*'0'!$C$29/1000</f>
        <v>-527.12305079703503</v>
      </c>
      <c r="M35" s="71">
        <f ca="1">M29*'0'!$C$29/1000</f>
        <v>-1212.3830168331804</v>
      </c>
      <c r="N35" s="71">
        <f ca="1">N29*'0'!$C$29/1000</f>
        <v>-4377.9221022120209</v>
      </c>
      <c r="O35" s="71">
        <f ca="1">O29*'0'!$C$29/1000</f>
        <v>-6938.5935204869784</v>
      </c>
      <c r="P35" s="71">
        <f ca="1">P29*'0'!$C$29/1000</f>
        <v>-8260.2303815321156</v>
      </c>
      <c r="Q35" s="71">
        <f ca="1">Q29*'0'!$C$29/1000</f>
        <v>-5451.7520518111969</v>
      </c>
      <c r="R35" s="71">
        <f ca="1">R29*'0'!$C$29/1000</f>
        <v>-1426.9033113508265</v>
      </c>
      <c r="S35" s="71">
        <f ca="1">S29*'0'!$C$29/1000</f>
        <v>-475.63443711694219</v>
      </c>
      <c r="T35" s="71">
        <f ca="1">T29*'0'!$C$29/1000</f>
        <v>-753.36000102671665</v>
      </c>
      <c r="U35" s="71">
        <f ca="1">U29*'0'!$C$29/1000</f>
        <v>-753.36000102671665</v>
      </c>
      <c r="V35" s="71">
        <f ca="1">V29*'0'!$C$29/1000</f>
        <v>-753.36000102671665</v>
      </c>
      <c r="W35" s="71">
        <f ca="1">W29*'0'!$C$29/1000</f>
        <v>-753.36000102671665</v>
      </c>
      <c r="X35" s="71">
        <f ca="1">X29*'0'!$C$29/1000</f>
        <v>-576.625551265951</v>
      </c>
      <c r="Y35" s="71">
        <f ca="1">Y29*'0'!$C$29/1000</f>
        <v>-1326.2387679116873</v>
      </c>
      <c r="Z35" s="71">
        <f ca="1">Z29*'0'!$C$29/1000</f>
        <v>-4300.8203690570472</v>
      </c>
      <c r="AA35" s="71">
        <f ca="1">AA29*'0'!$C$29/1000</f>
        <v>-6816.3945471847564</v>
      </c>
      <c r="AB35" s="71">
        <f ca="1">AB29*'0'!$C$29/1000</f>
        <v>-8114.7554133151843</v>
      </c>
      <c r="AC35" s="71">
        <f ca="1">AC29*'0'!$C$29/1000</f>
        <v>-5355.7385727880219</v>
      </c>
      <c r="AD35" s="71">
        <f ca="1">AD29*'0'!$C$29/1000</f>
        <v>-1537.7266619260254</v>
      </c>
      <c r="AE35" s="71">
        <f ca="1">AE29*'0'!$C$29/1000</f>
        <v>-512.57555397534168</v>
      </c>
      <c r="AF35" s="71">
        <f ca="1">AF29*'0'!$C$29/1000</f>
        <v>-512.57555397534168</v>
      </c>
      <c r="AG35" s="71">
        <f ca="1">AG29*'0'!$C$29/1000</f>
        <v>-512.57555397534168</v>
      </c>
      <c r="AH35" s="71">
        <f ca="1">AH29*'0'!$C$29/1000</f>
        <v>-512.57555397534168</v>
      </c>
      <c r="AI35" s="71">
        <f ca="1">AI29*'0'!$C$29/1000</f>
        <v>-512.57555397534168</v>
      </c>
      <c r="AJ35" s="71">
        <f ca="1">AJ29*'0'!$C$29/1000</f>
        <v>-234.84999006556734</v>
      </c>
      <c r="AK35" s="71">
        <f ca="1">AK29*'0'!$C$29/1000</f>
        <v>-540.15497715080483</v>
      </c>
      <c r="AL35" s="71">
        <f ca="1">AL29*'0'!$C$29/1000</f>
        <v>-1244.704947347507</v>
      </c>
      <c r="AM35" s="71">
        <f ca="1">AM29*'0'!$C$29/1000</f>
        <v>-1972.7399165507657</v>
      </c>
      <c r="AN35" s="71">
        <f ca="1">AN29*'0'!$C$29/1000</f>
        <v>-2348.4999006556736</v>
      </c>
      <c r="AO35" s="71">
        <f ca="1">AO29*'0'!$C$29/1000</f>
        <v>-1550.0099344327448</v>
      </c>
      <c r="AP35" s="71">
        <f ca="1">AP29*'0'!$C$29/1000</f>
        <v>0</v>
      </c>
      <c r="AQ35" s="71">
        <f ca="1">AQ29*'0'!$C$29/1000</f>
        <v>0</v>
      </c>
      <c r="AR35"/>
      <c r="AS35"/>
      <c r="AT35"/>
      <c r="AU35"/>
      <c r="AV35"/>
      <c r="AW35"/>
      <c r="AX35"/>
      <c r="AY35"/>
      <c r="AZ35"/>
      <c r="BA35"/>
      <c r="BB35"/>
      <c r="BC35"/>
    </row>
    <row r="36" spans="1:55" s="6" customFormat="1" ht="13.5" thickBot="1" x14ac:dyDescent="0.25">
      <c r="A36" s="7" t="s">
        <v>55</v>
      </c>
      <c r="B36" s="7"/>
      <c r="C36" s="9">
        <f>SUM(C33:C35)</f>
        <v>62.5</v>
      </c>
      <c r="D36" s="9">
        <f>SUM(D33:D35)</f>
        <v>50</v>
      </c>
      <c r="E36" s="9">
        <f>SUM(E33:E35)</f>
        <v>37.5</v>
      </c>
      <c r="F36" s="9">
        <f>SUM(F33:F35)</f>
        <v>25</v>
      </c>
      <c r="G36" s="9">
        <f>SUM(G33:G35)</f>
        <v>124.61139896373055</v>
      </c>
      <c r="H36" s="9">
        <f t="shared" ref="H36:AQ36" ca="1" si="21">SUM(H33:H35)</f>
        <v>47.488348166695573</v>
      </c>
      <c r="I36" s="9">
        <f t="shared" ca="1" si="21"/>
        <v>120.36529736966054</v>
      </c>
      <c r="J36" s="9">
        <f t="shared" ca="1" si="21"/>
        <v>43.242246572625504</v>
      </c>
      <c r="K36" s="9">
        <f t="shared" ca="1" si="21"/>
        <v>116.11919577559047</v>
      </c>
      <c r="L36" s="9">
        <f t="shared" ca="1" si="21"/>
        <v>38.996144978555435</v>
      </c>
      <c r="M36" s="9">
        <f t="shared" ca="1" si="21"/>
        <v>26.613128145375185</v>
      </c>
      <c r="N36" s="9">
        <f t="shared" ca="1" si="21"/>
        <v>148.69102593335447</v>
      </c>
      <c r="O36" s="9">
        <f t="shared" ca="1" si="21"/>
        <v>110.09750544637609</v>
      </c>
      <c r="P36" s="9">
        <f t="shared" ca="1" si="21"/>
        <v>99.867123914260446</v>
      </c>
      <c r="Q36" s="9">
        <f t="shared" ca="1" si="21"/>
        <v>48.11507210306354</v>
      </c>
      <c r="R36" s="9">
        <f t="shared" ca="1" si="21"/>
        <v>121.21176075223707</v>
      </c>
      <c r="S36" s="9">
        <f t="shared" ca="1" si="21"/>
        <v>95.577323635294874</v>
      </c>
      <c r="T36" s="9">
        <f t="shared" ca="1" si="21"/>
        <v>92.217322608578229</v>
      </c>
      <c r="U36" s="9">
        <f t="shared" ca="1" si="21"/>
        <v>88.857321581861584</v>
      </c>
      <c r="V36" s="9">
        <f t="shared" ca="1" si="21"/>
        <v>85.497320555144938</v>
      </c>
      <c r="W36" s="9">
        <f t="shared" ca="1" si="21"/>
        <v>82.137319528428293</v>
      </c>
      <c r="X36" s="9">
        <f t="shared" ca="1" si="21"/>
        <v>255.51176826247729</v>
      </c>
      <c r="Y36" s="9">
        <f t="shared" ca="1" si="21"/>
        <v>129.27300035078997</v>
      </c>
      <c r="Z36" s="9">
        <f t="shared" ca="1" si="21"/>
        <v>28.452631293742343</v>
      </c>
      <c r="AA36" s="9">
        <f t="shared" ca="1" si="21"/>
        <v>112.05808410898589</v>
      </c>
      <c r="AB36" s="9">
        <f t="shared" ca="1" si="21"/>
        <v>247.30267079380246</v>
      </c>
      <c r="AC36" s="9">
        <f t="shared" ca="1" si="21"/>
        <v>141.56409800578058</v>
      </c>
      <c r="AD36" s="9">
        <f t="shared" ca="1" si="21"/>
        <v>103.83743607975521</v>
      </c>
      <c r="AE36" s="9">
        <f t="shared" ca="1" si="21"/>
        <v>491.26188210441353</v>
      </c>
      <c r="AF36" s="9">
        <f t="shared" ca="1" si="21"/>
        <v>128.68632812907185</v>
      </c>
      <c r="AG36" s="9">
        <f t="shared" ca="1" si="21"/>
        <v>66.110774153730176</v>
      </c>
      <c r="AH36" s="9">
        <f t="shared" ca="1" si="21"/>
        <v>3.5352201783884993</v>
      </c>
      <c r="AI36" s="9">
        <f t="shared" ca="1" si="21"/>
        <v>90.959666203046822</v>
      </c>
      <c r="AJ36" s="9">
        <f t="shared" ca="1" si="21"/>
        <v>6.1096761374794823</v>
      </c>
      <c r="AK36" s="9">
        <f t="shared" ca="1" si="21"/>
        <v>65.954698986674657</v>
      </c>
      <c r="AL36" s="9">
        <f t="shared" ca="1" si="21"/>
        <v>21.249751639167698</v>
      </c>
      <c r="AM36" s="9">
        <f t="shared" ca="1" si="21"/>
        <v>298.50983508840204</v>
      </c>
      <c r="AN36" s="9">
        <f t="shared" ca="1" si="21"/>
        <v>200.00993443272819</v>
      </c>
      <c r="AO36" s="9">
        <f t="shared" ca="1" si="21"/>
        <v>-1.659827830735594E-11</v>
      </c>
      <c r="AP36" s="9">
        <f t="shared" ca="1" si="21"/>
        <v>-1.659827830735594E-11</v>
      </c>
      <c r="AQ36" s="9">
        <f t="shared" ca="1" si="21"/>
        <v>-1.659827830735594E-11</v>
      </c>
      <c r="AR36"/>
      <c r="AS36"/>
      <c r="AT36"/>
      <c r="AU36"/>
      <c r="AV36"/>
      <c r="AW36"/>
      <c r="AX36"/>
      <c r="AY36"/>
      <c r="AZ36"/>
      <c r="BA36"/>
      <c r="BB36"/>
      <c r="BC36"/>
    </row>
    <row r="37" spans="1:55" s="6" customFormat="1" x14ac:dyDescent="0.2">
      <c r="A37" s="67"/>
      <c r="B37" s="67"/>
      <c r="C37" s="68"/>
      <c r="D37" s="68"/>
      <c r="E37" s="68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  <c r="AP37" s="68"/>
      <c r="AQ37" s="68"/>
      <c r="AR37"/>
      <c r="AS37"/>
      <c r="AT37"/>
      <c r="AU37"/>
      <c r="AV37"/>
      <c r="AW37"/>
      <c r="AX37"/>
      <c r="AY37"/>
      <c r="AZ37"/>
      <c r="BA37"/>
      <c r="BB37"/>
      <c r="BC37"/>
    </row>
    <row r="38" spans="1:55" s="6" customFormat="1" ht="13.5" thickBot="1" x14ac:dyDescent="0.25">
      <c r="A38" s="69" t="s">
        <v>51</v>
      </c>
      <c r="B38" s="67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68"/>
      <c r="Y38" s="68"/>
      <c r="Z38" s="68"/>
      <c r="AA38" s="68"/>
      <c r="AB38" s="68"/>
      <c r="AC38" s="68"/>
      <c r="AD38" s="68"/>
      <c r="AE38" s="68"/>
      <c r="AF38" s="68"/>
      <c r="AG38" s="68"/>
      <c r="AH38" s="68"/>
      <c r="AI38" s="68"/>
      <c r="AJ38" s="68"/>
      <c r="AK38" s="68"/>
      <c r="AL38" s="68"/>
      <c r="AM38" s="68"/>
      <c r="AN38" s="68"/>
      <c r="AO38" s="68"/>
      <c r="AP38" s="68"/>
      <c r="AQ38" s="68"/>
      <c r="AR38"/>
      <c r="AS38"/>
      <c r="AT38"/>
      <c r="AU38"/>
      <c r="AV38"/>
      <c r="AW38"/>
      <c r="AX38"/>
      <c r="AY38"/>
      <c r="AZ38"/>
      <c r="BA38"/>
      <c r="BB38"/>
      <c r="BC38"/>
    </row>
    <row r="39" spans="1:55" s="6" customFormat="1" ht="13.5" thickBot="1" x14ac:dyDescent="0.25">
      <c r="A39" s="7" t="s">
        <v>53</v>
      </c>
      <c r="B39" s="7"/>
      <c r="C39" s="9">
        <v>0</v>
      </c>
      <c r="D39" s="9">
        <f t="shared" ref="D39:H39" si="22">C44</f>
        <v>2458.3333333333335</v>
      </c>
      <c r="E39" s="9">
        <f t="shared" si="22"/>
        <v>4916.666666666667</v>
      </c>
      <c r="F39" s="9">
        <f t="shared" si="22"/>
        <v>7375.0000000000009</v>
      </c>
      <c r="G39" s="9">
        <f t="shared" si="22"/>
        <v>9833.3333333333358</v>
      </c>
      <c r="H39" s="9">
        <f t="shared" si="22"/>
        <v>12169.257340241798</v>
      </c>
      <c r="I39" s="9">
        <f t="shared" ref="I39:AP39" ca="1" si="23">H44</f>
        <v>15683.411012222032</v>
      </c>
      <c r="J39" s="9">
        <f t="shared" ca="1" si="23"/>
        <v>19470.291956929534</v>
      </c>
      <c r="K39" s="9">
        <f t="shared" ca="1" si="23"/>
        <v>23257.172901637037</v>
      </c>
      <c r="L39" s="9">
        <f t="shared" ca="1" si="23"/>
        <v>27044.053846344541</v>
      </c>
      <c r="M39" s="9">
        <f t="shared" ca="1" si="23"/>
        <v>30558.207518324773</v>
      </c>
      <c r="N39" s="9">
        <f t="shared" ca="1" si="23"/>
        <v>38640.760963879307</v>
      </c>
      <c r="O39" s="9">
        <f t="shared" ca="1" si="23"/>
        <v>67826.908311959443</v>
      </c>
      <c r="P39" s="9">
        <f t="shared" ca="1" si="23"/>
        <v>114629.65299399385</v>
      </c>
      <c r="Q39" s="9">
        <f t="shared" ca="1" si="23"/>
        <v>145243.31008299583</v>
      </c>
      <c r="R39" s="9">
        <f t="shared" ca="1" si="23"/>
        <v>157133.77830719171</v>
      </c>
      <c r="S39" s="9">
        <f t="shared" ca="1" si="23"/>
        <v>142191.92159498512</v>
      </c>
      <c r="T39" s="9">
        <f t="shared" ca="1" si="23"/>
        <v>120362.8178424314</v>
      </c>
      <c r="U39" s="9">
        <f t="shared" ca="1" si="23"/>
        <v>125385.21784927617</v>
      </c>
      <c r="V39" s="9">
        <f t="shared" ca="1" si="23"/>
        <v>130836.18928469237</v>
      </c>
      <c r="W39" s="9">
        <f t="shared" ca="1" si="23"/>
        <v>118105.3425382904</v>
      </c>
      <c r="X39" s="9">
        <f t="shared" ca="1" si="23"/>
        <v>105374.49579188842</v>
      </c>
      <c r="Y39" s="9">
        <f t="shared" ca="1" si="23"/>
        <v>91036.847951843243</v>
      </c>
      <c r="Z39" s="9">
        <f t="shared" ca="1" si="23"/>
        <v>99878.439737921159</v>
      </c>
      <c r="AA39" s="9">
        <f t="shared" ca="1" si="23"/>
        <v>128550.57553163481</v>
      </c>
      <c r="AB39" s="9">
        <f t="shared" ca="1" si="23"/>
        <v>174421.77727477127</v>
      </c>
      <c r="AC39" s="9">
        <f t="shared" ca="1" si="23"/>
        <v>192585.08176180755</v>
      </c>
      <c r="AD39" s="9">
        <f t="shared" ca="1" si="23"/>
        <v>192354.94064532942</v>
      </c>
      <c r="AE39" s="9">
        <f t="shared" ca="1" si="23"/>
        <v>166671.38678977132</v>
      </c>
      <c r="AF39" s="9">
        <f t="shared" ca="1" si="23"/>
        <v>133724.92078597058</v>
      </c>
      <c r="AG39" s="9">
        <f t="shared" ca="1" si="23"/>
        <v>137142.09114580619</v>
      </c>
      <c r="AH39" s="9">
        <f t="shared" ca="1" si="23"/>
        <v>140559.2615056418</v>
      </c>
      <c r="AI39" s="9">
        <f t="shared" ca="1" si="23"/>
        <v>115405.00329404883</v>
      </c>
      <c r="AJ39" s="9">
        <f t="shared" ca="1" si="23"/>
        <v>90250.745082455862</v>
      </c>
      <c r="AK39" s="9">
        <f t="shared" ca="1" si="23"/>
        <v>63244.983111464411</v>
      </c>
      <c r="AL39" s="9">
        <f t="shared" ca="1" si="23"/>
        <v>66846.01629246978</v>
      </c>
      <c r="AM39" s="9">
        <f t="shared" ca="1" si="23"/>
        <v>75144.049274786492</v>
      </c>
      <c r="AN39" s="9">
        <f t="shared" ca="1" si="23"/>
        <v>88295.648718458266</v>
      </c>
      <c r="AO39" s="9">
        <f t="shared" ca="1" si="23"/>
        <v>75380.88615140086</v>
      </c>
      <c r="AP39" s="9">
        <f t="shared" ca="1" si="23"/>
        <v>57142.857142857254</v>
      </c>
      <c r="AQ39" s="9">
        <f ca="1">AP44</f>
        <v>28571.428571428682</v>
      </c>
      <c r="AR39"/>
      <c r="AS39"/>
      <c r="AT39"/>
      <c r="AU39"/>
      <c r="AV39"/>
      <c r="AW39"/>
      <c r="AX39"/>
      <c r="AY39"/>
      <c r="AZ39"/>
      <c r="BA39"/>
      <c r="BB39"/>
      <c r="BC39"/>
    </row>
    <row r="40" spans="1:55" s="6" customFormat="1" x14ac:dyDescent="0.2">
      <c r="A40" s="69" t="s">
        <v>52</v>
      </c>
      <c r="B40" s="67"/>
      <c r="C40" s="71">
        <f t="shared" ref="C40:AQ40" si="24">C11</f>
        <v>416.66666666666663</v>
      </c>
      <c r="D40" s="71">
        <f t="shared" si="24"/>
        <v>416.66666666666663</v>
      </c>
      <c r="E40" s="71">
        <f t="shared" si="24"/>
        <v>416.66666666666663</v>
      </c>
      <c r="F40" s="71">
        <f t="shared" si="24"/>
        <v>416.66666666666663</v>
      </c>
      <c r="G40" s="71">
        <f t="shared" si="24"/>
        <v>0</v>
      </c>
      <c r="H40" s="71">
        <f t="shared" si="24"/>
        <v>0</v>
      </c>
      <c r="I40" s="71">
        <f t="shared" si="24"/>
        <v>303.030303030303</v>
      </c>
      <c r="J40" s="71">
        <f t="shared" si="24"/>
        <v>303.030303030303</v>
      </c>
      <c r="K40" s="71">
        <f t="shared" si="24"/>
        <v>303.030303030303</v>
      </c>
      <c r="L40" s="71">
        <f t="shared" si="24"/>
        <v>0</v>
      </c>
      <c r="M40" s="71">
        <f t="shared" si="24"/>
        <v>0</v>
      </c>
      <c r="N40" s="71">
        <f t="shared" si="24"/>
        <v>0</v>
      </c>
      <c r="O40" s="71">
        <f t="shared" si="24"/>
        <v>606.06060606060612</v>
      </c>
      <c r="P40" s="71">
        <f t="shared" si="24"/>
        <v>606.06060606060612</v>
      </c>
      <c r="Q40" s="71">
        <f t="shared" si="24"/>
        <v>606.06060606060612</v>
      </c>
      <c r="R40" s="71">
        <f t="shared" si="24"/>
        <v>606.06060606060612</v>
      </c>
      <c r="S40" s="71">
        <f t="shared" si="24"/>
        <v>0</v>
      </c>
      <c r="T40" s="71">
        <f t="shared" si="24"/>
        <v>0</v>
      </c>
      <c r="U40" s="71">
        <f t="shared" si="24"/>
        <v>476.19047619047615</v>
      </c>
      <c r="V40" s="71">
        <f t="shared" si="24"/>
        <v>476.19047619047615</v>
      </c>
      <c r="W40" s="71">
        <f t="shared" si="24"/>
        <v>476.19047619047615</v>
      </c>
      <c r="X40" s="71">
        <f t="shared" si="24"/>
        <v>0</v>
      </c>
      <c r="Y40" s="71">
        <f t="shared" si="24"/>
        <v>0</v>
      </c>
      <c r="Z40" s="71">
        <f t="shared" si="24"/>
        <v>0</v>
      </c>
      <c r="AA40" s="71">
        <f t="shared" si="24"/>
        <v>476.19047619047615</v>
      </c>
      <c r="AB40" s="71">
        <f t="shared" si="24"/>
        <v>476.19047619047615</v>
      </c>
      <c r="AC40" s="71">
        <f t="shared" si="24"/>
        <v>476.19047619047615</v>
      </c>
      <c r="AD40" s="71">
        <f t="shared" si="24"/>
        <v>476.19047619047615</v>
      </c>
      <c r="AE40" s="71">
        <f t="shared" si="24"/>
        <v>0</v>
      </c>
      <c r="AF40" s="71">
        <f t="shared" si="24"/>
        <v>0</v>
      </c>
      <c r="AG40" s="71">
        <f t="shared" si="24"/>
        <v>0</v>
      </c>
      <c r="AH40" s="71">
        <f t="shared" si="24"/>
        <v>0</v>
      </c>
      <c r="AI40" s="71">
        <f t="shared" si="24"/>
        <v>0</v>
      </c>
      <c r="AJ40" s="71">
        <f t="shared" si="24"/>
        <v>0</v>
      </c>
      <c r="AK40" s="71">
        <f t="shared" si="24"/>
        <v>0</v>
      </c>
      <c r="AL40" s="71">
        <f t="shared" si="24"/>
        <v>0</v>
      </c>
      <c r="AM40" s="71">
        <f t="shared" si="24"/>
        <v>0</v>
      </c>
      <c r="AN40" s="71">
        <f t="shared" si="24"/>
        <v>0</v>
      </c>
      <c r="AO40" s="71">
        <f t="shared" si="24"/>
        <v>0</v>
      </c>
      <c r="AP40" s="71">
        <f t="shared" si="24"/>
        <v>0</v>
      </c>
      <c r="AQ40" s="71">
        <f t="shared" si="24"/>
        <v>0</v>
      </c>
      <c r="AR40"/>
      <c r="AS40"/>
      <c r="AT40"/>
      <c r="AU40"/>
      <c r="AV40"/>
      <c r="AW40"/>
      <c r="AX40"/>
      <c r="AY40"/>
      <c r="AZ40"/>
      <c r="BA40"/>
      <c r="BB40"/>
      <c r="BC40"/>
    </row>
    <row r="41" spans="1:55" s="6" customFormat="1" x14ac:dyDescent="0.2">
      <c r="A41" s="69" t="s">
        <v>198</v>
      </c>
      <c r="B41" s="67"/>
      <c r="C41" s="71">
        <f>C16</f>
        <v>2083.3333333333335</v>
      </c>
      <c r="D41" s="71">
        <f>D16</f>
        <v>2083.3333333333335</v>
      </c>
      <c r="E41" s="71">
        <f>E16</f>
        <v>2083.3333333333335</v>
      </c>
      <c r="F41" s="71">
        <f>F16</f>
        <v>2083.3333333333335</v>
      </c>
      <c r="G41" s="71">
        <f>G16</f>
        <v>2335.9240069084631</v>
      </c>
      <c r="H41" s="71">
        <f t="shared" ref="H41:AQ41" ca="1" si="25">H16</f>
        <v>3514.1536719802334</v>
      </c>
      <c r="I41" s="71">
        <f t="shared" ca="1" si="25"/>
        <v>3514.1536719802334</v>
      </c>
      <c r="J41" s="71">
        <f t="shared" ca="1" si="25"/>
        <v>3514.1536719802334</v>
      </c>
      <c r="K41" s="71">
        <f t="shared" ca="1" si="25"/>
        <v>3514.1536719802334</v>
      </c>
      <c r="L41" s="71">
        <f t="shared" ca="1" si="25"/>
        <v>3514.1536719802334</v>
      </c>
      <c r="M41" s="71">
        <f t="shared" ca="1" si="25"/>
        <v>8082.5534455545348</v>
      </c>
      <c r="N41" s="71">
        <f t="shared" ca="1" si="25"/>
        <v>29186.147348080143</v>
      </c>
      <c r="O41" s="71">
        <f t="shared" ca="1" si="25"/>
        <v>46257.290136579861</v>
      </c>
      <c r="P41" s="71">
        <f t="shared" ca="1" si="25"/>
        <v>55068.202543547435</v>
      </c>
      <c r="Q41" s="71">
        <f t="shared" ca="1" si="25"/>
        <v>36345.013678741314</v>
      </c>
      <c r="R41" s="71">
        <f t="shared" ca="1" si="25"/>
        <v>9512.6887423388434</v>
      </c>
      <c r="S41" s="71">
        <f t="shared" ca="1" si="25"/>
        <v>3170.8962474462814</v>
      </c>
      <c r="T41" s="71">
        <f t="shared" ca="1" si="25"/>
        <v>5022.4000068447776</v>
      </c>
      <c r="U41" s="71">
        <f t="shared" ca="1" si="25"/>
        <v>5022.4000068447776</v>
      </c>
      <c r="V41" s="71">
        <f t="shared" ca="1" si="25"/>
        <v>5022.4000068447776</v>
      </c>
      <c r="W41" s="71">
        <f t="shared" ca="1" si="25"/>
        <v>5022.4000068447776</v>
      </c>
      <c r="X41" s="71">
        <f t="shared" ca="1" si="25"/>
        <v>3844.1703417730068</v>
      </c>
      <c r="Y41" s="71">
        <f t="shared" ca="1" si="25"/>
        <v>8841.5917860779155</v>
      </c>
      <c r="Z41" s="71">
        <f t="shared" ca="1" si="25"/>
        <v>28672.135793713649</v>
      </c>
      <c r="AA41" s="71">
        <f t="shared" ca="1" si="25"/>
        <v>45442.630314565038</v>
      </c>
      <c r="AB41" s="71">
        <f t="shared" ca="1" si="25"/>
        <v>54098.369422101227</v>
      </c>
      <c r="AC41" s="71">
        <f t="shared" ca="1" si="25"/>
        <v>35704.923818586809</v>
      </c>
      <c r="AD41" s="71">
        <f t="shared" ca="1" si="25"/>
        <v>10251.511079506836</v>
      </c>
      <c r="AE41" s="71">
        <f t="shared" ca="1" si="25"/>
        <v>3417.1703598356116</v>
      </c>
      <c r="AF41" s="71">
        <f t="shared" ca="1" si="25"/>
        <v>3417.1703598356116</v>
      </c>
      <c r="AG41" s="71">
        <f t="shared" ca="1" si="25"/>
        <v>3417.1703598356116</v>
      </c>
      <c r="AH41" s="71">
        <f t="shared" ca="1" si="25"/>
        <v>3417.1703598356116</v>
      </c>
      <c r="AI41" s="71">
        <f t="shared" ca="1" si="25"/>
        <v>3417.1703598356116</v>
      </c>
      <c r="AJ41" s="71">
        <f t="shared" ca="1" si="25"/>
        <v>1565.6666004371157</v>
      </c>
      <c r="AK41" s="71">
        <f t="shared" ca="1" si="25"/>
        <v>3601.0331810053658</v>
      </c>
      <c r="AL41" s="71">
        <f t="shared" ca="1" si="25"/>
        <v>8298.0329823167122</v>
      </c>
      <c r="AM41" s="71">
        <f t="shared" ca="1" si="25"/>
        <v>13151.599443671772</v>
      </c>
      <c r="AN41" s="71">
        <f t="shared" ca="1" si="25"/>
        <v>15656.666004371158</v>
      </c>
      <c r="AO41" s="71">
        <f t="shared" ca="1" si="25"/>
        <v>10333.399562884964</v>
      </c>
      <c r="AP41" s="71">
        <f t="shared" ca="1" si="25"/>
        <v>0</v>
      </c>
      <c r="AQ41" s="71">
        <f t="shared" ca="1" si="25"/>
        <v>0</v>
      </c>
      <c r="AR41"/>
      <c r="AS41"/>
      <c r="AT41"/>
      <c r="AU41"/>
      <c r="AV41"/>
      <c r="AW41"/>
      <c r="AX41"/>
      <c r="AY41"/>
      <c r="AZ41"/>
      <c r="BA41"/>
      <c r="BB41"/>
      <c r="BC41"/>
    </row>
    <row r="42" spans="1:55" s="6" customFormat="1" x14ac:dyDescent="0.2">
      <c r="A42" s="69" t="s">
        <v>58</v>
      </c>
      <c r="B42" s="67"/>
      <c r="C42" s="71">
        <f t="shared" ref="C42:AQ42" si="26">-C5</f>
        <v>0</v>
      </c>
      <c r="D42" s="71">
        <f t="shared" si="26"/>
        <v>0</v>
      </c>
      <c r="E42" s="71">
        <f t="shared" si="26"/>
        <v>0</v>
      </c>
      <c r="F42" s="71">
        <f t="shared" si="26"/>
        <v>0</v>
      </c>
      <c r="G42" s="71">
        <f t="shared" si="26"/>
        <v>0</v>
      </c>
      <c r="H42" s="71">
        <f t="shared" si="26"/>
        <v>0</v>
      </c>
      <c r="I42" s="71">
        <f t="shared" si="26"/>
        <v>0</v>
      </c>
      <c r="J42" s="71">
        <f t="shared" si="26"/>
        <v>0</v>
      </c>
      <c r="K42" s="71">
        <f t="shared" si="26"/>
        <v>0</v>
      </c>
      <c r="L42" s="71">
        <f t="shared" si="26"/>
        <v>0</v>
      </c>
      <c r="M42" s="71">
        <f t="shared" si="26"/>
        <v>0</v>
      </c>
      <c r="N42" s="71">
        <f t="shared" si="26"/>
        <v>0</v>
      </c>
      <c r="O42" s="71">
        <f t="shared" si="26"/>
        <v>0</v>
      </c>
      <c r="P42" s="71">
        <f t="shared" si="26"/>
        <v>-25000</v>
      </c>
      <c r="Q42" s="71">
        <f t="shared" si="26"/>
        <v>-25000</v>
      </c>
      <c r="R42" s="71">
        <f t="shared" si="26"/>
        <v>-25000</v>
      </c>
      <c r="S42" s="71">
        <f t="shared" si="26"/>
        <v>-25000</v>
      </c>
      <c r="T42" s="71">
        <f t="shared" si="26"/>
        <v>0</v>
      </c>
      <c r="U42" s="71">
        <f t="shared" si="26"/>
        <v>0</v>
      </c>
      <c r="V42" s="71">
        <f t="shared" si="26"/>
        <v>-18181.81818181818</v>
      </c>
      <c r="W42" s="71">
        <f t="shared" si="26"/>
        <v>-18181.81818181818</v>
      </c>
      <c r="X42" s="71">
        <f t="shared" si="26"/>
        <v>-18181.81818181818</v>
      </c>
      <c r="Y42" s="71">
        <f t="shared" si="26"/>
        <v>0</v>
      </c>
      <c r="Z42" s="71">
        <f t="shared" si="26"/>
        <v>0</v>
      </c>
      <c r="AA42" s="71">
        <f t="shared" si="26"/>
        <v>0</v>
      </c>
      <c r="AB42" s="71">
        <f t="shared" si="26"/>
        <v>-36363.636363636368</v>
      </c>
      <c r="AC42" s="71">
        <f t="shared" si="26"/>
        <v>-36363.636363636368</v>
      </c>
      <c r="AD42" s="71">
        <f t="shared" si="26"/>
        <v>-36363.636363636368</v>
      </c>
      <c r="AE42" s="71">
        <f t="shared" si="26"/>
        <v>-36363.636363636368</v>
      </c>
      <c r="AF42" s="71">
        <f t="shared" si="26"/>
        <v>0</v>
      </c>
      <c r="AG42" s="71">
        <f t="shared" si="26"/>
        <v>0</v>
      </c>
      <c r="AH42" s="71">
        <f t="shared" si="26"/>
        <v>-28571.428571428572</v>
      </c>
      <c r="AI42" s="71">
        <f t="shared" si="26"/>
        <v>-28571.428571428572</v>
      </c>
      <c r="AJ42" s="71">
        <f t="shared" si="26"/>
        <v>-28571.428571428572</v>
      </c>
      <c r="AK42" s="71">
        <f t="shared" si="26"/>
        <v>0</v>
      </c>
      <c r="AL42" s="71">
        <f t="shared" si="26"/>
        <v>0</v>
      </c>
      <c r="AM42" s="71">
        <f t="shared" si="26"/>
        <v>0</v>
      </c>
      <c r="AN42" s="71">
        <f t="shared" si="26"/>
        <v>-28571.428571428572</v>
      </c>
      <c r="AO42" s="71">
        <f t="shared" si="26"/>
        <v>-28571.428571428572</v>
      </c>
      <c r="AP42" s="71">
        <f t="shared" si="26"/>
        <v>-28571.428571428572</v>
      </c>
      <c r="AQ42" s="71">
        <f t="shared" si="26"/>
        <v>-28571.428571428572</v>
      </c>
      <c r="AR42"/>
      <c r="AS42"/>
      <c r="AT42"/>
      <c r="AU42"/>
      <c r="AV42"/>
      <c r="AW42"/>
      <c r="AX42"/>
      <c r="AY42"/>
      <c r="AZ42"/>
      <c r="BA42"/>
      <c r="BB42"/>
      <c r="BC42"/>
    </row>
    <row r="43" spans="1:55" s="6" customFormat="1" ht="13.5" thickBot="1" x14ac:dyDescent="0.25">
      <c r="A43" s="69" t="s">
        <v>59</v>
      </c>
      <c r="B43" s="67"/>
      <c r="C43" s="71">
        <f>-C40*(1-'0'!$C$33)</f>
        <v>-41.66666666666665</v>
      </c>
      <c r="D43" s="71">
        <f>-D40*(1-'0'!$C$33)</f>
        <v>-41.66666666666665</v>
      </c>
      <c r="E43" s="71">
        <f>-E40*(1-'0'!$C$33)</f>
        <v>-41.66666666666665</v>
      </c>
      <c r="F43" s="71">
        <f>-F40*(1-'0'!$C$33)</f>
        <v>-41.66666666666665</v>
      </c>
      <c r="G43" s="71">
        <f>-G40*(1-'0'!$C$33)</f>
        <v>0</v>
      </c>
      <c r="H43" s="71">
        <f>-H40*(1-'0'!$C$33)</f>
        <v>0</v>
      </c>
      <c r="I43" s="71">
        <f>-I40*(1-'0'!$C$33)</f>
        <v>-30.303030303030294</v>
      </c>
      <c r="J43" s="71">
        <f>-J40*(1-'0'!$C$33)</f>
        <v>-30.303030303030294</v>
      </c>
      <c r="K43" s="71">
        <f>-K40*(1-'0'!$C$33)</f>
        <v>-30.303030303030294</v>
      </c>
      <c r="L43" s="71">
        <f>-L40*(1-'0'!$C$33)</f>
        <v>0</v>
      </c>
      <c r="M43" s="71">
        <f>-M40*(1-'0'!$C$33)</f>
        <v>0</v>
      </c>
      <c r="N43" s="71">
        <f>-N40*(1-'0'!$C$33)</f>
        <v>0</v>
      </c>
      <c r="O43" s="71">
        <f>-O40*(1-'0'!$C$33)</f>
        <v>-60.606060606060602</v>
      </c>
      <c r="P43" s="71">
        <f>-P40*(1-'0'!$C$33)</f>
        <v>-60.606060606060602</v>
      </c>
      <c r="Q43" s="71">
        <f>-Q40*(1-'0'!$C$33)</f>
        <v>-60.606060606060602</v>
      </c>
      <c r="R43" s="71">
        <f>-R40*(1-'0'!$C$33)</f>
        <v>-60.606060606060602</v>
      </c>
      <c r="S43" s="71">
        <f>-S40*(1-'0'!$C$33)</f>
        <v>0</v>
      </c>
      <c r="T43" s="71">
        <f>-T40*(1-'0'!$C$33)</f>
        <v>0</v>
      </c>
      <c r="U43" s="71">
        <f>-U40*(1-'0'!$C$33)</f>
        <v>-47.619047619047606</v>
      </c>
      <c r="V43" s="71">
        <f>-V40*(1-'0'!$C$33)</f>
        <v>-47.619047619047606</v>
      </c>
      <c r="W43" s="71">
        <f>-W40*(1-'0'!$C$33)</f>
        <v>-47.619047619047606</v>
      </c>
      <c r="X43" s="71">
        <f>-X40*(1-'0'!$C$33)</f>
        <v>0</v>
      </c>
      <c r="Y43" s="71">
        <f>-Y40*(1-'0'!$C$33)</f>
        <v>0</v>
      </c>
      <c r="Z43" s="71">
        <f>-Z40*(1-'0'!$C$33)</f>
        <v>0</v>
      </c>
      <c r="AA43" s="71">
        <f>-AA40*(1-'0'!$C$33)</f>
        <v>-47.619047619047606</v>
      </c>
      <c r="AB43" s="71">
        <f>-AB40*(1-'0'!$C$33)</f>
        <v>-47.619047619047606</v>
      </c>
      <c r="AC43" s="71">
        <f>-AC40*(1-'0'!$C$33)</f>
        <v>-47.619047619047606</v>
      </c>
      <c r="AD43" s="71">
        <f>-AD40*(1-'0'!$C$33)</f>
        <v>-47.619047619047606</v>
      </c>
      <c r="AE43" s="71">
        <f>-AE40*(1-'0'!$C$33)</f>
        <v>0</v>
      </c>
      <c r="AF43" s="71">
        <f>-AF40*(1-'0'!$C$33)</f>
        <v>0</v>
      </c>
      <c r="AG43" s="71">
        <f>-AG40*(1-'0'!$C$33)</f>
        <v>0</v>
      </c>
      <c r="AH43" s="71">
        <f>-AH40*(1-'0'!$C$33)</f>
        <v>0</v>
      </c>
      <c r="AI43" s="71">
        <f>-AI40*(1-'0'!$C$33)</f>
        <v>0</v>
      </c>
      <c r="AJ43" s="71">
        <f>-AJ40*(1-'0'!$C$33)</f>
        <v>0</v>
      </c>
      <c r="AK43" s="71">
        <f>-AK40*(1-'0'!$C$33)</f>
        <v>0</v>
      </c>
      <c r="AL43" s="71">
        <f>-AL40*(1-'0'!$C$33)</f>
        <v>0</v>
      </c>
      <c r="AM43" s="71">
        <f>-AM40*(1-'0'!$C$33)</f>
        <v>0</v>
      </c>
      <c r="AN43" s="71">
        <f>-AN40*(1-'0'!$C$33)</f>
        <v>0</v>
      </c>
      <c r="AO43" s="71">
        <f>-AO40*(1-'0'!$C$33)</f>
        <v>0</v>
      </c>
      <c r="AP43" s="71">
        <f>-AP40*(1-'0'!$C$33)</f>
        <v>0</v>
      </c>
      <c r="AQ43" s="71">
        <f>-AQ40*(1-'0'!$C$33)</f>
        <v>0</v>
      </c>
      <c r="AR43"/>
      <c r="AS43"/>
      <c r="AT43"/>
      <c r="AU43"/>
      <c r="AV43"/>
      <c r="AW43"/>
      <c r="AX43"/>
      <c r="AY43"/>
      <c r="AZ43"/>
      <c r="BA43"/>
      <c r="BB43"/>
      <c r="BC43"/>
    </row>
    <row r="44" spans="1:55" s="6" customFormat="1" ht="13.5" thickBot="1" x14ac:dyDescent="0.25">
      <c r="A44" s="7" t="s">
        <v>55</v>
      </c>
      <c r="B44" s="7"/>
      <c r="C44" s="9">
        <f t="shared" ref="C44:AQ44" si="27">SUM(C39:C43)</f>
        <v>2458.3333333333335</v>
      </c>
      <c r="D44" s="9">
        <f t="shared" si="27"/>
        <v>4916.666666666667</v>
      </c>
      <c r="E44" s="9">
        <f t="shared" si="27"/>
        <v>7375.0000000000009</v>
      </c>
      <c r="F44" s="9">
        <f t="shared" si="27"/>
        <v>9833.3333333333358</v>
      </c>
      <c r="G44" s="9">
        <f t="shared" si="27"/>
        <v>12169.257340241798</v>
      </c>
      <c r="H44" s="9">
        <f t="shared" ca="1" si="27"/>
        <v>15683.411012222032</v>
      </c>
      <c r="I44" s="9">
        <f t="shared" ca="1" si="27"/>
        <v>19470.291956929534</v>
      </c>
      <c r="J44" s="9">
        <f t="shared" ca="1" si="27"/>
        <v>23257.172901637037</v>
      </c>
      <c r="K44" s="9">
        <f t="shared" ca="1" si="27"/>
        <v>27044.053846344541</v>
      </c>
      <c r="L44" s="9">
        <f t="shared" ca="1" si="27"/>
        <v>30558.207518324773</v>
      </c>
      <c r="M44" s="9">
        <f t="shared" ca="1" si="27"/>
        <v>38640.760963879307</v>
      </c>
      <c r="N44" s="9">
        <f t="shared" ca="1" si="27"/>
        <v>67826.908311959443</v>
      </c>
      <c r="O44" s="9">
        <f t="shared" ca="1" si="27"/>
        <v>114629.65299399385</v>
      </c>
      <c r="P44" s="9">
        <f t="shared" ca="1" si="27"/>
        <v>145243.31008299583</v>
      </c>
      <c r="Q44" s="9">
        <f t="shared" ca="1" si="27"/>
        <v>157133.77830719171</v>
      </c>
      <c r="R44" s="9">
        <f t="shared" ca="1" si="27"/>
        <v>142191.92159498512</v>
      </c>
      <c r="S44" s="9">
        <f t="shared" ca="1" si="27"/>
        <v>120362.8178424314</v>
      </c>
      <c r="T44" s="9">
        <f t="shared" ca="1" si="27"/>
        <v>125385.21784927617</v>
      </c>
      <c r="U44" s="9">
        <f t="shared" ca="1" si="27"/>
        <v>130836.18928469237</v>
      </c>
      <c r="V44" s="9">
        <f t="shared" ca="1" si="27"/>
        <v>118105.3425382904</v>
      </c>
      <c r="W44" s="9">
        <f t="shared" ca="1" si="27"/>
        <v>105374.49579188842</v>
      </c>
      <c r="X44" s="9">
        <f t="shared" ca="1" si="27"/>
        <v>91036.847951843243</v>
      </c>
      <c r="Y44" s="9">
        <f t="shared" ca="1" si="27"/>
        <v>99878.439737921159</v>
      </c>
      <c r="Z44" s="9">
        <f t="shared" ca="1" si="27"/>
        <v>128550.57553163481</v>
      </c>
      <c r="AA44" s="9">
        <f t="shared" ca="1" si="27"/>
        <v>174421.77727477127</v>
      </c>
      <c r="AB44" s="9">
        <f t="shared" ca="1" si="27"/>
        <v>192585.08176180755</v>
      </c>
      <c r="AC44" s="9">
        <f t="shared" ca="1" si="27"/>
        <v>192354.94064532942</v>
      </c>
      <c r="AD44" s="9">
        <f t="shared" ca="1" si="27"/>
        <v>166671.38678977132</v>
      </c>
      <c r="AE44" s="9">
        <f t="shared" ca="1" si="27"/>
        <v>133724.92078597058</v>
      </c>
      <c r="AF44" s="9">
        <f t="shared" ca="1" si="27"/>
        <v>137142.09114580619</v>
      </c>
      <c r="AG44" s="9">
        <f t="shared" ca="1" si="27"/>
        <v>140559.2615056418</v>
      </c>
      <c r="AH44" s="9">
        <f t="shared" ca="1" si="27"/>
        <v>115405.00329404883</v>
      </c>
      <c r="AI44" s="9">
        <f t="shared" ca="1" si="27"/>
        <v>90250.745082455862</v>
      </c>
      <c r="AJ44" s="9">
        <f t="shared" ca="1" si="27"/>
        <v>63244.983111464411</v>
      </c>
      <c r="AK44" s="9">
        <f t="shared" ca="1" si="27"/>
        <v>66846.01629246978</v>
      </c>
      <c r="AL44" s="9">
        <f t="shared" ca="1" si="27"/>
        <v>75144.049274786492</v>
      </c>
      <c r="AM44" s="9">
        <f t="shared" ca="1" si="27"/>
        <v>88295.648718458266</v>
      </c>
      <c r="AN44" s="9">
        <f t="shared" ca="1" si="27"/>
        <v>75380.88615140086</v>
      </c>
      <c r="AO44" s="9">
        <f t="shared" ca="1" si="27"/>
        <v>57142.857142857254</v>
      </c>
      <c r="AP44" s="9">
        <f t="shared" ca="1" si="27"/>
        <v>28571.428571428682</v>
      </c>
      <c r="AQ44" s="9">
        <f t="shared" ca="1" si="27"/>
        <v>1.0913936421275139E-10</v>
      </c>
      <c r="AR44"/>
      <c r="AS44"/>
      <c r="AT44"/>
      <c r="AU44"/>
      <c r="AV44"/>
      <c r="AW44"/>
      <c r="AX44"/>
      <c r="AY44"/>
      <c r="AZ44"/>
      <c r="BA44"/>
      <c r="BB44"/>
      <c r="BC44"/>
    </row>
    <row r="45" spans="1:55" s="6" customFormat="1" x14ac:dyDescent="0.2">
      <c r="A45" s="67"/>
      <c r="B45" s="67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/>
      <c r="AS45"/>
      <c r="AT45"/>
      <c r="AU45"/>
      <c r="AV45"/>
      <c r="AW45"/>
      <c r="AX45"/>
      <c r="AY45"/>
      <c r="AZ45"/>
      <c r="BA45"/>
      <c r="BB45"/>
      <c r="BC45"/>
    </row>
    <row r="46" spans="1:55" s="6" customFormat="1" ht="13.5" thickBot="1" x14ac:dyDescent="0.25">
      <c r="A46" s="69" t="s">
        <v>61</v>
      </c>
      <c r="B46" s="67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/>
      <c r="AS46"/>
      <c r="AT46"/>
      <c r="AU46"/>
      <c r="AV46"/>
      <c r="AW46"/>
      <c r="AX46"/>
      <c r="AY46"/>
      <c r="AZ46"/>
      <c r="BA46"/>
      <c r="BB46"/>
      <c r="BC46"/>
    </row>
    <row r="47" spans="1:55" s="6" customFormat="1" ht="13.5" thickBot="1" x14ac:dyDescent="0.25">
      <c r="A47" s="7" t="s">
        <v>53</v>
      </c>
      <c r="B47" s="7"/>
      <c r="C47" s="9">
        <v>0</v>
      </c>
      <c r="D47" s="9">
        <f t="shared" ref="D47:H47" si="28">C52</f>
        <v>1397.4133333333332</v>
      </c>
      <c r="E47" s="9">
        <f t="shared" si="28"/>
        <v>2794.8266666666664</v>
      </c>
      <c r="F47" s="9">
        <f t="shared" si="28"/>
        <v>4192.24</v>
      </c>
      <c r="G47" s="9">
        <f t="shared" si="28"/>
        <v>5589.6533333333327</v>
      </c>
      <c r="H47" s="9">
        <f t="shared" si="28"/>
        <v>6441.6219343696021</v>
      </c>
      <c r="I47" s="9">
        <f t="shared" ref="I47:AQ47" ca="1" si="29">H52</f>
        <v>7470.3249851666369</v>
      </c>
      <c r="J47" s="9">
        <f t="shared" ca="1" si="29"/>
        <v>8923.2704602060967</v>
      </c>
      <c r="K47" s="9">
        <f t="shared" ca="1" si="29"/>
        <v>10376.215935245556</v>
      </c>
      <c r="L47" s="9">
        <f t="shared" ca="1" si="29"/>
        <v>11829.161410285016</v>
      </c>
      <c r="M47" s="9">
        <f t="shared" ca="1" si="29"/>
        <v>12857.864461082052</v>
      </c>
      <c r="N47" s="9">
        <f t="shared" ca="1" si="29"/>
        <v>14571.827477915233</v>
      </c>
      <c r="O47" s="9">
        <f t="shared" ca="1" si="29"/>
        <v>19451.329580127254</v>
      </c>
      <c r="P47" s="9">
        <f t="shared" ca="1" si="29"/>
        <v>27739.987949099082</v>
      </c>
      <c r="Q47" s="9">
        <f t="shared" ca="1" si="29"/>
        <v>32044.960845782716</v>
      </c>
      <c r="R47" s="9">
        <f t="shared" ca="1" si="29"/>
        <v>33541.455412745439</v>
      </c>
      <c r="S47" s="9">
        <f t="shared" ca="1" si="29"/>
        <v>31013.101239247782</v>
      </c>
      <c r="T47" s="9">
        <f t="shared" ca="1" si="29"/>
        <v>26684.993343031394</v>
      </c>
      <c r="U47" s="9">
        <f t="shared" ca="1" si="29"/>
        <v>27939.933344058114</v>
      </c>
      <c r="V47" s="9">
        <f t="shared" ca="1" si="29"/>
        <v>29861.540011751502</v>
      </c>
      <c r="W47" s="9">
        <f t="shared" ca="1" si="29"/>
        <v>27924.730437020648</v>
      </c>
      <c r="X47" s="9">
        <f t="shared" ca="1" si="29"/>
        <v>25987.920862289793</v>
      </c>
      <c r="Y47" s="9">
        <f t="shared" ca="1" si="29"/>
        <v>23207.710171131504</v>
      </c>
      <c r="Z47" s="9">
        <f t="shared" ca="1" si="29"/>
        <v>25035.528939043194</v>
      </c>
      <c r="AA47" s="9">
        <f t="shared" ca="1" si="29"/>
        <v>29837.929308100243</v>
      </c>
      <c r="AB47" s="9">
        <f t="shared" ca="1" si="29"/>
        <v>37822.570521951668</v>
      </c>
      <c r="AC47" s="9">
        <f t="shared" ca="1" si="29"/>
        <v>39388.740117085035</v>
      </c>
      <c r="AD47" s="9">
        <f t="shared" ca="1" si="29"/>
        <v>38195.892871691241</v>
      </c>
      <c r="AE47" s="9">
        <f t="shared" ca="1" si="29"/>
        <v>33185.033715435449</v>
      </c>
      <c r="AF47" s="9">
        <f t="shared" ca="1" si="29"/>
        <v>26482.356784562311</v>
      </c>
      <c r="AG47" s="9">
        <f t="shared" ca="1" si="29"/>
        <v>27496.512338537654</v>
      </c>
      <c r="AH47" s="9">
        <f t="shared" ca="1" si="29"/>
        <v>28510.667892512996</v>
      </c>
      <c r="AI47" s="9">
        <f t="shared" ca="1" si="29"/>
        <v>23461.597922678815</v>
      </c>
      <c r="AJ47" s="9">
        <f t="shared" ca="1" si="29"/>
        <v>18412.527952844634</v>
      </c>
      <c r="AK47" s="9">
        <f t="shared" ca="1" si="29"/>
        <v>13085.732419100677</v>
      </c>
      <c r="AL47" s="9">
        <f t="shared" ca="1" si="29"/>
        <v>14127.467396251483</v>
      </c>
      <c r="AM47" s="9">
        <f t="shared" ca="1" si="29"/>
        <v>15873.75234359899</v>
      </c>
      <c r="AN47" s="9">
        <f t="shared" ca="1" si="29"/>
        <v>18348.072260149758</v>
      </c>
      <c r="AO47" s="9">
        <f t="shared" ca="1" si="29"/>
        <v>15134.926636995908</v>
      </c>
      <c r="AP47" s="9">
        <f t="shared" ca="1" si="29"/>
        <v>11123.291047619132</v>
      </c>
      <c r="AQ47" s="9">
        <f t="shared" ca="1" si="29"/>
        <v>5561.6455238096087</v>
      </c>
      <c r="AR47"/>
      <c r="AS47"/>
      <c r="AT47"/>
      <c r="AU47"/>
      <c r="AV47"/>
      <c r="AW47"/>
      <c r="AX47"/>
      <c r="AY47"/>
      <c r="AZ47"/>
      <c r="BA47"/>
      <c r="BB47"/>
      <c r="BC47"/>
    </row>
    <row r="48" spans="1:55" s="6" customFormat="1" x14ac:dyDescent="0.2">
      <c r="A48" s="69" t="s">
        <v>52</v>
      </c>
      <c r="B48" s="67"/>
      <c r="C48" s="73">
        <f>C40*'0'!$C$27/1000</f>
        <v>583.33333333333326</v>
      </c>
      <c r="D48" s="73">
        <f>D40*'0'!$C$27/1000</f>
        <v>583.33333333333326</v>
      </c>
      <c r="E48" s="73">
        <f>E40*'0'!$C$27/1000</f>
        <v>583.33333333333326</v>
      </c>
      <c r="F48" s="73">
        <f>F40*'0'!$C$27/1000</f>
        <v>583.33333333333326</v>
      </c>
      <c r="G48" s="73">
        <f>G40*'0'!$C$27/1000</f>
        <v>0</v>
      </c>
      <c r="H48" s="73">
        <f>H40*'0'!$C$27/1000</f>
        <v>0</v>
      </c>
      <c r="I48" s="73">
        <f>I40*'0'!$C$27/1000</f>
        <v>424.24242424242419</v>
      </c>
      <c r="J48" s="73">
        <f>J40*'0'!$C$27/1000</f>
        <v>424.24242424242419</v>
      </c>
      <c r="K48" s="73">
        <f>K40*'0'!$C$27/1000</f>
        <v>424.24242424242419</v>
      </c>
      <c r="L48" s="73">
        <f>L40*'0'!$C$27/1000</f>
        <v>0</v>
      </c>
      <c r="M48" s="73">
        <f>M40*'0'!$C$27/1000</f>
        <v>0</v>
      </c>
      <c r="N48" s="73">
        <f>N40*'0'!$C$27/1000</f>
        <v>0</v>
      </c>
      <c r="O48" s="73">
        <f>O40*'0'!$C$27/1000</f>
        <v>848.4848484848485</v>
      </c>
      <c r="P48" s="73">
        <f>P40*'0'!$C$27/1000</f>
        <v>848.4848484848485</v>
      </c>
      <c r="Q48" s="73">
        <f>Q40*'0'!$C$27/1000</f>
        <v>848.4848484848485</v>
      </c>
      <c r="R48" s="73">
        <f>R40*'0'!$C$27/1000</f>
        <v>848.4848484848485</v>
      </c>
      <c r="S48" s="73">
        <f>S40*'0'!$C$27/1000</f>
        <v>0</v>
      </c>
      <c r="T48" s="73">
        <f>T40*'0'!$C$27/1000</f>
        <v>0</v>
      </c>
      <c r="U48" s="73">
        <f>U40*'0'!$C$27/1000</f>
        <v>666.66666666666663</v>
      </c>
      <c r="V48" s="73">
        <f>V40*'0'!$C$27/1000</f>
        <v>666.66666666666663</v>
      </c>
      <c r="W48" s="73">
        <f>W40*'0'!$C$27/1000</f>
        <v>666.66666666666663</v>
      </c>
      <c r="X48" s="73">
        <f>X40*'0'!$C$27/1000</f>
        <v>0</v>
      </c>
      <c r="Y48" s="73">
        <f>Y40*'0'!$C$27/1000</f>
        <v>0</v>
      </c>
      <c r="Z48" s="73">
        <f>Z40*'0'!$C$27/1000</f>
        <v>0</v>
      </c>
      <c r="AA48" s="73">
        <f>AA40*'0'!$C$27/1000</f>
        <v>666.66666666666663</v>
      </c>
      <c r="AB48" s="73">
        <f>AB40*'0'!$C$27/1000</f>
        <v>666.66666666666663</v>
      </c>
      <c r="AC48" s="73">
        <f>AC40*'0'!$C$27/1000</f>
        <v>666.66666666666663</v>
      </c>
      <c r="AD48" s="73">
        <f>AD40*'0'!$C$27/1000</f>
        <v>666.66666666666663</v>
      </c>
      <c r="AE48" s="73">
        <f>AE40*'0'!$C$27/1000</f>
        <v>0</v>
      </c>
      <c r="AF48" s="73">
        <f>AF40*'0'!$C$27/1000</f>
        <v>0</v>
      </c>
      <c r="AG48" s="73">
        <f>AG40*'0'!$C$27/1000</f>
        <v>0</v>
      </c>
      <c r="AH48" s="73">
        <f>AH40*'0'!$C$27/1000</f>
        <v>0</v>
      </c>
      <c r="AI48" s="73">
        <f>AI40*'0'!$C$27/1000</f>
        <v>0</v>
      </c>
      <c r="AJ48" s="73">
        <f>AJ40*'0'!$C$27/1000</f>
        <v>0</v>
      </c>
      <c r="AK48" s="73">
        <f>AK40*'0'!$C$27/1000</f>
        <v>0</v>
      </c>
      <c r="AL48" s="73">
        <f>AL40*'0'!$C$27/1000</f>
        <v>0</v>
      </c>
      <c r="AM48" s="73">
        <f>AM40*'0'!$C$27/1000</f>
        <v>0</v>
      </c>
      <c r="AN48" s="73">
        <f>AN40*'0'!$C$27/1000</f>
        <v>0</v>
      </c>
      <c r="AO48" s="73">
        <f>AO40*'0'!$C$27/1000</f>
        <v>0</v>
      </c>
      <c r="AP48" s="73">
        <f>AP40*'0'!$C$27/1000</f>
        <v>0</v>
      </c>
      <c r="AQ48" s="73">
        <f>AQ40*'0'!$C$27/1000</f>
        <v>0</v>
      </c>
      <c r="AR48"/>
      <c r="AS48"/>
      <c r="AT48"/>
      <c r="AU48"/>
      <c r="AV48"/>
      <c r="AW48"/>
      <c r="AX48"/>
      <c r="AY48"/>
      <c r="AZ48"/>
      <c r="BA48"/>
      <c r="BB48"/>
      <c r="BC48"/>
    </row>
    <row r="49" spans="1:55" s="6" customFormat="1" x14ac:dyDescent="0.2">
      <c r="A49" s="69" t="s">
        <v>198</v>
      </c>
      <c r="B49" s="67"/>
      <c r="C49" s="71">
        <f>-C35</f>
        <v>312.5</v>
      </c>
      <c r="D49" s="71">
        <f t="shared" ref="D49:AP49" si="30">-D35</f>
        <v>312.5</v>
      </c>
      <c r="E49" s="71">
        <f t="shared" si="30"/>
        <v>312.5</v>
      </c>
      <c r="F49" s="71">
        <f t="shared" si="30"/>
        <v>312.5</v>
      </c>
      <c r="G49" s="71">
        <f t="shared" si="30"/>
        <v>350.38860103626945</v>
      </c>
      <c r="H49" s="71">
        <f t="shared" ca="1" si="30"/>
        <v>527.12305079703503</v>
      </c>
      <c r="I49" s="71">
        <f t="shared" ca="1" si="30"/>
        <v>527.12305079703503</v>
      </c>
      <c r="J49" s="71">
        <f t="shared" ca="1" si="30"/>
        <v>527.12305079703503</v>
      </c>
      <c r="K49" s="71">
        <f t="shared" ca="1" si="30"/>
        <v>527.12305079703503</v>
      </c>
      <c r="L49" s="71">
        <f t="shared" ca="1" si="30"/>
        <v>527.12305079703503</v>
      </c>
      <c r="M49" s="71">
        <f t="shared" ca="1" si="30"/>
        <v>1212.3830168331804</v>
      </c>
      <c r="N49" s="71">
        <f t="shared" ca="1" si="30"/>
        <v>4377.9221022120209</v>
      </c>
      <c r="O49" s="71">
        <f t="shared" ca="1" si="30"/>
        <v>6938.5935204869784</v>
      </c>
      <c r="P49" s="71">
        <f t="shared" ca="1" si="30"/>
        <v>8260.2303815321156</v>
      </c>
      <c r="Q49" s="71">
        <f t="shared" ca="1" si="30"/>
        <v>5451.7520518111969</v>
      </c>
      <c r="R49" s="71">
        <f t="shared" ca="1" si="30"/>
        <v>1426.9033113508265</v>
      </c>
      <c r="S49" s="71">
        <f t="shared" ca="1" si="30"/>
        <v>475.63443711694219</v>
      </c>
      <c r="T49" s="71">
        <f t="shared" ca="1" si="30"/>
        <v>753.36000102671665</v>
      </c>
      <c r="U49" s="71">
        <f t="shared" ca="1" si="30"/>
        <v>753.36000102671665</v>
      </c>
      <c r="V49" s="71">
        <f t="shared" ca="1" si="30"/>
        <v>753.36000102671665</v>
      </c>
      <c r="W49" s="71">
        <f t="shared" ca="1" si="30"/>
        <v>753.36000102671665</v>
      </c>
      <c r="X49" s="71">
        <f t="shared" ca="1" si="30"/>
        <v>576.625551265951</v>
      </c>
      <c r="Y49" s="71">
        <f t="shared" ca="1" si="30"/>
        <v>1326.2387679116873</v>
      </c>
      <c r="Z49" s="71">
        <f t="shared" ca="1" si="30"/>
        <v>4300.8203690570472</v>
      </c>
      <c r="AA49" s="71">
        <f t="shared" ca="1" si="30"/>
        <v>6816.3945471847564</v>
      </c>
      <c r="AB49" s="71">
        <f t="shared" ca="1" si="30"/>
        <v>8114.7554133151843</v>
      </c>
      <c r="AC49" s="71">
        <f t="shared" ca="1" si="30"/>
        <v>5355.7385727880219</v>
      </c>
      <c r="AD49" s="71">
        <f t="shared" ca="1" si="30"/>
        <v>1537.7266619260254</v>
      </c>
      <c r="AE49" s="71">
        <f t="shared" ca="1" si="30"/>
        <v>512.57555397534168</v>
      </c>
      <c r="AF49" s="71">
        <f t="shared" ca="1" si="30"/>
        <v>512.57555397534168</v>
      </c>
      <c r="AG49" s="71">
        <f t="shared" ca="1" si="30"/>
        <v>512.57555397534168</v>
      </c>
      <c r="AH49" s="71">
        <f t="shared" ca="1" si="30"/>
        <v>512.57555397534168</v>
      </c>
      <c r="AI49" s="71">
        <f t="shared" ca="1" si="30"/>
        <v>512.57555397534168</v>
      </c>
      <c r="AJ49" s="71">
        <f t="shared" ca="1" si="30"/>
        <v>234.84999006556734</v>
      </c>
      <c r="AK49" s="71">
        <f t="shared" ca="1" si="30"/>
        <v>540.15497715080483</v>
      </c>
      <c r="AL49" s="71">
        <f t="shared" ca="1" si="30"/>
        <v>1244.704947347507</v>
      </c>
      <c r="AM49" s="71">
        <f t="shared" ca="1" si="30"/>
        <v>1972.7399165507657</v>
      </c>
      <c r="AN49" s="71">
        <f t="shared" ca="1" si="30"/>
        <v>2348.4999006556736</v>
      </c>
      <c r="AO49" s="71">
        <f t="shared" ca="1" si="30"/>
        <v>1550.0099344327448</v>
      </c>
      <c r="AP49" s="71">
        <f t="shared" ca="1" si="30"/>
        <v>0</v>
      </c>
      <c r="AQ49" s="71">
        <f ca="1">-AQ35</f>
        <v>0</v>
      </c>
      <c r="AR49"/>
      <c r="AS49"/>
      <c r="AT49"/>
      <c r="AU49"/>
      <c r="AV49"/>
      <c r="AW49"/>
      <c r="AX49"/>
      <c r="AY49"/>
      <c r="AZ49"/>
      <c r="BA49"/>
      <c r="BB49"/>
      <c r="BC49"/>
    </row>
    <row r="50" spans="1:55" s="6" customFormat="1" x14ac:dyDescent="0.2">
      <c r="A50" s="69" t="s">
        <v>199</v>
      </c>
      <c r="B50" s="67"/>
      <c r="C50" s="71">
        <f>-SUM(C146:C151)</f>
        <v>501.58</v>
      </c>
      <c r="D50" s="71">
        <f t="shared" ref="D50:AP50" si="31">-SUM(D146:D151)</f>
        <v>501.58</v>
      </c>
      <c r="E50" s="71">
        <f t="shared" si="31"/>
        <v>501.58</v>
      </c>
      <c r="F50" s="71">
        <f t="shared" si="31"/>
        <v>501.58</v>
      </c>
      <c r="G50" s="71">
        <f t="shared" si="31"/>
        <v>501.58</v>
      </c>
      <c r="H50" s="71">
        <f t="shared" si="31"/>
        <v>501.58</v>
      </c>
      <c r="I50" s="71">
        <f t="shared" si="31"/>
        <v>501.58</v>
      </c>
      <c r="J50" s="71">
        <f t="shared" si="31"/>
        <v>501.58</v>
      </c>
      <c r="K50" s="71">
        <f t="shared" si="31"/>
        <v>501.58</v>
      </c>
      <c r="L50" s="71">
        <f t="shared" si="31"/>
        <v>501.58</v>
      </c>
      <c r="M50" s="71">
        <f t="shared" si="31"/>
        <v>501.58</v>
      </c>
      <c r="N50" s="71">
        <f t="shared" si="31"/>
        <v>501.58</v>
      </c>
      <c r="O50" s="71">
        <f t="shared" si="31"/>
        <v>501.58</v>
      </c>
      <c r="P50" s="71">
        <f t="shared" si="31"/>
        <v>501.58</v>
      </c>
      <c r="Q50" s="71">
        <f t="shared" si="31"/>
        <v>501.58</v>
      </c>
      <c r="R50" s="71">
        <f t="shared" si="31"/>
        <v>501.58</v>
      </c>
      <c r="S50" s="71">
        <f t="shared" si="31"/>
        <v>501.58</v>
      </c>
      <c r="T50" s="71">
        <f t="shared" si="31"/>
        <v>501.58</v>
      </c>
      <c r="U50" s="71">
        <f t="shared" si="31"/>
        <v>501.58</v>
      </c>
      <c r="V50" s="71">
        <f t="shared" si="31"/>
        <v>501.58</v>
      </c>
      <c r="W50" s="71">
        <f t="shared" si="31"/>
        <v>501.58</v>
      </c>
      <c r="X50" s="71">
        <f t="shared" si="31"/>
        <v>501.58</v>
      </c>
      <c r="Y50" s="71">
        <f t="shared" si="31"/>
        <v>501.58</v>
      </c>
      <c r="Z50" s="71">
        <f t="shared" si="31"/>
        <v>501.58</v>
      </c>
      <c r="AA50" s="71">
        <f t="shared" si="31"/>
        <v>501.58</v>
      </c>
      <c r="AB50" s="71">
        <f t="shared" si="31"/>
        <v>501.58</v>
      </c>
      <c r="AC50" s="71">
        <f t="shared" si="31"/>
        <v>501.58</v>
      </c>
      <c r="AD50" s="71">
        <f t="shared" si="31"/>
        <v>501.58</v>
      </c>
      <c r="AE50" s="71">
        <f t="shared" si="31"/>
        <v>501.58</v>
      </c>
      <c r="AF50" s="71">
        <f t="shared" si="31"/>
        <v>501.58</v>
      </c>
      <c r="AG50" s="71">
        <f t="shared" si="31"/>
        <v>501.58</v>
      </c>
      <c r="AH50" s="71">
        <f t="shared" si="31"/>
        <v>501.58</v>
      </c>
      <c r="AI50" s="71">
        <f t="shared" si="31"/>
        <v>501.58</v>
      </c>
      <c r="AJ50" s="71">
        <f t="shared" si="31"/>
        <v>501.58</v>
      </c>
      <c r="AK50" s="71">
        <f t="shared" si="31"/>
        <v>501.58</v>
      </c>
      <c r="AL50" s="71">
        <f t="shared" si="31"/>
        <v>501.58</v>
      </c>
      <c r="AM50" s="71">
        <f t="shared" si="31"/>
        <v>501.58</v>
      </c>
      <c r="AN50" s="71">
        <f t="shared" si="31"/>
        <v>501.58</v>
      </c>
      <c r="AO50" s="71">
        <f t="shared" si="31"/>
        <v>501.58</v>
      </c>
      <c r="AP50" s="71">
        <f t="shared" si="31"/>
        <v>501.58</v>
      </c>
      <c r="AQ50" s="71">
        <f>-SUM(AQ146:AQ151)</f>
        <v>501.58</v>
      </c>
      <c r="AR50"/>
      <c r="AS50"/>
      <c r="AT50"/>
      <c r="AU50"/>
      <c r="AV50"/>
      <c r="AW50"/>
      <c r="AX50"/>
      <c r="AY50"/>
      <c r="AZ50"/>
      <c r="BA50"/>
      <c r="BB50"/>
      <c r="BC50"/>
    </row>
    <row r="51" spans="1:55" s="6" customFormat="1" ht="13.5" thickBot="1" x14ac:dyDescent="0.25">
      <c r="A51" s="69" t="s">
        <v>58</v>
      </c>
      <c r="B51" s="67"/>
      <c r="C51" s="71">
        <f>C42*cost!$E$100/1000</f>
        <v>0</v>
      </c>
      <c r="D51" s="71">
        <f>D42*cost!$E$100/1000</f>
        <v>0</v>
      </c>
      <c r="E51" s="71">
        <f>E42*cost!$E$100/1000</f>
        <v>0</v>
      </c>
      <c r="F51" s="71">
        <f>F42*cost!$E$100/1000</f>
        <v>0</v>
      </c>
      <c r="G51" s="71">
        <f>G42*cost!$E$100/1000</f>
        <v>0</v>
      </c>
      <c r="H51" s="71">
        <f>H42*cost!$E$100/1000</f>
        <v>0</v>
      </c>
      <c r="I51" s="71">
        <f>I42*cost!$E$100/1000</f>
        <v>0</v>
      </c>
      <c r="J51" s="71">
        <f>J42*cost!$E$100/1000</f>
        <v>0</v>
      </c>
      <c r="K51" s="71">
        <f>K42*cost!$E$100/1000</f>
        <v>0</v>
      </c>
      <c r="L51" s="71">
        <f>L42*cost!$E$100/1000</f>
        <v>0</v>
      </c>
      <c r="M51" s="71">
        <f>M42*cost!$E$100/1000</f>
        <v>0</v>
      </c>
      <c r="N51" s="71">
        <f>N42*cost!$E$100/1000</f>
        <v>0</v>
      </c>
      <c r="O51" s="71">
        <f>O42*cost!$E$100/1000</f>
        <v>0</v>
      </c>
      <c r="P51" s="71">
        <f>P42*cost!$E$100/1000</f>
        <v>-5305.3223333333326</v>
      </c>
      <c r="Q51" s="71">
        <f>Q42*cost!$E$100/1000</f>
        <v>-5305.3223333333326</v>
      </c>
      <c r="R51" s="71">
        <f>R42*cost!$E$100/1000</f>
        <v>-5305.3223333333326</v>
      </c>
      <c r="S51" s="71">
        <f>S42*cost!$E$100/1000</f>
        <v>-5305.3223333333326</v>
      </c>
      <c r="T51" s="71">
        <f>T42*cost!$E$100/1000</f>
        <v>0</v>
      </c>
      <c r="U51" s="71">
        <f>U42*cost!$E$100/1000</f>
        <v>0</v>
      </c>
      <c r="V51" s="71">
        <f>V42*cost!$E$100/1000</f>
        <v>-3858.4162424242418</v>
      </c>
      <c r="W51" s="71">
        <f>W42*cost!$E$100/1000</f>
        <v>-3858.4162424242418</v>
      </c>
      <c r="X51" s="71">
        <f>X42*cost!$E$100/1000</f>
        <v>-3858.4162424242418</v>
      </c>
      <c r="Y51" s="71">
        <f>Y42*cost!$E$100/1000</f>
        <v>0</v>
      </c>
      <c r="Z51" s="71">
        <f>Z42*cost!$E$100/1000</f>
        <v>0</v>
      </c>
      <c r="AA51" s="71">
        <f>AA42*cost!$E$100/1000</f>
        <v>0</v>
      </c>
      <c r="AB51" s="71">
        <f>AB42*cost!$E$100/1000</f>
        <v>-7716.8324848484854</v>
      </c>
      <c r="AC51" s="71">
        <f>AC42*cost!$E$100/1000</f>
        <v>-7716.8324848484854</v>
      </c>
      <c r="AD51" s="71">
        <f>AD42*cost!$E$100/1000</f>
        <v>-7716.8324848484854</v>
      </c>
      <c r="AE51" s="71">
        <f>AE42*cost!$E$100/1000</f>
        <v>-7716.8324848484854</v>
      </c>
      <c r="AF51" s="71">
        <f>AF42*cost!$E$100/1000</f>
        <v>0</v>
      </c>
      <c r="AG51" s="71">
        <f>AG42*cost!$E$100/1000</f>
        <v>0</v>
      </c>
      <c r="AH51" s="71">
        <f>AH42*cost!$E$100/1000</f>
        <v>-6063.2255238095231</v>
      </c>
      <c r="AI51" s="71">
        <f>AI42*cost!$E$100/1000</f>
        <v>-6063.2255238095231</v>
      </c>
      <c r="AJ51" s="71">
        <f>AJ42*cost!$E$100/1000</f>
        <v>-6063.2255238095231</v>
      </c>
      <c r="AK51" s="71">
        <f>AK42*cost!$E$100/1000</f>
        <v>0</v>
      </c>
      <c r="AL51" s="71">
        <f>AL42*cost!$E$100/1000</f>
        <v>0</v>
      </c>
      <c r="AM51" s="71">
        <f>AM42*cost!$E$100/1000</f>
        <v>0</v>
      </c>
      <c r="AN51" s="71">
        <f>AN42*cost!$E$100/1000</f>
        <v>-6063.2255238095231</v>
      </c>
      <c r="AO51" s="71">
        <f>AO42*cost!$E$100/1000</f>
        <v>-6063.2255238095231</v>
      </c>
      <c r="AP51" s="71">
        <f>AP42*cost!$E$100/1000</f>
        <v>-6063.2255238095231</v>
      </c>
      <c r="AQ51" s="71">
        <f>AQ42*cost!$E$100/1000</f>
        <v>-6063.2255238095231</v>
      </c>
      <c r="AR51"/>
      <c r="AS51"/>
      <c r="AT51"/>
      <c r="AU51"/>
      <c r="AV51"/>
      <c r="AW51"/>
      <c r="AX51"/>
      <c r="AY51"/>
      <c r="AZ51"/>
      <c r="BA51"/>
      <c r="BB51"/>
      <c r="BC51"/>
    </row>
    <row r="52" spans="1:55" s="6" customFormat="1" ht="13.5" thickBot="1" x14ac:dyDescent="0.25">
      <c r="A52" s="7" t="s">
        <v>55</v>
      </c>
      <c r="B52" s="7"/>
      <c r="C52" s="9">
        <f t="shared" ref="C52:AQ52" si="32">SUM(C47:C51)</f>
        <v>1397.4133333333332</v>
      </c>
      <c r="D52" s="9">
        <f t="shared" si="32"/>
        <v>2794.8266666666664</v>
      </c>
      <c r="E52" s="9">
        <f t="shared" si="32"/>
        <v>4192.24</v>
      </c>
      <c r="F52" s="9">
        <f t="shared" si="32"/>
        <v>5589.6533333333327</v>
      </c>
      <c r="G52" s="9">
        <f t="shared" si="32"/>
        <v>6441.6219343696021</v>
      </c>
      <c r="H52" s="9">
        <f t="shared" ca="1" si="32"/>
        <v>7470.3249851666369</v>
      </c>
      <c r="I52" s="9">
        <f t="shared" ca="1" si="32"/>
        <v>8923.2704602060967</v>
      </c>
      <c r="J52" s="9">
        <f t="shared" ca="1" si="32"/>
        <v>10376.215935245556</v>
      </c>
      <c r="K52" s="9">
        <f t="shared" ca="1" si="32"/>
        <v>11829.161410285016</v>
      </c>
      <c r="L52" s="9">
        <f t="shared" ca="1" si="32"/>
        <v>12857.864461082052</v>
      </c>
      <c r="M52" s="9">
        <f t="shared" ca="1" si="32"/>
        <v>14571.827477915233</v>
      </c>
      <c r="N52" s="9">
        <f t="shared" ca="1" si="32"/>
        <v>19451.329580127254</v>
      </c>
      <c r="O52" s="9">
        <f t="shared" ca="1" si="32"/>
        <v>27739.987949099082</v>
      </c>
      <c r="P52" s="9">
        <f t="shared" ca="1" si="32"/>
        <v>32044.960845782716</v>
      </c>
      <c r="Q52" s="9">
        <f t="shared" ca="1" si="32"/>
        <v>33541.455412745439</v>
      </c>
      <c r="R52" s="9">
        <f t="shared" ca="1" si="32"/>
        <v>31013.101239247782</v>
      </c>
      <c r="S52" s="9">
        <f t="shared" ca="1" si="32"/>
        <v>26684.993343031394</v>
      </c>
      <c r="T52" s="9">
        <f t="shared" ca="1" si="32"/>
        <v>27939.933344058114</v>
      </c>
      <c r="U52" s="9">
        <f t="shared" ca="1" si="32"/>
        <v>29861.540011751502</v>
      </c>
      <c r="V52" s="9">
        <f t="shared" ca="1" si="32"/>
        <v>27924.730437020648</v>
      </c>
      <c r="W52" s="9">
        <f t="shared" ca="1" si="32"/>
        <v>25987.920862289793</v>
      </c>
      <c r="X52" s="9">
        <f t="shared" ca="1" si="32"/>
        <v>23207.710171131504</v>
      </c>
      <c r="Y52" s="9">
        <f t="shared" ca="1" si="32"/>
        <v>25035.528939043194</v>
      </c>
      <c r="Z52" s="9">
        <f t="shared" ca="1" si="32"/>
        <v>29837.929308100243</v>
      </c>
      <c r="AA52" s="9">
        <f t="shared" ca="1" si="32"/>
        <v>37822.570521951668</v>
      </c>
      <c r="AB52" s="9">
        <f t="shared" ca="1" si="32"/>
        <v>39388.740117085035</v>
      </c>
      <c r="AC52" s="9">
        <f t="shared" ca="1" si="32"/>
        <v>38195.892871691241</v>
      </c>
      <c r="AD52" s="9">
        <f t="shared" ca="1" si="32"/>
        <v>33185.033715435449</v>
      </c>
      <c r="AE52" s="9">
        <f t="shared" ca="1" si="32"/>
        <v>26482.356784562311</v>
      </c>
      <c r="AF52" s="9">
        <f t="shared" ca="1" si="32"/>
        <v>27496.512338537654</v>
      </c>
      <c r="AG52" s="9">
        <f t="shared" ca="1" si="32"/>
        <v>28510.667892512996</v>
      </c>
      <c r="AH52" s="9">
        <f t="shared" ca="1" si="32"/>
        <v>23461.597922678815</v>
      </c>
      <c r="AI52" s="9">
        <f t="shared" ca="1" si="32"/>
        <v>18412.527952844634</v>
      </c>
      <c r="AJ52" s="9">
        <f t="shared" ca="1" si="32"/>
        <v>13085.732419100677</v>
      </c>
      <c r="AK52" s="9">
        <f t="shared" ca="1" si="32"/>
        <v>14127.467396251483</v>
      </c>
      <c r="AL52" s="9">
        <f t="shared" ca="1" si="32"/>
        <v>15873.75234359899</v>
      </c>
      <c r="AM52" s="9">
        <f t="shared" ca="1" si="32"/>
        <v>18348.072260149758</v>
      </c>
      <c r="AN52" s="9">
        <f t="shared" ca="1" si="32"/>
        <v>15134.926636995908</v>
      </c>
      <c r="AO52" s="9">
        <f t="shared" ca="1" si="32"/>
        <v>11123.291047619132</v>
      </c>
      <c r="AP52" s="9">
        <f t="shared" ca="1" si="32"/>
        <v>5561.6455238096087</v>
      </c>
      <c r="AQ52" s="9">
        <f t="shared" ca="1" si="32"/>
        <v>8.5492501966655254E-11</v>
      </c>
      <c r="AR52"/>
      <c r="AS52"/>
      <c r="AT52"/>
      <c r="AU52"/>
      <c r="AV52"/>
      <c r="AW52"/>
      <c r="AX52"/>
      <c r="AY52"/>
      <c r="AZ52"/>
      <c r="BA52"/>
      <c r="BB52"/>
      <c r="BC52"/>
    </row>
    <row r="53" spans="1:55" s="6" customFormat="1" x14ac:dyDescent="0.2">
      <c r="A53" s="67"/>
      <c r="B53" s="67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/>
      <c r="AS53"/>
      <c r="AT53"/>
      <c r="AU53"/>
      <c r="AV53"/>
      <c r="AW53"/>
      <c r="AX53"/>
      <c r="AY53"/>
      <c r="AZ53"/>
      <c r="BA53"/>
      <c r="BB53"/>
      <c r="BC53"/>
    </row>
    <row r="54" spans="1:55" ht="13.5" thickBot="1" x14ac:dyDescent="0.25">
      <c r="A54" t="s">
        <v>20</v>
      </c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</row>
    <row r="55" spans="1:55" ht="13.5" thickBot="1" x14ac:dyDescent="0.25">
      <c r="A55" s="24" t="s">
        <v>6</v>
      </c>
      <c r="B55" s="24"/>
      <c r="C55" s="24"/>
      <c r="D55" s="24"/>
      <c r="E55" s="24"/>
      <c r="F55" s="24"/>
      <c r="G55" s="24"/>
      <c r="H55" s="25"/>
      <c r="I55" s="25"/>
      <c r="J55" s="24"/>
      <c r="K55" s="24"/>
      <c r="L55" s="24"/>
      <c r="M55" s="25"/>
      <c r="N55" s="25"/>
      <c r="O55" s="26">
        <f>SUM(O56:O58)</f>
        <v>0</v>
      </c>
      <c r="P55" s="26">
        <f>SUM(P56:P58)</f>
        <v>9062.5</v>
      </c>
      <c r="Q55" s="26">
        <f>SUM(Q56:Q58)</f>
        <v>9062.5</v>
      </c>
      <c r="R55" s="26">
        <f>SUM(R56:R58)</f>
        <v>9062.5</v>
      </c>
      <c r="S55" s="26">
        <f>SUM(S56:S58)</f>
        <v>9062.5</v>
      </c>
      <c r="T55" s="25"/>
      <c r="U55" s="25"/>
      <c r="V55" s="26">
        <f>SUM(V56:V58)</f>
        <v>6590.9090909090901</v>
      </c>
      <c r="W55" s="26">
        <f>SUM(W56:W58)</f>
        <v>6590.9090909090901</v>
      </c>
      <c r="X55" s="26">
        <f>SUM(X56:X58)</f>
        <v>6590.9090909090901</v>
      </c>
      <c r="Y55" s="25"/>
      <c r="Z55" s="25"/>
      <c r="AA55" s="25"/>
      <c r="AB55" s="26">
        <f>SUM(AB56:AB58)</f>
        <v>13181.818181818184</v>
      </c>
      <c r="AC55" s="26">
        <f>SUM(AC56:AC58)</f>
        <v>13181.818181818184</v>
      </c>
      <c r="AD55" s="26">
        <f>SUM(AD56:AD58)</f>
        <v>13181.818181818184</v>
      </c>
      <c r="AE55" s="26">
        <f>SUM(AE56:AE58)</f>
        <v>13181.818181818184</v>
      </c>
      <c r="AF55" s="25"/>
      <c r="AG55" s="25"/>
      <c r="AH55" s="26">
        <f>SUM(AH56:AH58)</f>
        <v>10357.142857142859</v>
      </c>
      <c r="AI55" s="26">
        <f>SUM(AI56:AI58)</f>
        <v>10357.142857142859</v>
      </c>
      <c r="AJ55" s="26">
        <f>SUM(AJ56:AJ58)</f>
        <v>10357.142857142859</v>
      </c>
      <c r="AK55" s="25"/>
      <c r="AL55" s="25"/>
      <c r="AM55" s="25"/>
      <c r="AN55" s="26">
        <f>SUM(AN56:AN58)</f>
        <v>10357.142857142859</v>
      </c>
      <c r="AO55" s="26">
        <f>SUM(AO56:AO58)</f>
        <v>10357.142857142859</v>
      </c>
      <c r="AP55" s="26">
        <f>SUM(AP56:AP58)</f>
        <v>10357.142857142859</v>
      </c>
      <c r="AQ55" s="26">
        <f>SUM(AQ56:AQ58)</f>
        <v>10357.142857142859</v>
      </c>
    </row>
    <row r="56" spans="1:55" x14ac:dyDescent="0.2">
      <c r="A56" t="s">
        <v>7</v>
      </c>
      <c r="B56" s="3">
        <f>'0'!E23</f>
        <v>0.05</v>
      </c>
      <c r="C56" s="4">
        <f>C6*'0'!$C23/1000</f>
        <v>0</v>
      </c>
      <c r="D56" s="4">
        <f>D6*'0'!$C23/1000</f>
        <v>0</v>
      </c>
      <c r="E56" s="4">
        <f>E6*'0'!$C23/1000</f>
        <v>0</v>
      </c>
      <c r="F56" s="4">
        <f>F6*'0'!$C23/1000</f>
        <v>0</v>
      </c>
      <c r="G56" s="4">
        <f>G6*'0'!$C23/1000</f>
        <v>0</v>
      </c>
      <c r="H56" s="4">
        <f>H6*'0'!$C23/1000</f>
        <v>0</v>
      </c>
      <c r="I56" s="4">
        <f>I6*'0'!$C23/1000</f>
        <v>0</v>
      </c>
      <c r="J56" s="4">
        <f>J6*'0'!$C23/1000</f>
        <v>0</v>
      </c>
      <c r="K56" s="4">
        <f>K6*'0'!$C23/1000</f>
        <v>0</v>
      </c>
      <c r="L56" s="4">
        <f>L6*'0'!$C23/1000</f>
        <v>0</v>
      </c>
      <c r="M56" s="4">
        <f>M6*'0'!$C23/1000</f>
        <v>0</v>
      </c>
      <c r="N56" s="4">
        <f>N6*'0'!$C23/1000</f>
        <v>0</v>
      </c>
      <c r="O56" s="4">
        <f>O6*'0'!$C23/1000</f>
        <v>0</v>
      </c>
      <c r="P56" s="4">
        <f>P6*'0'!$C23/1000</f>
        <v>750</v>
      </c>
      <c r="Q56" s="4">
        <f>Q6*'0'!$C23/1000</f>
        <v>750</v>
      </c>
      <c r="R56" s="4">
        <f>R6*'0'!$C23/1000</f>
        <v>750</v>
      </c>
      <c r="S56" s="4">
        <f>S6*'0'!$C23/1000</f>
        <v>750</v>
      </c>
      <c r="T56" s="4">
        <f>T6*'0'!$C23/1000</f>
        <v>0</v>
      </c>
      <c r="U56" s="4">
        <f>U6*'0'!$C23/1000</f>
        <v>0</v>
      </c>
      <c r="V56" s="4">
        <f>V6*'0'!$C23/1000</f>
        <v>545.45454545454538</v>
      </c>
      <c r="W56" s="4">
        <f>W6*'0'!$C23/1000</f>
        <v>545.45454545454538</v>
      </c>
      <c r="X56" s="4">
        <f>X6*'0'!$C23/1000</f>
        <v>545.45454545454538</v>
      </c>
      <c r="Y56" s="4">
        <f>Y6*'0'!$C23/1000</f>
        <v>0</v>
      </c>
      <c r="Z56" s="4">
        <f>Z6*'0'!$C23/1000</f>
        <v>0</v>
      </c>
      <c r="AA56" s="4">
        <f>AA6*'0'!$C23/1000</f>
        <v>0</v>
      </c>
      <c r="AB56" s="4">
        <f>AB6*'0'!$C23/1000</f>
        <v>1090.909090909091</v>
      </c>
      <c r="AC56" s="4">
        <f>AC6*'0'!$C23/1000</f>
        <v>1090.909090909091</v>
      </c>
      <c r="AD56" s="4">
        <f>AD6*'0'!$C23/1000</f>
        <v>1090.909090909091</v>
      </c>
      <c r="AE56" s="4">
        <f>AE6*'0'!$C23/1000</f>
        <v>1090.909090909091</v>
      </c>
      <c r="AF56" s="4">
        <f>AF6*'0'!$C23/1000</f>
        <v>0</v>
      </c>
      <c r="AG56" s="4">
        <f>AG6*'0'!$C23/1000</f>
        <v>0</v>
      </c>
      <c r="AH56" s="4">
        <f>AH6*'0'!$C23/1000</f>
        <v>857.14285714285711</v>
      </c>
      <c r="AI56" s="4">
        <f>AI6*'0'!$C23/1000</f>
        <v>857.14285714285711</v>
      </c>
      <c r="AJ56" s="4">
        <f>AJ6*'0'!$C23/1000</f>
        <v>857.14285714285711</v>
      </c>
      <c r="AK56" s="4">
        <f>AK6*'0'!$C23/1000</f>
        <v>0</v>
      </c>
      <c r="AL56" s="4">
        <f>AL6*'0'!$C23/1000</f>
        <v>0</v>
      </c>
      <c r="AM56" s="4">
        <f>AM6*'0'!$C23/1000</f>
        <v>0</v>
      </c>
      <c r="AN56" s="4">
        <f>AN6*'0'!$C23/1000</f>
        <v>857.14285714285711</v>
      </c>
      <c r="AO56" s="4">
        <f>AO6*'0'!$C23/1000</f>
        <v>857.14285714285711</v>
      </c>
      <c r="AP56" s="4">
        <f>AP6*'0'!$C23/1000</f>
        <v>857.14285714285711</v>
      </c>
      <c r="AQ56" s="4">
        <f>AQ6*'0'!$C23/1000</f>
        <v>857.14285714285711</v>
      </c>
    </row>
    <row r="57" spans="1:55" x14ac:dyDescent="0.2">
      <c r="A57" t="s">
        <v>8</v>
      </c>
      <c r="B57" s="3">
        <f>'0'!E24</f>
        <v>0.9</v>
      </c>
      <c r="C57" s="4">
        <f>C7*'0'!$C24/1000</f>
        <v>0</v>
      </c>
      <c r="D57" s="4">
        <f>D7*'0'!$C24/1000</f>
        <v>0</v>
      </c>
      <c r="E57" s="4">
        <f>E7*'0'!$C24/1000</f>
        <v>0</v>
      </c>
      <c r="F57" s="4">
        <f>F7*'0'!$C24/1000</f>
        <v>0</v>
      </c>
      <c r="G57" s="4">
        <f>G7*'0'!$C24/1000</f>
        <v>0</v>
      </c>
      <c r="H57" s="4">
        <f>H7*'0'!$C24/1000</f>
        <v>0</v>
      </c>
      <c r="I57" s="4">
        <f>I7*'0'!$C24/1000</f>
        <v>0</v>
      </c>
      <c r="J57" s="4">
        <f>J7*'0'!$C24/1000</f>
        <v>0</v>
      </c>
      <c r="K57" s="4">
        <f>K7*'0'!$C24/1000</f>
        <v>0</v>
      </c>
      <c r="L57" s="4">
        <f>L7*'0'!$C24/1000</f>
        <v>0</v>
      </c>
      <c r="M57" s="4">
        <f>M7*'0'!$C24/1000</f>
        <v>0</v>
      </c>
      <c r="N57" s="4">
        <f>N7*'0'!$C24/1000</f>
        <v>0</v>
      </c>
      <c r="O57" s="4">
        <f>O7*'0'!$C24/1000</f>
        <v>0</v>
      </c>
      <c r="P57" s="4">
        <f>P7*'0'!$C24/1000</f>
        <v>7875</v>
      </c>
      <c r="Q57" s="4">
        <f>Q7*'0'!$C24/1000</f>
        <v>7875</v>
      </c>
      <c r="R57" s="4">
        <f>R7*'0'!$C24/1000</f>
        <v>7875</v>
      </c>
      <c r="S57" s="4">
        <f>S7*'0'!$C24/1000</f>
        <v>7875</v>
      </c>
      <c r="T57" s="4">
        <f>T7*'0'!$C24/1000</f>
        <v>0</v>
      </c>
      <c r="U57" s="4">
        <f>U7*'0'!$C24/1000</f>
        <v>0</v>
      </c>
      <c r="V57" s="4">
        <f>V7*'0'!$C24/1000</f>
        <v>5727.272727272727</v>
      </c>
      <c r="W57" s="4">
        <f>W7*'0'!$C24/1000</f>
        <v>5727.272727272727</v>
      </c>
      <c r="X57" s="4">
        <f>X7*'0'!$C24/1000</f>
        <v>5727.272727272727</v>
      </c>
      <c r="Y57" s="4">
        <f>Y7*'0'!$C24/1000</f>
        <v>0</v>
      </c>
      <c r="Z57" s="4">
        <f>Z7*'0'!$C24/1000</f>
        <v>0</v>
      </c>
      <c r="AA57" s="4">
        <f>AA7*'0'!$C24/1000</f>
        <v>0</v>
      </c>
      <c r="AB57" s="4">
        <f>AB7*'0'!$C24/1000</f>
        <v>11454.545454545458</v>
      </c>
      <c r="AC57" s="4">
        <f>AC7*'0'!$C24/1000</f>
        <v>11454.545454545458</v>
      </c>
      <c r="AD57" s="4">
        <f>AD7*'0'!$C24/1000</f>
        <v>11454.545454545458</v>
      </c>
      <c r="AE57" s="4">
        <f>AE7*'0'!$C24/1000</f>
        <v>11454.545454545458</v>
      </c>
      <c r="AF57" s="4">
        <f>AF7*'0'!$C24/1000</f>
        <v>0</v>
      </c>
      <c r="AG57" s="4">
        <f>AG7*'0'!$C24/1000</f>
        <v>0</v>
      </c>
      <c r="AH57" s="4">
        <f>AH7*'0'!$C24/1000</f>
        <v>9000.0000000000018</v>
      </c>
      <c r="AI57" s="4">
        <f>AI7*'0'!$C24/1000</f>
        <v>9000.0000000000018</v>
      </c>
      <c r="AJ57" s="4">
        <f>AJ7*'0'!$C24/1000</f>
        <v>9000.0000000000018</v>
      </c>
      <c r="AK57" s="4">
        <f>AK7*'0'!$C24/1000</f>
        <v>0</v>
      </c>
      <c r="AL57" s="4">
        <f>AL7*'0'!$C24/1000</f>
        <v>0</v>
      </c>
      <c r="AM57" s="4">
        <f>AM7*'0'!$C24/1000</f>
        <v>0</v>
      </c>
      <c r="AN57" s="4">
        <f>AN7*'0'!$C24/1000</f>
        <v>9000.0000000000018</v>
      </c>
      <c r="AO57" s="4">
        <f>AO7*'0'!$C24/1000</f>
        <v>9000.0000000000018</v>
      </c>
      <c r="AP57" s="4">
        <f>AP7*'0'!$C24/1000</f>
        <v>9000.0000000000018</v>
      </c>
      <c r="AQ57" s="4">
        <f>AQ7*'0'!$C24/1000</f>
        <v>9000.0000000000018</v>
      </c>
    </row>
    <row r="58" spans="1:55" x14ac:dyDescent="0.2">
      <c r="A58" s="11" t="s">
        <v>9</v>
      </c>
      <c r="B58" s="3">
        <f>'0'!E25</f>
        <v>0.05</v>
      </c>
      <c r="C58" s="4">
        <f>C8*'0'!$C25/1000</f>
        <v>0</v>
      </c>
      <c r="D58" s="4">
        <f>D8*'0'!$C25/1000</f>
        <v>0</v>
      </c>
      <c r="E58" s="4">
        <f>E8*'0'!$C25/1000</f>
        <v>0</v>
      </c>
      <c r="F58" s="4">
        <f>F8*'0'!$C25/1000</f>
        <v>0</v>
      </c>
      <c r="G58" s="4">
        <f>G8*'0'!$C25/1000</f>
        <v>0</v>
      </c>
      <c r="H58" s="4">
        <f>H8*'0'!$C25/1000</f>
        <v>0</v>
      </c>
      <c r="I58" s="4">
        <f>I8*'0'!$C25/1000</f>
        <v>0</v>
      </c>
      <c r="J58" s="4">
        <f>J8*'0'!$C25/1000</f>
        <v>0</v>
      </c>
      <c r="K58" s="4">
        <f>K8*'0'!$C25/1000</f>
        <v>0</v>
      </c>
      <c r="L58" s="4">
        <f>L8*'0'!$C25/1000</f>
        <v>0</v>
      </c>
      <c r="M58" s="4">
        <f>M8*'0'!$C25/1000</f>
        <v>0</v>
      </c>
      <c r="N58" s="4">
        <f>N8*'0'!$C25/1000</f>
        <v>0</v>
      </c>
      <c r="O58" s="4">
        <f>O8*'0'!$C25/1000</f>
        <v>0</v>
      </c>
      <c r="P58" s="4">
        <f>P8*'0'!$C25/1000</f>
        <v>437.5</v>
      </c>
      <c r="Q58" s="4">
        <f>Q8*'0'!$C25/1000</f>
        <v>437.5</v>
      </c>
      <c r="R58" s="4">
        <f>R8*'0'!$C25/1000</f>
        <v>437.5</v>
      </c>
      <c r="S58" s="4">
        <f>S8*'0'!$C25/1000</f>
        <v>437.5</v>
      </c>
      <c r="T58" s="4">
        <f>T8*'0'!$C25/1000</f>
        <v>0</v>
      </c>
      <c r="U58" s="4">
        <f>U8*'0'!$C25/1000</f>
        <v>0</v>
      </c>
      <c r="V58" s="4">
        <f>V8*'0'!$C25/1000</f>
        <v>318.18181818181819</v>
      </c>
      <c r="W58" s="4">
        <f>W8*'0'!$C25/1000</f>
        <v>318.18181818181819</v>
      </c>
      <c r="X58" s="4">
        <f>X8*'0'!$C25/1000</f>
        <v>318.18181818181819</v>
      </c>
      <c r="Y58" s="4">
        <f>Y8*'0'!$C25/1000</f>
        <v>0</v>
      </c>
      <c r="Z58" s="4">
        <f>Z8*'0'!$C25/1000</f>
        <v>0</v>
      </c>
      <c r="AA58" s="4">
        <f>AA8*'0'!$C25/1000</f>
        <v>0</v>
      </c>
      <c r="AB58" s="4">
        <f>AB8*'0'!$C25/1000</f>
        <v>636.36363636363649</v>
      </c>
      <c r="AC58" s="4">
        <f>AC8*'0'!$C25/1000</f>
        <v>636.36363636363649</v>
      </c>
      <c r="AD58" s="4">
        <f>AD8*'0'!$C25/1000</f>
        <v>636.36363636363649</v>
      </c>
      <c r="AE58" s="4">
        <f>AE8*'0'!$C25/1000</f>
        <v>636.36363636363649</v>
      </c>
      <c r="AF58" s="4">
        <f>AF8*'0'!$C25/1000</f>
        <v>0</v>
      </c>
      <c r="AG58" s="4">
        <f>AG8*'0'!$C25/1000</f>
        <v>0</v>
      </c>
      <c r="AH58" s="4">
        <f>AH8*'0'!$C25/1000</f>
        <v>500.00000000000006</v>
      </c>
      <c r="AI58" s="4">
        <f>AI8*'0'!$C25/1000</f>
        <v>500.00000000000006</v>
      </c>
      <c r="AJ58" s="4">
        <f>AJ8*'0'!$C25/1000</f>
        <v>500.00000000000006</v>
      </c>
      <c r="AK58" s="4">
        <f>AK8*'0'!$C25/1000</f>
        <v>0</v>
      </c>
      <c r="AL58" s="4">
        <f>AL8*'0'!$C25/1000</f>
        <v>0</v>
      </c>
      <c r="AM58" s="4">
        <f>AM8*'0'!$C25/1000</f>
        <v>0</v>
      </c>
      <c r="AN58" s="4">
        <f>AN8*'0'!$C25/1000</f>
        <v>500.00000000000006</v>
      </c>
      <c r="AO58" s="4">
        <f>AO8*'0'!$C25/1000</f>
        <v>500.00000000000006</v>
      </c>
      <c r="AP58" s="4">
        <f>AP8*'0'!$C25/1000</f>
        <v>500.00000000000006</v>
      </c>
      <c r="AQ58" s="4">
        <f>AQ8*'0'!$C25/1000</f>
        <v>500.00000000000006</v>
      </c>
    </row>
    <row r="59" spans="1:55" x14ac:dyDescent="0.2">
      <c r="J59" s="10"/>
      <c r="K59" s="10"/>
      <c r="L59" s="10"/>
      <c r="P59" s="10"/>
      <c r="Q59" s="10"/>
      <c r="R59" s="10"/>
      <c r="S59" s="10"/>
      <c r="V59" s="10"/>
      <c r="W59" s="10"/>
      <c r="X59" s="10"/>
    </row>
    <row r="60" spans="1:55" ht="13.5" thickBot="1" x14ac:dyDescent="0.25">
      <c r="A60" t="s">
        <v>124</v>
      </c>
    </row>
    <row r="61" spans="1:55" ht="13.5" thickBot="1" x14ac:dyDescent="0.25">
      <c r="A61" s="24" t="s">
        <v>6</v>
      </c>
      <c r="B61" s="24"/>
      <c r="C61" s="27">
        <f t="shared" ref="C61:AQ61" si="33">SUM(C62:C62)</f>
        <v>583.33333333333326</v>
      </c>
      <c r="D61" s="27">
        <f t="shared" si="33"/>
        <v>583.33333333333326</v>
      </c>
      <c r="E61" s="27">
        <f t="shared" si="33"/>
        <v>583.33333333333326</v>
      </c>
      <c r="F61" s="27">
        <f t="shared" si="33"/>
        <v>583.33333333333326</v>
      </c>
      <c r="G61" s="27">
        <f t="shared" si="33"/>
        <v>0</v>
      </c>
      <c r="H61" s="27">
        <f t="shared" si="33"/>
        <v>0</v>
      </c>
      <c r="I61" s="27">
        <f t="shared" si="33"/>
        <v>424.24242424242419</v>
      </c>
      <c r="J61" s="27">
        <f t="shared" si="33"/>
        <v>424.24242424242419</v>
      </c>
      <c r="K61" s="27">
        <f t="shared" si="33"/>
        <v>424.24242424242419</v>
      </c>
      <c r="L61" s="27">
        <f t="shared" si="33"/>
        <v>0</v>
      </c>
      <c r="M61" s="27">
        <f t="shared" si="33"/>
        <v>0</v>
      </c>
      <c r="N61" s="27">
        <f t="shared" si="33"/>
        <v>0</v>
      </c>
      <c r="O61" s="27">
        <f t="shared" si="33"/>
        <v>848.4848484848485</v>
      </c>
      <c r="P61" s="27">
        <f t="shared" si="33"/>
        <v>848.4848484848485</v>
      </c>
      <c r="Q61" s="27">
        <f t="shared" si="33"/>
        <v>848.4848484848485</v>
      </c>
      <c r="R61" s="27">
        <f t="shared" si="33"/>
        <v>848.4848484848485</v>
      </c>
      <c r="S61" s="27">
        <f t="shared" si="33"/>
        <v>0</v>
      </c>
      <c r="T61" s="27">
        <f t="shared" si="33"/>
        <v>0</v>
      </c>
      <c r="U61" s="27">
        <f t="shared" si="33"/>
        <v>666.66666666666663</v>
      </c>
      <c r="V61" s="27">
        <f t="shared" si="33"/>
        <v>666.66666666666663</v>
      </c>
      <c r="W61" s="27">
        <f t="shared" si="33"/>
        <v>666.66666666666663</v>
      </c>
      <c r="X61" s="27">
        <f t="shared" si="33"/>
        <v>0</v>
      </c>
      <c r="Y61" s="27">
        <f t="shared" si="33"/>
        <v>0</v>
      </c>
      <c r="Z61" s="27">
        <f t="shared" si="33"/>
        <v>0</v>
      </c>
      <c r="AA61" s="27">
        <f t="shared" si="33"/>
        <v>666.66666666666663</v>
      </c>
      <c r="AB61" s="27">
        <f t="shared" si="33"/>
        <v>666.66666666666663</v>
      </c>
      <c r="AC61" s="27">
        <f t="shared" si="33"/>
        <v>666.66666666666663</v>
      </c>
      <c r="AD61" s="27">
        <f t="shared" si="33"/>
        <v>666.66666666666663</v>
      </c>
      <c r="AE61" s="27">
        <f t="shared" si="33"/>
        <v>0</v>
      </c>
      <c r="AF61" s="27">
        <f t="shared" si="33"/>
        <v>0</v>
      </c>
      <c r="AG61" s="27">
        <f t="shared" si="33"/>
        <v>0</v>
      </c>
      <c r="AH61" s="27">
        <f t="shared" si="33"/>
        <v>0</v>
      </c>
      <c r="AI61" s="27">
        <f t="shared" si="33"/>
        <v>0</v>
      </c>
      <c r="AJ61" s="27">
        <f t="shared" si="33"/>
        <v>0</v>
      </c>
      <c r="AK61" s="27">
        <f t="shared" si="33"/>
        <v>0</v>
      </c>
      <c r="AL61" s="27">
        <f t="shared" si="33"/>
        <v>0</v>
      </c>
      <c r="AM61" s="27">
        <f t="shared" si="33"/>
        <v>0</v>
      </c>
      <c r="AN61" s="27">
        <f t="shared" si="33"/>
        <v>0</v>
      </c>
      <c r="AO61" s="27">
        <f t="shared" si="33"/>
        <v>0</v>
      </c>
      <c r="AP61" s="27">
        <f t="shared" si="33"/>
        <v>0</v>
      </c>
      <c r="AQ61" s="27">
        <f t="shared" si="33"/>
        <v>0</v>
      </c>
    </row>
    <row r="62" spans="1:55" x14ac:dyDescent="0.2">
      <c r="C62" s="4">
        <f>C12*'0'!$C$27/1000</f>
        <v>583.33333333333326</v>
      </c>
      <c r="D62" s="4">
        <f>D12*'0'!$C$27/1000</f>
        <v>583.33333333333326</v>
      </c>
      <c r="E62" s="4">
        <f>E12*'0'!$C$27/1000</f>
        <v>583.33333333333326</v>
      </c>
      <c r="F62" s="4">
        <f>F12*'0'!$C$27/1000</f>
        <v>583.33333333333326</v>
      </c>
      <c r="G62" s="4">
        <f>G12*'0'!$C$27/1000</f>
        <v>0</v>
      </c>
      <c r="H62" s="4">
        <f>H12*'0'!$C$27/1000</f>
        <v>0</v>
      </c>
      <c r="I62" s="4">
        <f>I12*'0'!$C$27/1000</f>
        <v>424.24242424242419</v>
      </c>
      <c r="J62" s="4">
        <f>J12*'0'!$C$27/1000</f>
        <v>424.24242424242419</v>
      </c>
      <c r="K62" s="4">
        <f>K12*'0'!$C$27/1000</f>
        <v>424.24242424242419</v>
      </c>
      <c r="L62" s="4">
        <f>L12*'0'!$C$27/1000</f>
        <v>0</v>
      </c>
      <c r="M62" s="4">
        <f>M12*'0'!$C$27/1000</f>
        <v>0</v>
      </c>
      <c r="N62" s="4">
        <f>N12*'0'!$C$27/1000</f>
        <v>0</v>
      </c>
      <c r="O62" s="4">
        <f>O12*'0'!$C$27/1000</f>
        <v>848.4848484848485</v>
      </c>
      <c r="P62" s="4">
        <f>P12*'0'!$C$27/1000</f>
        <v>848.4848484848485</v>
      </c>
      <c r="Q62" s="4">
        <f>Q12*'0'!$C$27/1000</f>
        <v>848.4848484848485</v>
      </c>
      <c r="R62" s="4">
        <f>R12*'0'!$C$27/1000</f>
        <v>848.4848484848485</v>
      </c>
      <c r="S62" s="4">
        <f>S12*'0'!$C$27/1000</f>
        <v>0</v>
      </c>
      <c r="T62" s="4">
        <f>T12*'0'!$C$27/1000</f>
        <v>0</v>
      </c>
      <c r="U62" s="4">
        <f>U12*'0'!$C$27/1000</f>
        <v>666.66666666666663</v>
      </c>
      <c r="V62" s="4">
        <f>V12*'0'!$C$27/1000</f>
        <v>666.66666666666663</v>
      </c>
      <c r="W62" s="4">
        <f>W12*'0'!$C$27/1000</f>
        <v>666.66666666666663</v>
      </c>
      <c r="X62" s="4">
        <f>X12*'0'!$C$27/1000</f>
        <v>0</v>
      </c>
      <c r="Y62" s="4">
        <f>Y12*'0'!$C$27/1000</f>
        <v>0</v>
      </c>
      <c r="Z62" s="4">
        <f>Z12*'0'!$C$27/1000</f>
        <v>0</v>
      </c>
      <c r="AA62" s="4">
        <f>AA12*'0'!$C$27/1000</f>
        <v>666.66666666666663</v>
      </c>
      <c r="AB62" s="4">
        <f>AB12*'0'!$C$27/1000</f>
        <v>666.66666666666663</v>
      </c>
      <c r="AC62" s="4">
        <f>AC12*'0'!$C$27/1000</f>
        <v>666.66666666666663</v>
      </c>
      <c r="AD62" s="4">
        <f>AD12*'0'!$C$27/1000</f>
        <v>666.66666666666663</v>
      </c>
      <c r="AE62" s="4">
        <f>AE12*'0'!$C$27/1000</f>
        <v>0</v>
      </c>
      <c r="AF62" s="4">
        <f>AF12*'0'!$C$27/1000</f>
        <v>0</v>
      </c>
      <c r="AG62" s="4">
        <f>AG12*'0'!$C$27/1000</f>
        <v>0</v>
      </c>
      <c r="AH62" s="4">
        <f>AH12*'0'!$C$27/1000</f>
        <v>0</v>
      </c>
      <c r="AI62" s="4">
        <f>AI12*'0'!$C$27/1000</f>
        <v>0</v>
      </c>
      <c r="AJ62" s="4">
        <f>AJ12*'0'!$C$27/1000</f>
        <v>0</v>
      </c>
      <c r="AK62" s="4">
        <f>AK12*'0'!$C$27/1000</f>
        <v>0</v>
      </c>
      <c r="AL62" s="4">
        <f>AL12*'0'!$C$27/1000</f>
        <v>0</v>
      </c>
      <c r="AM62" s="4">
        <f>AM12*'0'!$C$27/1000</f>
        <v>0</v>
      </c>
      <c r="AN62" s="4">
        <f>AN12*'0'!$C$27/1000</f>
        <v>0</v>
      </c>
      <c r="AO62" s="4">
        <f>AO12*'0'!$C$27/1000</f>
        <v>0</v>
      </c>
      <c r="AP62" s="4">
        <f>AP12*'0'!$C$27/1000</f>
        <v>0</v>
      </c>
      <c r="AQ62" s="4">
        <f>AQ12*'0'!$C$27/1000</f>
        <v>0</v>
      </c>
    </row>
    <row r="64" spans="1:55" ht="13.5" thickBot="1" x14ac:dyDescent="0.25">
      <c r="A64" t="s">
        <v>14</v>
      </c>
    </row>
    <row r="65" spans="1:43" ht="13.5" thickBot="1" x14ac:dyDescent="0.25">
      <c r="A65" s="24" t="s">
        <v>6</v>
      </c>
      <c r="B65" s="24"/>
      <c r="C65" s="27">
        <f t="shared" ref="C65:AQ65" si="34">SUM(C66:C70)</f>
        <v>0</v>
      </c>
      <c r="D65" s="27">
        <f t="shared" si="34"/>
        <v>0</v>
      </c>
      <c r="E65" s="27">
        <f t="shared" si="34"/>
        <v>0</v>
      </c>
      <c r="F65" s="27">
        <f t="shared" si="34"/>
        <v>0</v>
      </c>
      <c r="G65" s="27">
        <f t="shared" si="34"/>
        <v>0</v>
      </c>
      <c r="H65" s="27">
        <f t="shared" si="34"/>
        <v>0</v>
      </c>
      <c r="I65" s="27">
        <f t="shared" si="34"/>
        <v>0</v>
      </c>
      <c r="J65" s="27">
        <f t="shared" si="34"/>
        <v>0</v>
      </c>
      <c r="K65" s="27">
        <f t="shared" si="34"/>
        <v>0</v>
      </c>
      <c r="L65" s="27">
        <f t="shared" si="34"/>
        <v>0</v>
      </c>
      <c r="M65" s="27">
        <f t="shared" si="34"/>
        <v>0</v>
      </c>
      <c r="N65" s="27">
        <f t="shared" si="34"/>
        <v>0</v>
      </c>
      <c r="O65" s="27">
        <f t="shared" si="34"/>
        <v>0</v>
      </c>
      <c r="P65" s="27">
        <f t="shared" si="34"/>
        <v>9062.5</v>
      </c>
      <c r="Q65" s="27">
        <f t="shared" si="34"/>
        <v>9062.5</v>
      </c>
      <c r="R65" s="27">
        <f t="shared" si="34"/>
        <v>9062.5</v>
      </c>
      <c r="S65" s="27">
        <f t="shared" si="34"/>
        <v>9062.5</v>
      </c>
      <c r="T65" s="27">
        <f t="shared" si="34"/>
        <v>0</v>
      </c>
      <c r="U65" s="27">
        <f t="shared" si="34"/>
        <v>0</v>
      </c>
      <c r="V65" s="27">
        <f t="shared" si="34"/>
        <v>6590.9090909090901</v>
      </c>
      <c r="W65" s="27">
        <f t="shared" si="34"/>
        <v>6590.9090909090901</v>
      </c>
      <c r="X65" s="27">
        <f t="shared" si="34"/>
        <v>6590.9090909090901</v>
      </c>
      <c r="Y65" s="27">
        <f t="shared" si="34"/>
        <v>0</v>
      </c>
      <c r="Z65" s="27">
        <f t="shared" si="34"/>
        <v>0</v>
      </c>
      <c r="AA65" s="27">
        <f t="shared" si="34"/>
        <v>0</v>
      </c>
      <c r="AB65" s="27">
        <f t="shared" si="34"/>
        <v>13181.818181818184</v>
      </c>
      <c r="AC65" s="27">
        <f t="shared" si="34"/>
        <v>13181.818181818184</v>
      </c>
      <c r="AD65" s="27">
        <f t="shared" si="34"/>
        <v>13181.818181818184</v>
      </c>
      <c r="AE65" s="27">
        <f t="shared" si="34"/>
        <v>13181.818181818184</v>
      </c>
      <c r="AF65" s="27">
        <f t="shared" si="34"/>
        <v>0</v>
      </c>
      <c r="AG65" s="27">
        <f t="shared" si="34"/>
        <v>0</v>
      </c>
      <c r="AH65" s="27">
        <f t="shared" si="34"/>
        <v>10357.142857142859</v>
      </c>
      <c r="AI65" s="27">
        <f t="shared" si="34"/>
        <v>10357.142857142859</v>
      </c>
      <c r="AJ65" s="27">
        <f t="shared" si="34"/>
        <v>10357.142857142859</v>
      </c>
      <c r="AK65" s="27">
        <f t="shared" si="34"/>
        <v>0</v>
      </c>
      <c r="AL65" s="27">
        <f t="shared" si="34"/>
        <v>0</v>
      </c>
      <c r="AM65" s="27">
        <f t="shared" si="34"/>
        <v>0</v>
      </c>
      <c r="AN65" s="27">
        <f t="shared" si="34"/>
        <v>10357.142857142859</v>
      </c>
      <c r="AO65" s="27">
        <f t="shared" si="34"/>
        <v>10357.142857142859</v>
      </c>
      <c r="AP65" s="27">
        <f t="shared" si="34"/>
        <v>10357.142857142859</v>
      </c>
      <c r="AQ65" s="27">
        <f t="shared" si="34"/>
        <v>10357.142857142859</v>
      </c>
    </row>
    <row r="66" spans="1:43" x14ac:dyDescent="0.2">
      <c r="A66" s="30" t="s">
        <v>21</v>
      </c>
      <c r="C66" s="4">
        <f>C55*'0'!$D$6</f>
        <v>0</v>
      </c>
      <c r="D66" s="4">
        <f>D55*'0'!$D$6</f>
        <v>0</v>
      </c>
      <c r="E66" s="4">
        <f>E55*'0'!$D$6</f>
        <v>0</v>
      </c>
      <c r="F66" s="4">
        <f>F55*'0'!$D$6</f>
        <v>0</v>
      </c>
      <c r="G66" s="4">
        <f>G55*'0'!$D$6</f>
        <v>0</v>
      </c>
      <c r="H66" s="4">
        <f>H55*'0'!$D$6</f>
        <v>0</v>
      </c>
      <c r="I66" s="4">
        <f>I55*'0'!$D$6</f>
        <v>0</v>
      </c>
      <c r="J66" s="4">
        <f>J55*'0'!$D$6</f>
        <v>0</v>
      </c>
      <c r="K66" s="4">
        <f>K55*'0'!$D$6</f>
        <v>0</v>
      </c>
      <c r="L66" s="4">
        <f>L55*'0'!$D$6</f>
        <v>0</v>
      </c>
      <c r="M66" s="4">
        <f>M55*'0'!$D$6</f>
        <v>0</v>
      </c>
      <c r="N66" s="4">
        <f>N55*'0'!$D$6</f>
        <v>0</v>
      </c>
      <c r="O66" s="4">
        <f>O55*'0'!$D$6</f>
        <v>0</v>
      </c>
      <c r="P66" s="4">
        <f>P55*'0'!$D$6</f>
        <v>0</v>
      </c>
      <c r="Q66" s="4">
        <f>Q55*'0'!$D$6</f>
        <v>0</v>
      </c>
      <c r="R66" s="4">
        <f>R55*'0'!$D$6</f>
        <v>0</v>
      </c>
      <c r="S66" s="4">
        <f>S55*'0'!$D$6</f>
        <v>0</v>
      </c>
      <c r="T66" s="4">
        <f>T55*'0'!$D$6</f>
        <v>0</v>
      </c>
      <c r="U66" s="4">
        <f>U55*'0'!$D$6</f>
        <v>0</v>
      </c>
      <c r="V66" s="4">
        <f>V55*'0'!$D$6</f>
        <v>0</v>
      </c>
      <c r="W66" s="4">
        <f>W55*'0'!$D$6</f>
        <v>0</v>
      </c>
      <c r="X66" s="4">
        <f>X55*'0'!$D$6</f>
        <v>0</v>
      </c>
      <c r="Y66" s="4">
        <f>Y55*'0'!$D$6</f>
        <v>0</v>
      </c>
      <c r="Z66" s="4">
        <f>Z55*'0'!$D$6</f>
        <v>0</v>
      </c>
      <c r="AA66" s="4">
        <f>AA55*'0'!$D$6</f>
        <v>0</v>
      </c>
      <c r="AB66" s="4">
        <f>AB55*'0'!$D$6</f>
        <v>0</v>
      </c>
      <c r="AC66" s="4">
        <f>AC55*'0'!$D$6</f>
        <v>0</v>
      </c>
      <c r="AD66" s="4">
        <f>AD55*'0'!$D$6</f>
        <v>0</v>
      </c>
      <c r="AE66" s="4">
        <f>AE55*'0'!$D$6</f>
        <v>0</v>
      </c>
      <c r="AF66" s="4">
        <f>AF55*'0'!$D$6</f>
        <v>0</v>
      </c>
      <c r="AG66" s="4">
        <f>AG55*'0'!$D$6</f>
        <v>0</v>
      </c>
      <c r="AH66" s="4">
        <f>AH55*'0'!$D$6</f>
        <v>0</v>
      </c>
      <c r="AI66" s="4">
        <f>AI55*'0'!$D$6</f>
        <v>0</v>
      </c>
      <c r="AJ66" s="4">
        <f>AJ55*'0'!$D$6</f>
        <v>0</v>
      </c>
      <c r="AK66" s="4">
        <f>AK55*'0'!$D$6</f>
        <v>0</v>
      </c>
      <c r="AL66" s="4">
        <f>AL55*'0'!$D$6</f>
        <v>0</v>
      </c>
      <c r="AM66" s="4">
        <f>AM55*'0'!$D$6</f>
        <v>0</v>
      </c>
      <c r="AN66" s="4">
        <f>AN55*'0'!$D$6</f>
        <v>0</v>
      </c>
      <c r="AO66" s="4">
        <f>AO55*'0'!$D$6</f>
        <v>0</v>
      </c>
      <c r="AP66" s="4">
        <f>AP55*'0'!$D$6</f>
        <v>0</v>
      </c>
      <c r="AQ66" s="4">
        <f>AQ55*'0'!$D$6</f>
        <v>0</v>
      </c>
    </row>
    <row r="67" spans="1:43" x14ac:dyDescent="0.2">
      <c r="A67">
        <v>0</v>
      </c>
      <c r="B67" s="21">
        <f t="array" ref="B67:B70">TRANSPOSE('0'!G7:J7)</f>
        <v>1</v>
      </c>
      <c r="C67" s="4">
        <f t="shared" ref="C67:AQ67" si="35">(C55-C66)*$B$67</f>
        <v>0</v>
      </c>
      <c r="D67" s="4">
        <f t="shared" si="35"/>
        <v>0</v>
      </c>
      <c r="E67" s="4">
        <f t="shared" si="35"/>
        <v>0</v>
      </c>
      <c r="F67" s="4">
        <f t="shared" si="35"/>
        <v>0</v>
      </c>
      <c r="G67" s="4">
        <f t="shared" si="35"/>
        <v>0</v>
      </c>
      <c r="H67" s="4">
        <f t="shared" si="35"/>
        <v>0</v>
      </c>
      <c r="I67" s="4">
        <f t="shared" si="35"/>
        <v>0</v>
      </c>
      <c r="J67" s="4">
        <f t="shared" si="35"/>
        <v>0</v>
      </c>
      <c r="K67" s="4">
        <f t="shared" si="35"/>
        <v>0</v>
      </c>
      <c r="L67" s="4">
        <f t="shared" si="35"/>
        <v>0</v>
      </c>
      <c r="M67" s="4">
        <f t="shared" si="35"/>
        <v>0</v>
      </c>
      <c r="N67" s="4">
        <f t="shared" si="35"/>
        <v>0</v>
      </c>
      <c r="O67" s="4">
        <f t="shared" si="35"/>
        <v>0</v>
      </c>
      <c r="P67" s="4">
        <f t="shared" si="35"/>
        <v>9062.5</v>
      </c>
      <c r="Q67" s="4">
        <f t="shared" si="35"/>
        <v>9062.5</v>
      </c>
      <c r="R67" s="4">
        <f t="shared" si="35"/>
        <v>9062.5</v>
      </c>
      <c r="S67" s="4">
        <f t="shared" si="35"/>
        <v>9062.5</v>
      </c>
      <c r="T67" s="4">
        <f t="shared" si="35"/>
        <v>0</v>
      </c>
      <c r="U67" s="4">
        <f t="shared" si="35"/>
        <v>0</v>
      </c>
      <c r="V67" s="4">
        <f t="shared" si="35"/>
        <v>6590.9090909090901</v>
      </c>
      <c r="W67" s="4">
        <f t="shared" si="35"/>
        <v>6590.9090909090901</v>
      </c>
      <c r="X67" s="4">
        <f t="shared" si="35"/>
        <v>6590.9090909090901</v>
      </c>
      <c r="Y67" s="4">
        <f t="shared" si="35"/>
        <v>0</v>
      </c>
      <c r="Z67" s="4">
        <f t="shared" si="35"/>
        <v>0</v>
      </c>
      <c r="AA67" s="4">
        <f t="shared" si="35"/>
        <v>0</v>
      </c>
      <c r="AB67" s="4">
        <f t="shared" si="35"/>
        <v>13181.818181818184</v>
      </c>
      <c r="AC67" s="4">
        <f t="shared" si="35"/>
        <v>13181.818181818184</v>
      </c>
      <c r="AD67" s="4">
        <f t="shared" si="35"/>
        <v>13181.818181818184</v>
      </c>
      <c r="AE67" s="4">
        <f t="shared" si="35"/>
        <v>13181.818181818184</v>
      </c>
      <c r="AF67" s="4">
        <f t="shared" si="35"/>
        <v>0</v>
      </c>
      <c r="AG67" s="4">
        <f t="shared" si="35"/>
        <v>0</v>
      </c>
      <c r="AH67" s="4">
        <f t="shared" si="35"/>
        <v>10357.142857142859</v>
      </c>
      <c r="AI67" s="4">
        <f t="shared" si="35"/>
        <v>10357.142857142859</v>
      </c>
      <c r="AJ67" s="4">
        <f t="shared" si="35"/>
        <v>10357.142857142859</v>
      </c>
      <c r="AK67" s="4">
        <f t="shared" si="35"/>
        <v>0</v>
      </c>
      <c r="AL67" s="4">
        <f t="shared" si="35"/>
        <v>0</v>
      </c>
      <c r="AM67" s="4">
        <f t="shared" si="35"/>
        <v>0</v>
      </c>
      <c r="AN67" s="4">
        <f t="shared" si="35"/>
        <v>10357.142857142859</v>
      </c>
      <c r="AO67" s="4">
        <f t="shared" si="35"/>
        <v>10357.142857142859</v>
      </c>
      <c r="AP67" s="4">
        <f t="shared" si="35"/>
        <v>10357.142857142859</v>
      </c>
      <c r="AQ67" s="4">
        <f t="shared" si="35"/>
        <v>10357.142857142859</v>
      </c>
    </row>
    <row r="68" spans="1:43" x14ac:dyDescent="0.2">
      <c r="A68">
        <v>1</v>
      </c>
      <c r="B68" s="21">
        <v>0</v>
      </c>
      <c r="C68" s="4"/>
      <c r="D68" s="4">
        <f t="shared" ref="D68:AQ68" si="36">(C55-C66)*$B$68</f>
        <v>0</v>
      </c>
      <c r="E68" s="4">
        <f t="shared" si="36"/>
        <v>0</v>
      </c>
      <c r="F68" s="4">
        <f t="shared" si="36"/>
        <v>0</v>
      </c>
      <c r="G68" s="4">
        <f t="shared" si="36"/>
        <v>0</v>
      </c>
      <c r="H68" s="4">
        <f t="shared" si="36"/>
        <v>0</v>
      </c>
      <c r="I68" s="4">
        <f t="shared" si="36"/>
        <v>0</v>
      </c>
      <c r="J68" s="4">
        <f t="shared" si="36"/>
        <v>0</v>
      </c>
      <c r="K68" s="4">
        <f t="shared" si="36"/>
        <v>0</v>
      </c>
      <c r="L68" s="4">
        <f t="shared" si="36"/>
        <v>0</v>
      </c>
      <c r="M68" s="4">
        <f t="shared" si="36"/>
        <v>0</v>
      </c>
      <c r="N68" s="4">
        <f t="shared" si="36"/>
        <v>0</v>
      </c>
      <c r="O68" s="4">
        <f t="shared" si="36"/>
        <v>0</v>
      </c>
      <c r="P68" s="4">
        <f t="shared" si="36"/>
        <v>0</v>
      </c>
      <c r="Q68" s="4">
        <f t="shared" si="36"/>
        <v>0</v>
      </c>
      <c r="R68" s="4">
        <f t="shared" si="36"/>
        <v>0</v>
      </c>
      <c r="S68" s="4">
        <f t="shared" si="36"/>
        <v>0</v>
      </c>
      <c r="T68" s="4">
        <f t="shared" si="36"/>
        <v>0</v>
      </c>
      <c r="U68" s="4">
        <f t="shared" si="36"/>
        <v>0</v>
      </c>
      <c r="V68" s="4">
        <f t="shared" si="36"/>
        <v>0</v>
      </c>
      <c r="W68" s="4">
        <f t="shared" si="36"/>
        <v>0</v>
      </c>
      <c r="X68" s="4">
        <f t="shared" si="36"/>
        <v>0</v>
      </c>
      <c r="Y68" s="4">
        <f t="shared" si="36"/>
        <v>0</v>
      </c>
      <c r="Z68" s="4">
        <f t="shared" si="36"/>
        <v>0</v>
      </c>
      <c r="AA68" s="4">
        <f t="shared" si="36"/>
        <v>0</v>
      </c>
      <c r="AB68" s="4">
        <f t="shared" si="36"/>
        <v>0</v>
      </c>
      <c r="AC68" s="4">
        <f t="shared" si="36"/>
        <v>0</v>
      </c>
      <c r="AD68" s="4">
        <f t="shared" si="36"/>
        <v>0</v>
      </c>
      <c r="AE68" s="4">
        <f t="shared" si="36"/>
        <v>0</v>
      </c>
      <c r="AF68" s="4">
        <f t="shared" si="36"/>
        <v>0</v>
      </c>
      <c r="AG68" s="4">
        <f t="shared" si="36"/>
        <v>0</v>
      </c>
      <c r="AH68" s="4">
        <f t="shared" si="36"/>
        <v>0</v>
      </c>
      <c r="AI68" s="4">
        <f t="shared" si="36"/>
        <v>0</v>
      </c>
      <c r="AJ68" s="4">
        <f t="shared" si="36"/>
        <v>0</v>
      </c>
      <c r="AK68" s="4">
        <f t="shared" si="36"/>
        <v>0</v>
      </c>
      <c r="AL68" s="4">
        <f t="shared" si="36"/>
        <v>0</v>
      </c>
      <c r="AM68" s="4">
        <f t="shared" si="36"/>
        <v>0</v>
      </c>
      <c r="AN68" s="4">
        <f t="shared" si="36"/>
        <v>0</v>
      </c>
      <c r="AO68" s="4">
        <f t="shared" si="36"/>
        <v>0</v>
      </c>
      <c r="AP68" s="4">
        <f t="shared" si="36"/>
        <v>0</v>
      </c>
      <c r="AQ68" s="4">
        <f t="shared" si="36"/>
        <v>0</v>
      </c>
    </row>
    <row r="69" spans="1:43" x14ac:dyDescent="0.2">
      <c r="A69">
        <v>2</v>
      </c>
      <c r="B69" s="21">
        <v>0</v>
      </c>
      <c r="D69" s="4"/>
      <c r="E69" s="4">
        <f t="shared" ref="E69:AQ69" si="37">(C55-C66)*$B$69</f>
        <v>0</v>
      </c>
      <c r="F69" s="4">
        <f t="shared" si="37"/>
        <v>0</v>
      </c>
      <c r="G69" s="4">
        <f t="shared" si="37"/>
        <v>0</v>
      </c>
      <c r="H69" s="4">
        <f t="shared" si="37"/>
        <v>0</v>
      </c>
      <c r="I69" s="4">
        <f t="shared" si="37"/>
        <v>0</v>
      </c>
      <c r="J69" s="4">
        <f t="shared" si="37"/>
        <v>0</v>
      </c>
      <c r="K69" s="4">
        <f t="shared" si="37"/>
        <v>0</v>
      </c>
      <c r="L69" s="4">
        <f t="shared" si="37"/>
        <v>0</v>
      </c>
      <c r="M69" s="4">
        <f t="shared" si="37"/>
        <v>0</v>
      </c>
      <c r="N69" s="4">
        <f t="shared" si="37"/>
        <v>0</v>
      </c>
      <c r="O69" s="4">
        <f t="shared" si="37"/>
        <v>0</v>
      </c>
      <c r="P69" s="4">
        <f t="shared" si="37"/>
        <v>0</v>
      </c>
      <c r="Q69" s="4">
        <f t="shared" si="37"/>
        <v>0</v>
      </c>
      <c r="R69" s="4">
        <f t="shared" si="37"/>
        <v>0</v>
      </c>
      <c r="S69" s="4">
        <f t="shared" si="37"/>
        <v>0</v>
      </c>
      <c r="T69" s="4">
        <f t="shared" si="37"/>
        <v>0</v>
      </c>
      <c r="U69" s="4">
        <f t="shared" si="37"/>
        <v>0</v>
      </c>
      <c r="V69" s="4">
        <f t="shared" si="37"/>
        <v>0</v>
      </c>
      <c r="W69" s="4">
        <f t="shared" si="37"/>
        <v>0</v>
      </c>
      <c r="X69" s="4">
        <f t="shared" si="37"/>
        <v>0</v>
      </c>
      <c r="Y69" s="4">
        <f t="shared" si="37"/>
        <v>0</v>
      </c>
      <c r="Z69" s="4">
        <f t="shared" si="37"/>
        <v>0</v>
      </c>
      <c r="AA69" s="4">
        <f t="shared" si="37"/>
        <v>0</v>
      </c>
      <c r="AB69" s="4">
        <f t="shared" si="37"/>
        <v>0</v>
      </c>
      <c r="AC69" s="4">
        <f t="shared" si="37"/>
        <v>0</v>
      </c>
      <c r="AD69" s="4">
        <f t="shared" si="37"/>
        <v>0</v>
      </c>
      <c r="AE69" s="4">
        <f t="shared" si="37"/>
        <v>0</v>
      </c>
      <c r="AF69" s="4">
        <f t="shared" si="37"/>
        <v>0</v>
      </c>
      <c r="AG69" s="4">
        <f t="shared" si="37"/>
        <v>0</v>
      </c>
      <c r="AH69" s="4">
        <f t="shared" si="37"/>
        <v>0</v>
      </c>
      <c r="AI69" s="4">
        <f t="shared" si="37"/>
        <v>0</v>
      </c>
      <c r="AJ69" s="4">
        <f t="shared" si="37"/>
        <v>0</v>
      </c>
      <c r="AK69" s="4">
        <f t="shared" si="37"/>
        <v>0</v>
      </c>
      <c r="AL69" s="4">
        <f t="shared" si="37"/>
        <v>0</v>
      </c>
      <c r="AM69" s="4">
        <f t="shared" si="37"/>
        <v>0</v>
      </c>
      <c r="AN69" s="4">
        <f t="shared" si="37"/>
        <v>0</v>
      </c>
      <c r="AO69" s="4">
        <f t="shared" si="37"/>
        <v>0</v>
      </c>
      <c r="AP69" s="4">
        <f t="shared" si="37"/>
        <v>0</v>
      </c>
      <c r="AQ69" s="4">
        <f t="shared" si="37"/>
        <v>0</v>
      </c>
    </row>
    <row r="70" spans="1:43" ht="13.5" thickBot="1" x14ac:dyDescent="0.25">
      <c r="A70">
        <v>3</v>
      </c>
      <c r="B70" s="21">
        <v>0</v>
      </c>
      <c r="E70" s="4"/>
      <c r="F70" s="4">
        <f t="shared" ref="F70:AQ70" si="38">(C55-C66)*$B$70</f>
        <v>0</v>
      </c>
      <c r="G70" s="4">
        <f t="shared" si="38"/>
        <v>0</v>
      </c>
      <c r="H70" s="4">
        <f t="shared" si="38"/>
        <v>0</v>
      </c>
      <c r="I70" s="4">
        <f t="shared" si="38"/>
        <v>0</v>
      </c>
      <c r="J70" s="4">
        <f t="shared" si="38"/>
        <v>0</v>
      </c>
      <c r="K70" s="4">
        <f t="shared" si="38"/>
        <v>0</v>
      </c>
      <c r="L70" s="4">
        <f t="shared" si="38"/>
        <v>0</v>
      </c>
      <c r="M70" s="4">
        <f t="shared" si="38"/>
        <v>0</v>
      </c>
      <c r="N70" s="4">
        <f t="shared" si="38"/>
        <v>0</v>
      </c>
      <c r="O70" s="4">
        <f t="shared" si="38"/>
        <v>0</v>
      </c>
      <c r="P70" s="4">
        <f t="shared" si="38"/>
        <v>0</v>
      </c>
      <c r="Q70" s="4">
        <f t="shared" si="38"/>
        <v>0</v>
      </c>
      <c r="R70" s="4">
        <f t="shared" si="38"/>
        <v>0</v>
      </c>
      <c r="S70" s="4">
        <f t="shared" si="38"/>
        <v>0</v>
      </c>
      <c r="T70" s="4">
        <f t="shared" si="38"/>
        <v>0</v>
      </c>
      <c r="U70" s="4">
        <f t="shared" si="38"/>
        <v>0</v>
      </c>
      <c r="V70" s="4">
        <f t="shared" si="38"/>
        <v>0</v>
      </c>
      <c r="W70" s="4">
        <f t="shared" si="38"/>
        <v>0</v>
      </c>
      <c r="X70" s="4">
        <f t="shared" si="38"/>
        <v>0</v>
      </c>
      <c r="Y70" s="4">
        <f t="shared" si="38"/>
        <v>0</v>
      </c>
      <c r="Z70" s="4">
        <f t="shared" si="38"/>
        <v>0</v>
      </c>
      <c r="AA70" s="4">
        <f t="shared" si="38"/>
        <v>0</v>
      </c>
      <c r="AB70" s="4">
        <f t="shared" si="38"/>
        <v>0</v>
      </c>
      <c r="AC70" s="4">
        <f t="shared" si="38"/>
        <v>0</v>
      </c>
      <c r="AD70" s="4">
        <f t="shared" si="38"/>
        <v>0</v>
      </c>
      <c r="AE70" s="4">
        <f t="shared" si="38"/>
        <v>0</v>
      </c>
      <c r="AF70" s="4">
        <f t="shared" si="38"/>
        <v>0</v>
      </c>
      <c r="AG70" s="4">
        <f t="shared" si="38"/>
        <v>0</v>
      </c>
      <c r="AH70" s="4">
        <f t="shared" si="38"/>
        <v>0</v>
      </c>
      <c r="AI70" s="4">
        <f t="shared" si="38"/>
        <v>0</v>
      </c>
      <c r="AJ70" s="4">
        <f t="shared" si="38"/>
        <v>0</v>
      </c>
      <c r="AK70" s="4">
        <f t="shared" si="38"/>
        <v>0</v>
      </c>
      <c r="AL70" s="4">
        <f t="shared" si="38"/>
        <v>0</v>
      </c>
      <c r="AM70" s="4">
        <f t="shared" si="38"/>
        <v>0</v>
      </c>
      <c r="AN70" s="4">
        <f t="shared" si="38"/>
        <v>0</v>
      </c>
      <c r="AO70" s="4">
        <f t="shared" si="38"/>
        <v>0</v>
      </c>
      <c r="AP70" s="4">
        <f t="shared" si="38"/>
        <v>0</v>
      </c>
      <c r="AQ70" s="4">
        <f t="shared" si="38"/>
        <v>0</v>
      </c>
    </row>
    <row r="71" spans="1:43" ht="13.5" thickBot="1" x14ac:dyDescent="0.25">
      <c r="A71" s="31" t="s">
        <v>112</v>
      </c>
      <c r="B71" s="31"/>
      <c r="C71" s="32">
        <f>SUM($C$55:C55)-SUM($C$65:C65)</f>
        <v>0</v>
      </c>
      <c r="D71" s="32">
        <f>SUM($C$55:D55)-SUM($C$65:D65)</f>
        <v>0</v>
      </c>
      <c r="E71" s="32">
        <f>SUM($C$55:E55)-SUM($C$65:E65)</f>
        <v>0</v>
      </c>
      <c r="F71" s="32">
        <f>SUM($C$55:F55)-SUM($C$65:F65)</f>
        <v>0</v>
      </c>
      <c r="G71" s="32">
        <f>SUM($C$55:G55)-SUM($C$65:G65)</f>
        <v>0</v>
      </c>
      <c r="H71" s="32">
        <f>SUM($C$55:H55)-SUM($C$65:H65)</f>
        <v>0</v>
      </c>
      <c r="I71" s="32">
        <f>SUM($C$55:I55)-SUM($C$65:I65)</f>
        <v>0</v>
      </c>
      <c r="J71" s="32">
        <f>SUM($C$55:J55)-SUM($C$65:J65)</f>
        <v>0</v>
      </c>
      <c r="K71" s="32">
        <f>SUM($C$55:K55)-SUM($C$65:K65)</f>
        <v>0</v>
      </c>
      <c r="L71" s="32">
        <f>SUM($C$55:L55)-SUM($C$65:L65)</f>
        <v>0</v>
      </c>
      <c r="M71" s="32">
        <f>SUM($C$55:M55)-SUM($C$65:M65)</f>
        <v>0</v>
      </c>
      <c r="N71" s="32">
        <f>SUM($C$55:N55)-SUM($C$65:N65)</f>
        <v>0</v>
      </c>
      <c r="O71" s="32">
        <f>SUM($C$55:O55)-SUM($C$65:O65)</f>
        <v>0</v>
      </c>
      <c r="P71" s="32">
        <f>SUM($C$55:P55)-SUM($C$65:P65)</f>
        <v>0</v>
      </c>
      <c r="Q71" s="32">
        <f>SUM($C$55:Q55)-SUM($C$65:Q65)</f>
        <v>0</v>
      </c>
      <c r="R71" s="32">
        <f>SUM($C$55:R55)-SUM($C$65:R65)</f>
        <v>0</v>
      </c>
      <c r="S71" s="32">
        <f>SUM($C$55:S55)-SUM($C$65:S65)</f>
        <v>0</v>
      </c>
      <c r="T71" s="32">
        <f>SUM($C$55:T55)-SUM($C$65:T65)</f>
        <v>0</v>
      </c>
      <c r="U71" s="32">
        <f>SUM($C$55:U55)-SUM($C$65:U65)</f>
        <v>0</v>
      </c>
      <c r="V71" s="32">
        <f>SUM($C$55:V55)-SUM($C$65:V65)</f>
        <v>0</v>
      </c>
      <c r="W71" s="32">
        <f>SUM($C$55:W55)-SUM($C$65:W65)</f>
        <v>0</v>
      </c>
      <c r="X71" s="32">
        <f>SUM($C$55:X55)-SUM($C$65:X65)</f>
        <v>0</v>
      </c>
      <c r="Y71" s="32">
        <f>SUM($C$55:Y55)-SUM($C$65:Y65)</f>
        <v>0</v>
      </c>
      <c r="Z71" s="32">
        <f>SUM($C$55:Z55)-SUM($C$65:Z65)</f>
        <v>0</v>
      </c>
      <c r="AA71" s="32">
        <f>SUM($C$55:AA55)-SUM($C$65:AA65)</f>
        <v>0</v>
      </c>
      <c r="AB71" s="32">
        <f>SUM($C$55:AB55)-SUM($C$65:AB65)</f>
        <v>0</v>
      </c>
      <c r="AC71" s="32">
        <f>SUM($C$55:AC55)-SUM($C$65:AC65)</f>
        <v>0</v>
      </c>
      <c r="AD71" s="32">
        <f>SUM($C$55:AD55)-SUM($C$65:AD65)</f>
        <v>0</v>
      </c>
      <c r="AE71" s="32">
        <f>SUM($C$55:AE55)-SUM($C$65:AE65)</f>
        <v>0</v>
      </c>
      <c r="AF71" s="32">
        <f>SUM($C$55:AF55)-SUM($C$65:AF65)</f>
        <v>0</v>
      </c>
      <c r="AG71" s="32">
        <f>SUM($C$55:AG55)-SUM($C$65:AG65)</f>
        <v>0</v>
      </c>
      <c r="AH71" s="32">
        <f>SUM($C$55:AH55)-SUM($C$65:AH65)</f>
        <v>0</v>
      </c>
      <c r="AI71" s="32">
        <f>SUM($C$55:AI55)-SUM($C$65:AI65)</f>
        <v>0</v>
      </c>
      <c r="AJ71" s="32">
        <f>SUM($C$55:AJ55)-SUM($C$65:AJ65)</f>
        <v>0</v>
      </c>
      <c r="AK71" s="32">
        <f>SUM($C$55:AK55)-SUM($C$65:AK65)</f>
        <v>0</v>
      </c>
      <c r="AL71" s="32">
        <f>SUM($C$55:AL55)-SUM($C$65:AL65)</f>
        <v>0</v>
      </c>
      <c r="AM71" s="32">
        <f>SUM($C$55:AM55)-SUM($C$65:AM65)</f>
        <v>0</v>
      </c>
      <c r="AN71" s="32">
        <f>SUM($C$55:AN55)-SUM($C$65:AN65)</f>
        <v>0</v>
      </c>
      <c r="AO71" s="32">
        <f>SUM($C$55:AO55)-SUM($C$65:AO65)</f>
        <v>0</v>
      </c>
      <c r="AP71" s="32">
        <f>SUM($C$55:AP55)-SUM($C$65:AP65)</f>
        <v>0</v>
      </c>
      <c r="AQ71" s="32">
        <f>SUM($C$55:AQ55)-SUM($C$65:AQ65)</f>
        <v>0</v>
      </c>
    </row>
    <row r="72" spans="1:43" x14ac:dyDescent="0.2">
      <c r="B72" s="21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</row>
    <row r="73" spans="1:43" ht="13.5" thickBot="1" x14ac:dyDescent="0.25">
      <c r="A73" t="s">
        <v>22</v>
      </c>
    </row>
    <row r="74" spans="1:43" ht="13.5" thickBot="1" x14ac:dyDescent="0.25">
      <c r="A74" s="24" t="s">
        <v>6</v>
      </c>
      <c r="B74" s="24"/>
      <c r="C74" s="27">
        <f t="shared" ref="C74:AQ74" si="39">SUM(C75:C79)</f>
        <v>291.66666666666663</v>
      </c>
      <c r="D74" s="27">
        <f t="shared" si="39"/>
        <v>583.33333333333326</v>
      </c>
      <c r="E74" s="27">
        <f t="shared" si="39"/>
        <v>583.33333333333326</v>
      </c>
      <c r="F74" s="27">
        <f t="shared" si="39"/>
        <v>583.33333333333326</v>
      </c>
      <c r="G74" s="27">
        <f t="shared" si="39"/>
        <v>291.66666666666663</v>
      </c>
      <c r="H74" s="27">
        <f t="shared" si="39"/>
        <v>0</v>
      </c>
      <c r="I74" s="27">
        <f t="shared" si="39"/>
        <v>212.1212121212121</v>
      </c>
      <c r="J74" s="27">
        <f t="shared" si="39"/>
        <v>424.24242424242419</v>
      </c>
      <c r="K74" s="27">
        <f t="shared" si="39"/>
        <v>424.24242424242419</v>
      </c>
      <c r="L74" s="27">
        <f t="shared" si="39"/>
        <v>212.1212121212121</v>
      </c>
      <c r="M74" s="27">
        <f t="shared" si="39"/>
        <v>0</v>
      </c>
      <c r="N74" s="27">
        <f t="shared" si="39"/>
        <v>0</v>
      </c>
      <c r="O74" s="27">
        <f t="shared" si="39"/>
        <v>424.24242424242425</v>
      </c>
      <c r="P74" s="27">
        <f t="shared" si="39"/>
        <v>848.4848484848485</v>
      </c>
      <c r="Q74" s="27">
        <f t="shared" si="39"/>
        <v>848.4848484848485</v>
      </c>
      <c r="R74" s="27">
        <f t="shared" si="39"/>
        <v>848.4848484848485</v>
      </c>
      <c r="S74" s="27">
        <f t="shared" si="39"/>
        <v>424.24242424242425</v>
      </c>
      <c r="T74" s="27">
        <f t="shared" si="39"/>
        <v>0</v>
      </c>
      <c r="U74" s="27">
        <f t="shared" si="39"/>
        <v>333.33333333333331</v>
      </c>
      <c r="V74" s="27">
        <f t="shared" si="39"/>
        <v>666.66666666666663</v>
      </c>
      <c r="W74" s="27">
        <f t="shared" si="39"/>
        <v>666.66666666666663</v>
      </c>
      <c r="X74" s="27">
        <f t="shared" si="39"/>
        <v>333.33333333333331</v>
      </c>
      <c r="Y74" s="27">
        <f t="shared" si="39"/>
        <v>0</v>
      </c>
      <c r="Z74" s="27">
        <f t="shared" si="39"/>
        <v>0</v>
      </c>
      <c r="AA74" s="27">
        <f t="shared" si="39"/>
        <v>333.33333333333331</v>
      </c>
      <c r="AB74" s="27">
        <f t="shared" si="39"/>
        <v>666.66666666666663</v>
      </c>
      <c r="AC74" s="27">
        <f t="shared" si="39"/>
        <v>666.66666666666663</v>
      </c>
      <c r="AD74" s="27">
        <f t="shared" si="39"/>
        <v>666.66666666666663</v>
      </c>
      <c r="AE74" s="27">
        <f t="shared" si="39"/>
        <v>333.33333333333331</v>
      </c>
      <c r="AF74" s="27">
        <f t="shared" si="39"/>
        <v>0</v>
      </c>
      <c r="AG74" s="27">
        <f t="shared" si="39"/>
        <v>0</v>
      </c>
      <c r="AH74" s="27">
        <f t="shared" si="39"/>
        <v>0</v>
      </c>
      <c r="AI74" s="27">
        <f t="shared" si="39"/>
        <v>0</v>
      </c>
      <c r="AJ74" s="27">
        <f t="shared" si="39"/>
        <v>0</v>
      </c>
      <c r="AK74" s="27">
        <f t="shared" si="39"/>
        <v>0</v>
      </c>
      <c r="AL74" s="27">
        <f t="shared" si="39"/>
        <v>0</v>
      </c>
      <c r="AM74" s="27">
        <f t="shared" si="39"/>
        <v>0</v>
      </c>
      <c r="AN74" s="27">
        <f t="shared" si="39"/>
        <v>0</v>
      </c>
      <c r="AO74" s="27">
        <f t="shared" si="39"/>
        <v>0</v>
      </c>
      <c r="AP74" s="27">
        <f t="shared" si="39"/>
        <v>0</v>
      </c>
      <c r="AQ74" s="27">
        <f t="shared" si="39"/>
        <v>0</v>
      </c>
    </row>
    <row r="75" spans="1:43" x14ac:dyDescent="0.2">
      <c r="C75" s="59">
        <f>C61*'0'!$D$10</f>
        <v>0</v>
      </c>
      <c r="D75" s="59">
        <f>D61*'0'!$D$10</f>
        <v>0</v>
      </c>
      <c r="E75" s="59">
        <f>E61*'0'!$D$10</f>
        <v>0</v>
      </c>
      <c r="F75" s="59">
        <f>F61*'0'!$D$10</f>
        <v>0</v>
      </c>
      <c r="G75" s="59">
        <f>G61*'0'!$D$10</f>
        <v>0</v>
      </c>
      <c r="H75" s="59">
        <f>H61*'0'!$D$10</f>
        <v>0</v>
      </c>
      <c r="I75" s="59">
        <f>I61*'0'!$D$10</f>
        <v>0</v>
      </c>
      <c r="J75" s="59">
        <f>J61*'0'!$D$10</f>
        <v>0</v>
      </c>
      <c r="K75" s="59">
        <f>K61*'0'!$D$10</f>
        <v>0</v>
      </c>
      <c r="L75" s="59">
        <f>L61*'0'!$D$10</f>
        <v>0</v>
      </c>
      <c r="M75" s="59">
        <f>M61*'0'!$D$10</f>
        <v>0</v>
      </c>
      <c r="N75" s="59">
        <f>N61*'0'!$D$10</f>
        <v>0</v>
      </c>
      <c r="O75" s="59">
        <f>O61*'0'!$D$10</f>
        <v>0</v>
      </c>
      <c r="P75" s="59">
        <f>P61*'0'!$D$10</f>
        <v>0</v>
      </c>
      <c r="Q75" s="59">
        <f>Q61*'0'!$D$10</f>
        <v>0</v>
      </c>
      <c r="R75" s="59">
        <f>R61*'0'!$D$10</f>
        <v>0</v>
      </c>
      <c r="S75" s="59">
        <f>S61*'0'!$D$10</f>
        <v>0</v>
      </c>
      <c r="T75" s="59">
        <f>T61*'0'!$D$10</f>
        <v>0</v>
      </c>
      <c r="U75" s="59">
        <f>U61*'0'!$D$10</f>
        <v>0</v>
      </c>
      <c r="V75" s="59">
        <f>V61*'0'!$D$10</f>
        <v>0</v>
      </c>
      <c r="W75" s="59">
        <f>W61*'0'!$D$10</f>
        <v>0</v>
      </c>
      <c r="X75" s="59">
        <f>X61*'0'!$D$10</f>
        <v>0</v>
      </c>
      <c r="Y75" s="59">
        <f>Y61*'0'!$D$10</f>
        <v>0</v>
      </c>
      <c r="Z75" s="59">
        <f>Z61*'0'!$D$10</f>
        <v>0</v>
      </c>
      <c r="AA75" s="59">
        <f>AA61*'0'!$D$10</f>
        <v>0</v>
      </c>
      <c r="AB75" s="59">
        <f>AB61*'0'!$D$10</f>
        <v>0</v>
      </c>
      <c r="AC75" s="59">
        <f>AC61*'0'!$D$10</f>
        <v>0</v>
      </c>
      <c r="AD75" s="59">
        <f>AD61*'0'!$D$10</f>
        <v>0</v>
      </c>
      <c r="AE75" s="59">
        <f>AE61*'0'!$D$10</f>
        <v>0</v>
      </c>
      <c r="AF75" s="59">
        <f>AF61*'0'!$D$10</f>
        <v>0</v>
      </c>
      <c r="AG75" s="59">
        <f>AG61*'0'!$D$10</f>
        <v>0</v>
      </c>
      <c r="AH75" s="59">
        <f>AH61*'0'!$D$10</f>
        <v>0</v>
      </c>
      <c r="AI75" s="59">
        <f>AI61*'0'!$D$10</f>
        <v>0</v>
      </c>
      <c r="AJ75" s="59">
        <f>AJ61*'0'!$D$10</f>
        <v>0</v>
      </c>
      <c r="AK75" s="59">
        <f>AK61*'0'!$D$10</f>
        <v>0</v>
      </c>
      <c r="AL75" s="59">
        <f>AL61*'0'!$D$10</f>
        <v>0</v>
      </c>
      <c r="AM75" s="59">
        <f>AM61*'0'!$D$10</f>
        <v>0</v>
      </c>
      <c r="AN75" s="59">
        <f>AN61*'0'!$D$10</f>
        <v>0</v>
      </c>
      <c r="AO75" s="59">
        <f>AO61*'0'!$D$10</f>
        <v>0</v>
      </c>
      <c r="AP75" s="59">
        <f>AP61*'0'!$D$10</f>
        <v>0</v>
      </c>
      <c r="AQ75" s="59">
        <f>AQ61*'0'!$D$10</f>
        <v>0</v>
      </c>
    </row>
    <row r="76" spans="1:43" x14ac:dyDescent="0.2">
      <c r="A76">
        <v>0</v>
      </c>
      <c r="B76" s="21">
        <f t="array" ref="B76:B79">TRANSPOSE('0'!G11:J11)</f>
        <v>0.5</v>
      </c>
      <c r="C76" s="59">
        <f t="shared" ref="C76:AQ76" si="40">(C61-C75)*$B$76</f>
        <v>291.66666666666663</v>
      </c>
      <c r="D76" s="59">
        <f t="shared" si="40"/>
        <v>291.66666666666663</v>
      </c>
      <c r="E76" s="59">
        <f t="shared" si="40"/>
        <v>291.66666666666663</v>
      </c>
      <c r="F76" s="59">
        <f t="shared" si="40"/>
        <v>291.66666666666663</v>
      </c>
      <c r="G76" s="59">
        <f t="shared" si="40"/>
        <v>0</v>
      </c>
      <c r="H76" s="59">
        <f t="shared" si="40"/>
        <v>0</v>
      </c>
      <c r="I76" s="59">
        <f t="shared" si="40"/>
        <v>212.1212121212121</v>
      </c>
      <c r="J76" s="59">
        <f t="shared" si="40"/>
        <v>212.1212121212121</v>
      </c>
      <c r="K76" s="59">
        <f t="shared" si="40"/>
        <v>212.1212121212121</v>
      </c>
      <c r="L76" s="59">
        <f t="shared" si="40"/>
        <v>0</v>
      </c>
      <c r="M76" s="59">
        <f t="shared" si="40"/>
        <v>0</v>
      </c>
      <c r="N76" s="59">
        <f t="shared" si="40"/>
        <v>0</v>
      </c>
      <c r="O76" s="59">
        <f t="shared" si="40"/>
        <v>424.24242424242425</v>
      </c>
      <c r="P76" s="59">
        <f t="shared" si="40"/>
        <v>424.24242424242425</v>
      </c>
      <c r="Q76" s="59">
        <f t="shared" si="40"/>
        <v>424.24242424242425</v>
      </c>
      <c r="R76" s="59">
        <f t="shared" si="40"/>
        <v>424.24242424242425</v>
      </c>
      <c r="S76" s="59">
        <f t="shared" si="40"/>
        <v>0</v>
      </c>
      <c r="T76" s="59">
        <f t="shared" si="40"/>
        <v>0</v>
      </c>
      <c r="U76" s="59">
        <f t="shared" si="40"/>
        <v>333.33333333333331</v>
      </c>
      <c r="V76" s="59">
        <f t="shared" si="40"/>
        <v>333.33333333333331</v>
      </c>
      <c r="W76" s="59">
        <f t="shared" si="40"/>
        <v>333.33333333333331</v>
      </c>
      <c r="X76" s="59">
        <f t="shared" si="40"/>
        <v>0</v>
      </c>
      <c r="Y76" s="59">
        <f t="shared" si="40"/>
        <v>0</v>
      </c>
      <c r="Z76" s="59">
        <f t="shared" si="40"/>
        <v>0</v>
      </c>
      <c r="AA76" s="59">
        <f t="shared" si="40"/>
        <v>333.33333333333331</v>
      </c>
      <c r="AB76" s="59">
        <f t="shared" si="40"/>
        <v>333.33333333333331</v>
      </c>
      <c r="AC76" s="59">
        <f t="shared" si="40"/>
        <v>333.33333333333331</v>
      </c>
      <c r="AD76" s="59">
        <f t="shared" si="40"/>
        <v>333.33333333333331</v>
      </c>
      <c r="AE76" s="59">
        <f t="shared" si="40"/>
        <v>0</v>
      </c>
      <c r="AF76" s="59">
        <f t="shared" si="40"/>
        <v>0</v>
      </c>
      <c r="AG76" s="59">
        <f t="shared" si="40"/>
        <v>0</v>
      </c>
      <c r="AH76" s="59">
        <f t="shared" si="40"/>
        <v>0</v>
      </c>
      <c r="AI76" s="59">
        <f t="shared" si="40"/>
        <v>0</v>
      </c>
      <c r="AJ76" s="59">
        <f t="shared" si="40"/>
        <v>0</v>
      </c>
      <c r="AK76" s="59">
        <f t="shared" si="40"/>
        <v>0</v>
      </c>
      <c r="AL76" s="59">
        <f t="shared" si="40"/>
        <v>0</v>
      </c>
      <c r="AM76" s="59">
        <f t="shared" si="40"/>
        <v>0</v>
      </c>
      <c r="AN76" s="59">
        <f t="shared" si="40"/>
        <v>0</v>
      </c>
      <c r="AO76" s="59">
        <f t="shared" si="40"/>
        <v>0</v>
      </c>
      <c r="AP76" s="59">
        <f t="shared" si="40"/>
        <v>0</v>
      </c>
      <c r="AQ76" s="59">
        <f t="shared" si="40"/>
        <v>0</v>
      </c>
    </row>
    <row r="77" spans="1:43" x14ac:dyDescent="0.2">
      <c r="A77">
        <v>1</v>
      </c>
      <c r="B77" s="21">
        <v>0.5</v>
      </c>
      <c r="C77" s="59"/>
      <c r="D77" s="59">
        <f t="shared" ref="D77:AQ77" si="41">(C61-C75)*$B$77</f>
        <v>291.66666666666663</v>
      </c>
      <c r="E77" s="59">
        <f t="shared" si="41"/>
        <v>291.66666666666663</v>
      </c>
      <c r="F77" s="59">
        <f t="shared" si="41"/>
        <v>291.66666666666663</v>
      </c>
      <c r="G77" s="59">
        <f t="shared" si="41"/>
        <v>291.66666666666663</v>
      </c>
      <c r="H77" s="59">
        <f t="shared" si="41"/>
        <v>0</v>
      </c>
      <c r="I77" s="59">
        <f t="shared" si="41"/>
        <v>0</v>
      </c>
      <c r="J77" s="59">
        <f t="shared" si="41"/>
        <v>212.1212121212121</v>
      </c>
      <c r="K77" s="59">
        <f t="shared" si="41"/>
        <v>212.1212121212121</v>
      </c>
      <c r="L77" s="59">
        <f t="shared" si="41"/>
        <v>212.1212121212121</v>
      </c>
      <c r="M77" s="59">
        <f t="shared" si="41"/>
        <v>0</v>
      </c>
      <c r="N77" s="59">
        <f t="shared" si="41"/>
        <v>0</v>
      </c>
      <c r="O77" s="59">
        <f t="shared" si="41"/>
        <v>0</v>
      </c>
      <c r="P77" s="59">
        <f t="shared" si="41"/>
        <v>424.24242424242425</v>
      </c>
      <c r="Q77" s="59">
        <f t="shared" si="41"/>
        <v>424.24242424242425</v>
      </c>
      <c r="R77" s="59">
        <f t="shared" si="41"/>
        <v>424.24242424242425</v>
      </c>
      <c r="S77" s="59">
        <f t="shared" si="41"/>
        <v>424.24242424242425</v>
      </c>
      <c r="T77" s="59">
        <f t="shared" si="41"/>
        <v>0</v>
      </c>
      <c r="U77" s="59">
        <f t="shared" si="41"/>
        <v>0</v>
      </c>
      <c r="V77" s="59">
        <f t="shared" si="41"/>
        <v>333.33333333333331</v>
      </c>
      <c r="W77" s="59">
        <f t="shared" si="41"/>
        <v>333.33333333333331</v>
      </c>
      <c r="X77" s="59">
        <f t="shared" si="41"/>
        <v>333.33333333333331</v>
      </c>
      <c r="Y77" s="59">
        <f t="shared" si="41"/>
        <v>0</v>
      </c>
      <c r="Z77" s="59">
        <f t="shared" si="41"/>
        <v>0</v>
      </c>
      <c r="AA77" s="59">
        <f t="shared" si="41"/>
        <v>0</v>
      </c>
      <c r="AB77" s="59">
        <f t="shared" si="41"/>
        <v>333.33333333333331</v>
      </c>
      <c r="AC77" s="59">
        <f t="shared" si="41"/>
        <v>333.33333333333331</v>
      </c>
      <c r="AD77" s="59">
        <f t="shared" si="41"/>
        <v>333.33333333333331</v>
      </c>
      <c r="AE77" s="59">
        <f t="shared" si="41"/>
        <v>333.33333333333331</v>
      </c>
      <c r="AF77" s="59">
        <f t="shared" si="41"/>
        <v>0</v>
      </c>
      <c r="AG77" s="59">
        <f t="shared" si="41"/>
        <v>0</v>
      </c>
      <c r="AH77" s="59">
        <f t="shared" si="41"/>
        <v>0</v>
      </c>
      <c r="AI77" s="59">
        <f t="shared" si="41"/>
        <v>0</v>
      </c>
      <c r="AJ77" s="59">
        <f t="shared" si="41"/>
        <v>0</v>
      </c>
      <c r="AK77" s="59">
        <f t="shared" si="41"/>
        <v>0</v>
      </c>
      <c r="AL77" s="59">
        <f t="shared" si="41"/>
        <v>0</v>
      </c>
      <c r="AM77" s="59">
        <f t="shared" si="41"/>
        <v>0</v>
      </c>
      <c r="AN77" s="59">
        <f t="shared" si="41"/>
        <v>0</v>
      </c>
      <c r="AO77" s="59">
        <f t="shared" si="41"/>
        <v>0</v>
      </c>
      <c r="AP77" s="59">
        <f t="shared" si="41"/>
        <v>0</v>
      </c>
      <c r="AQ77" s="59">
        <f t="shared" si="41"/>
        <v>0</v>
      </c>
    </row>
    <row r="78" spans="1:43" x14ac:dyDescent="0.2">
      <c r="A78">
        <v>2</v>
      </c>
      <c r="B78" s="21">
        <v>0</v>
      </c>
      <c r="C78" s="59"/>
      <c r="D78" s="59"/>
      <c r="E78" s="59">
        <f t="shared" ref="E78:AQ78" si="42">(C61-C75)*$B$78</f>
        <v>0</v>
      </c>
      <c r="F78" s="59">
        <f t="shared" si="42"/>
        <v>0</v>
      </c>
      <c r="G78" s="59">
        <f t="shared" si="42"/>
        <v>0</v>
      </c>
      <c r="H78" s="59">
        <f t="shared" si="42"/>
        <v>0</v>
      </c>
      <c r="I78" s="59">
        <f t="shared" si="42"/>
        <v>0</v>
      </c>
      <c r="J78" s="59">
        <f t="shared" si="42"/>
        <v>0</v>
      </c>
      <c r="K78" s="59">
        <f t="shared" si="42"/>
        <v>0</v>
      </c>
      <c r="L78" s="59">
        <f t="shared" si="42"/>
        <v>0</v>
      </c>
      <c r="M78" s="59">
        <f t="shared" si="42"/>
        <v>0</v>
      </c>
      <c r="N78" s="59">
        <f t="shared" si="42"/>
        <v>0</v>
      </c>
      <c r="O78" s="59">
        <f t="shared" si="42"/>
        <v>0</v>
      </c>
      <c r="P78" s="59">
        <f t="shared" si="42"/>
        <v>0</v>
      </c>
      <c r="Q78" s="59">
        <f t="shared" si="42"/>
        <v>0</v>
      </c>
      <c r="R78" s="59">
        <f t="shared" si="42"/>
        <v>0</v>
      </c>
      <c r="S78" s="59">
        <f t="shared" si="42"/>
        <v>0</v>
      </c>
      <c r="T78" s="59">
        <f t="shared" si="42"/>
        <v>0</v>
      </c>
      <c r="U78" s="59">
        <f t="shared" si="42"/>
        <v>0</v>
      </c>
      <c r="V78" s="59">
        <f t="shared" si="42"/>
        <v>0</v>
      </c>
      <c r="W78" s="59">
        <f t="shared" si="42"/>
        <v>0</v>
      </c>
      <c r="X78" s="59">
        <f t="shared" si="42"/>
        <v>0</v>
      </c>
      <c r="Y78" s="59">
        <f t="shared" si="42"/>
        <v>0</v>
      </c>
      <c r="Z78" s="59">
        <f t="shared" si="42"/>
        <v>0</v>
      </c>
      <c r="AA78" s="59">
        <f t="shared" si="42"/>
        <v>0</v>
      </c>
      <c r="AB78" s="59">
        <f t="shared" si="42"/>
        <v>0</v>
      </c>
      <c r="AC78" s="59">
        <f t="shared" si="42"/>
        <v>0</v>
      </c>
      <c r="AD78" s="59">
        <f t="shared" si="42"/>
        <v>0</v>
      </c>
      <c r="AE78" s="59">
        <f t="shared" si="42"/>
        <v>0</v>
      </c>
      <c r="AF78" s="59">
        <f t="shared" si="42"/>
        <v>0</v>
      </c>
      <c r="AG78" s="59">
        <f t="shared" si="42"/>
        <v>0</v>
      </c>
      <c r="AH78" s="59">
        <f t="shared" si="42"/>
        <v>0</v>
      </c>
      <c r="AI78" s="59">
        <f t="shared" si="42"/>
        <v>0</v>
      </c>
      <c r="AJ78" s="59">
        <f t="shared" si="42"/>
        <v>0</v>
      </c>
      <c r="AK78" s="59">
        <f t="shared" si="42"/>
        <v>0</v>
      </c>
      <c r="AL78" s="59">
        <f t="shared" si="42"/>
        <v>0</v>
      </c>
      <c r="AM78" s="59">
        <f t="shared" si="42"/>
        <v>0</v>
      </c>
      <c r="AN78" s="59">
        <f t="shared" si="42"/>
        <v>0</v>
      </c>
      <c r="AO78" s="59">
        <f t="shared" si="42"/>
        <v>0</v>
      </c>
      <c r="AP78" s="59">
        <f t="shared" si="42"/>
        <v>0</v>
      </c>
      <c r="AQ78" s="59">
        <f t="shared" si="42"/>
        <v>0</v>
      </c>
    </row>
    <row r="79" spans="1:43" ht="13.5" thickBot="1" x14ac:dyDescent="0.25">
      <c r="A79">
        <v>3</v>
      </c>
      <c r="B79" s="21">
        <v>0</v>
      </c>
      <c r="C79" s="59"/>
      <c r="D79" s="59"/>
      <c r="E79" s="59"/>
      <c r="F79" s="59">
        <f t="shared" ref="F79:AQ79" si="43">(C61-C75)*$B$79</f>
        <v>0</v>
      </c>
      <c r="G79" s="59">
        <f t="shared" si="43"/>
        <v>0</v>
      </c>
      <c r="H79" s="59">
        <f t="shared" si="43"/>
        <v>0</v>
      </c>
      <c r="I79" s="59">
        <f t="shared" si="43"/>
        <v>0</v>
      </c>
      <c r="J79" s="59">
        <f t="shared" si="43"/>
        <v>0</v>
      </c>
      <c r="K79" s="59">
        <f t="shared" si="43"/>
        <v>0</v>
      </c>
      <c r="L79" s="59">
        <f t="shared" si="43"/>
        <v>0</v>
      </c>
      <c r="M79" s="59">
        <f t="shared" si="43"/>
        <v>0</v>
      </c>
      <c r="N79" s="59">
        <f t="shared" si="43"/>
        <v>0</v>
      </c>
      <c r="O79" s="59">
        <f t="shared" si="43"/>
        <v>0</v>
      </c>
      <c r="P79" s="59">
        <f t="shared" si="43"/>
        <v>0</v>
      </c>
      <c r="Q79" s="59">
        <f t="shared" si="43"/>
        <v>0</v>
      </c>
      <c r="R79" s="59">
        <f t="shared" si="43"/>
        <v>0</v>
      </c>
      <c r="S79" s="59">
        <f t="shared" si="43"/>
        <v>0</v>
      </c>
      <c r="T79" s="59">
        <f t="shared" si="43"/>
        <v>0</v>
      </c>
      <c r="U79" s="59">
        <f t="shared" si="43"/>
        <v>0</v>
      </c>
      <c r="V79" s="59">
        <f t="shared" si="43"/>
        <v>0</v>
      </c>
      <c r="W79" s="59">
        <f t="shared" si="43"/>
        <v>0</v>
      </c>
      <c r="X79" s="59">
        <f t="shared" si="43"/>
        <v>0</v>
      </c>
      <c r="Y79" s="59">
        <f t="shared" si="43"/>
        <v>0</v>
      </c>
      <c r="Z79" s="59">
        <f t="shared" si="43"/>
        <v>0</v>
      </c>
      <c r="AA79" s="59">
        <f t="shared" si="43"/>
        <v>0</v>
      </c>
      <c r="AB79" s="59">
        <f t="shared" si="43"/>
        <v>0</v>
      </c>
      <c r="AC79" s="59">
        <f t="shared" si="43"/>
        <v>0</v>
      </c>
      <c r="AD79" s="59">
        <f t="shared" si="43"/>
        <v>0</v>
      </c>
      <c r="AE79" s="59">
        <f t="shared" si="43"/>
        <v>0</v>
      </c>
      <c r="AF79" s="59">
        <f t="shared" si="43"/>
        <v>0</v>
      </c>
      <c r="AG79" s="59">
        <f t="shared" si="43"/>
        <v>0</v>
      </c>
      <c r="AH79" s="59">
        <f t="shared" si="43"/>
        <v>0</v>
      </c>
      <c r="AI79" s="59">
        <f t="shared" si="43"/>
        <v>0</v>
      </c>
      <c r="AJ79" s="59">
        <f t="shared" si="43"/>
        <v>0</v>
      </c>
      <c r="AK79" s="59">
        <f t="shared" si="43"/>
        <v>0</v>
      </c>
      <c r="AL79" s="59">
        <f t="shared" si="43"/>
        <v>0</v>
      </c>
      <c r="AM79" s="59">
        <f t="shared" si="43"/>
        <v>0</v>
      </c>
      <c r="AN79" s="59">
        <f t="shared" si="43"/>
        <v>0</v>
      </c>
      <c r="AO79" s="59">
        <f t="shared" si="43"/>
        <v>0</v>
      </c>
      <c r="AP79" s="59">
        <f t="shared" si="43"/>
        <v>0</v>
      </c>
      <c r="AQ79" s="59">
        <f t="shared" si="43"/>
        <v>0</v>
      </c>
    </row>
    <row r="80" spans="1:43" ht="13.5" thickBot="1" x14ac:dyDescent="0.25">
      <c r="A80" s="33" t="s">
        <v>209</v>
      </c>
      <c r="B80" s="33"/>
      <c r="C80" s="34">
        <f>SUM($C$61:C61)-SUM($C$74:C74)</f>
        <v>291.66666666666663</v>
      </c>
      <c r="D80" s="34">
        <f>SUM($C$61:D61)-SUM($C$74:D74)</f>
        <v>291.66666666666663</v>
      </c>
      <c r="E80" s="34">
        <f>SUM($C$61:E61)-SUM($C$74:E74)</f>
        <v>291.66666666666674</v>
      </c>
      <c r="F80" s="34">
        <f>SUM($C$61:F61)-SUM($C$74:F74)</f>
        <v>291.66666666666674</v>
      </c>
      <c r="G80" s="34">
        <f>SUM($C$61:G61)-SUM($C$74:G74)</f>
        <v>0</v>
      </c>
      <c r="H80" s="34">
        <f>SUM($C$61:H61)-SUM($C$74:H74)</f>
        <v>0</v>
      </c>
      <c r="I80" s="34">
        <f>SUM($C$61:I61)-SUM($C$74:I74)</f>
        <v>212.12121212121201</v>
      </c>
      <c r="J80" s="34">
        <f>SUM($C$61:J61)-SUM($C$74:J74)</f>
        <v>212.12121212121201</v>
      </c>
      <c r="K80" s="34">
        <f>SUM($C$61:K61)-SUM($C$74:K74)</f>
        <v>212.12121212121201</v>
      </c>
      <c r="L80" s="34">
        <f>SUM($C$61:L61)-SUM($C$74:L74)</f>
        <v>0</v>
      </c>
      <c r="M80" s="34">
        <f>SUM($C$61:M61)-SUM($C$74:M74)</f>
        <v>0</v>
      </c>
      <c r="N80" s="34">
        <f>SUM($C$61:N61)-SUM($C$74:N74)</f>
        <v>0</v>
      </c>
      <c r="O80" s="34">
        <f>SUM($C$61:O61)-SUM($C$74:O74)</f>
        <v>424.24242424242493</v>
      </c>
      <c r="P80" s="34">
        <f>SUM($C$61:P61)-SUM($C$74:P74)</f>
        <v>424.24242424242402</v>
      </c>
      <c r="Q80" s="34">
        <f>SUM($C$61:Q61)-SUM($C$74:Q74)</f>
        <v>424.24242424242402</v>
      </c>
      <c r="R80" s="34">
        <f>SUM($C$61:R61)-SUM($C$74:R74)</f>
        <v>424.24242424242402</v>
      </c>
      <c r="S80" s="34">
        <f>SUM($C$61:S61)-SUM($C$74:S74)</f>
        <v>0</v>
      </c>
      <c r="T80" s="34">
        <f>SUM($C$61:T61)-SUM($C$74:T74)</f>
        <v>0</v>
      </c>
      <c r="U80" s="34">
        <f>SUM($C$61:U61)-SUM($C$74:U74)</f>
        <v>333.33333333333394</v>
      </c>
      <c r="V80" s="34">
        <f>SUM($C$61:V61)-SUM($C$74:V74)</f>
        <v>333.33333333333394</v>
      </c>
      <c r="W80" s="34">
        <f>SUM($C$61:W61)-SUM($C$74:W74)</f>
        <v>333.33333333333394</v>
      </c>
      <c r="X80" s="34">
        <f>SUM($C$61:X61)-SUM($C$74:X74)</f>
        <v>0</v>
      </c>
      <c r="Y80" s="34">
        <f>SUM($C$61:Y61)-SUM($C$74:Y74)</f>
        <v>0</v>
      </c>
      <c r="Z80" s="34">
        <f>SUM($C$61:Z61)-SUM($C$74:Z74)</f>
        <v>0</v>
      </c>
      <c r="AA80" s="34">
        <f>SUM($C$61:AA61)-SUM($C$74:AA74)</f>
        <v>333.33333333333212</v>
      </c>
      <c r="AB80" s="34">
        <f>SUM($C$61:AB61)-SUM($C$74:AB74)</f>
        <v>333.33333333333212</v>
      </c>
      <c r="AC80" s="34">
        <f>SUM($C$61:AC61)-SUM($C$74:AC74)</f>
        <v>333.33333333333212</v>
      </c>
      <c r="AD80" s="34">
        <f>SUM($C$61:AD61)-SUM($C$74:AD74)</f>
        <v>333.33333333333212</v>
      </c>
      <c r="AE80" s="34">
        <f>SUM($C$61:AE61)-SUM($C$74:AE74)</f>
        <v>0</v>
      </c>
      <c r="AF80" s="34">
        <f>SUM($C$61:AF61)-SUM($C$74:AF74)</f>
        <v>0</v>
      </c>
      <c r="AG80" s="34">
        <f>SUM($C$61:AG61)-SUM($C$74:AG74)</f>
        <v>0</v>
      </c>
      <c r="AH80" s="34">
        <f>SUM($C$61:AH61)-SUM($C$74:AH74)</f>
        <v>0</v>
      </c>
      <c r="AI80" s="34">
        <f>SUM($C$61:AI61)-SUM($C$74:AI74)</f>
        <v>0</v>
      </c>
      <c r="AJ80" s="34">
        <f>SUM($C$61:AJ61)-SUM($C$74:AJ74)</f>
        <v>0</v>
      </c>
      <c r="AK80" s="34">
        <f>SUM($C$61:AK61)-SUM($C$74:AK74)</f>
        <v>0</v>
      </c>
      <c r="AL80" s="34">
        <f>SUM($C$61:AL61)-SUM($C$74:AL74)</f>
        <v>0</v>
      </c>
      <c r="AM80" s="34">
        <f>SUM($C$61:AM61)-SUM($C$74:AM74)</f>
        <v>0</v>
      </c>
      <c r="AN80" s="34">
        <f>SUM($C$61:AN61)-SUM($C$74:AN74)</f>
        <v>0</v>
      </c>
      <c r="AO80" s="34">
        <f>SUM($C$61:AO61)-SUM($C$74:AO74)</f>
        <v>0</v>
      </c>
      <c r="AP80" s="34">
        <f>SUM($C$61:AP61)-SUM($C$74:AP74)</f>
        <v>0</v>
      </c>
      <c r="AQ80" s="34">
        <f>SUM($C$61:AQ61)-SUM($C$74:AQ74)</f>
        <v>0</v>
      </c>
    </row>
    <row r="82" spans="1:43" ht="13.5" thickBot="1" x14ac:dyDescent="0.25">
      <c r="A82" t="s">
        <v>23</v>
      </c>
    </row>
    <row r="83" spans="1:43" ht="13.5" thickBot="1" x14ac:dyDescent="0.25">
      <c r="A83" s="24" t="s">
        <v>6</v>
      </c>
      <c r="B83" s="24"/>
      <c r="C83" s="27">
        <f t="shared" ref="C83:AQ83" si="44">SUM(C84:C88)</f>
        <v>375</v>
      </c>
      <c r="D83" s="27">
        <f t="shared" si="44"/>
        <v>300</v>
      </c>
      <c r="E83" s="27">
        <f t="shared" si="44"/>
        <v>300</v>
      </c>
      <c r="F83" s="27">
        <f t="shared" si="44"/>
        <v>300</v>
      </c>
      <c r="G83" s="27">
        <f t="shared" si="44"/>
        <v>450</v>
      </c>
      <c r="H83" s="27">
        <f t="shared" si="44"/>
        <v>450</v>
      </c>
      <c r="I83" s="27">
        <f t="shared" si="44"/>
        <v>600</v>
      </c>
      <c r="J83" s="27">
        <f t="shared" si="44"/>
        <v>450</v>
      </c>
      <c r="K83" s="27">
        <f t="shared" si="44"/>
        <v>600</v>
      </c>
      <c r="L83" s="27">
        <f t="shared" si="44"/>
        <v>450</v>
      </c>
      <c r="M83" s="27">
        <f t="shared" si="44"/>
        <v>1200</v>
      </c>
      <c r="N83" s="27">
        <f t="shared" si="44"/>
        <v>4500</v>
      </c>
      <c r="O83" s="27">
        <f t="shared" si="44"/>
        <v>6900</v>
      </c>
      <c r="P83" s="27">
        <f t="shared" si="44"/>
        <v>8250</v>
      </c>
      <c r="Q83" s="27">
        <f t="shared" si="44"/>
        <v>5400</v>
      </c>
      <c r="R83" s="27">
        <f t="shared" si="44"/>
        <v>1500</v>
      </c>
      <c r="S83" s="27">
        <f t="shared" si="44"/>
        <v>450</v>
      </c>
      <c r="T83" s="27">
        <f t="shared" si="44"/>
        <v>750</v>
      </c>
      <c r="U83" s="27">
        <f t="shared" si="44"/>
        <v>750</v>
      </c>
      <c r="V83" s="27">
        <f t="shared" si="44"/>
        <v>750</v>
      </c>
      <c r="W83" s="27">
        <f t="shared" si="44"/>
        <v>750</v>
      </c>
      <c r="X83" s="27">
        <f t="shared" si="44"/>
        <v>750</v>
      </c>
      <c r="Y83" s="27">
        <f t="shared" si="44"/>
        <v>1200</v>
      </c>
      <c r="Z83" s="27">
        <f t="shared" si="44"/>
        <v>4200</v>
      </c>
      <c r="AA83" s="27">
        <f t="shared" si="44"/>
        <v>6900</v>
      </c>
      <c r="AB83" s="27">
        <f t="shared" si="44"/>
        <v>8250</v>
      </c>
      <c r="AC83" s="27">
        <f t="shared" si="44"/>
        <v>5250</v>
      </c>
      <c r="AD83" s="27">
        <f t="shared" si="44"/>
        <v>1500</v>
      </c>
      <c r="AE83" s="27">
        <f t="shared" si="44"/>
        <v>900</v>
      </c>
      <c r="AF83" s="27">
        <f t="shared" si="44"/>
        <v>150</v>
      </c>
      <c r="AG83" s="27">
        <f t="shared" si="44"/>
        <v>450</v>
      </c>
      <c r="AH83" s="27">
        <f t="shared" si="44"/>
        <v>450</v>
      </c>
      <c r="AI83" s="27">
        <f t="shared" si="44"/>
        <v>600</v>
      </c>
      <c r="AJ83" s="27">
        <f t="shared" si="44"/>
        <v>150</v>
      </c>
      <c r="AK83" s="27">
        <f t="shared" si="44"/>
        <v>600</v>
      </c>
      <c r="AL83" s="27">
        <f t="shared" si="44"/>
        <v>1200</v>
      </c>
      <c r="AM83" s="27">
        <f t="shared" si="44"/>
        <v>2250</v>
      </c>
      <c r="AN83" s="27">
        <f t="shared" si="44"/>
        <v>2250</v>
      </c>
      <c r="AO83" s="27">
        <f t="shared" si="44"/>
        <v>1350</v>
      </c>
      <c r="AP83" s="27">
        <f t="shared" si="44"/>
        <v>0</v>
      </c>
      <c r="AQ83" s="27">
        <f t="shared" si="44"/>
        <v>0</v>
      </c>
    </row>
    <row r="84" spans="1:43" x14ac:dyDescent="0.2">
      <c r="C84" s="4">
        <f>C34*'0'!$D$14</f>
        <v>0</v>
      </c>
      <c r="D84" s="4">
        <f>D34*'0'!$D$14</f>
        <v>0</v>
      </c>
      <c r="E84" s="4">
        <f>E34*'0'!$D$14</f>
        <v>0</v>
      </c>
      <c r="F84" s="4">
        <f>F34*'0'!$D$14</f>
        <v>0</v>
      </c>
      <c r="G84" s="4">
        <f>G34*'0'!$D$14</f>
        <v>0</v>
      </c>
      <c r="H84" s="4">
        <f>H34*'0'!$D$14</f>
        <v>0</v>
      </c>
      <c r="I84" s="4">
        <f>I34*'0'!$D$14</f>
        <v>0</v>
      </c>
      <c r="J84" s="4">
        <f>J34*'0'!$D$14</f>
        <v>0</v>
      </c>
      <c r="K84" s="4">
        <f>K34*'0'!$D$14</f>
        <v>0</v>
      </c>
      <c r="L84" s="4">
        <f>L34*'0'!$D$14</f>
        <v>0</v>
      </c>
      <c r="M84" s="4">
        <f>M34*'0'!$D$14</f>
        <v>0</v>
      </c>
      <c r="N84" s="4">
        <f>N34*'0'!$D$14</f>
        <v>0</v>
      </c>
      <c r="O84" s="4">
        <f>O34*'0'!$D$14</f>
        <v>0</v>
      </c>
      <c r="P84" s="4">
        <f>P34*'0'!$D$14</f>
        <v>0</v>
      </c>
      <c r="Q84" s="4">
        <f>Q34*'0'!$D$14</f>
        <v>0</v>
      </c>
      <c r="R84" s="4">
        <f>R34*'0'!$D$14</f>
        <v>0</v>
      </c>
      <c r="S84" s="4">
        <f>S34*'0'!$D$14</f>
        <v>0</v>
      </c>
      <c r="T84" s="4">
        <f>T34*'0'!$D$14</f>
        <v>0</v>
      </c>
      <c r="U84" s="4">
        <f>U34*'0'!$D$14</f>
        <v>0</v>
      </c>
      <c r="V84" s="4">
        <f>V34*'0'!$D$14</f>
        <v>0</v>
      </c>
      <c r="W84" s="4">
        <f>W34*'0'!$D$14</f>
        <v>0</v>
      </c>
      <c r="X84" s="4">
        <f>X34*'0'!$D$14</f>
        <v>0</v>
      </c>
      <c r="Y84" s="4">
        <f>Y34*'0'!$D$14</f>
        <v>0</v>
      </c>
      <c r="Z84" s="4">
        <f>Z34*'0'!$D$14</f>
        <v>0</v>
      </c>
      <c r="AA84" s="4">
        <f>AA34*'0'!$D$14</f>
        <v>0</v>
      </c>
      <c r="AB84" s="4">
        <f>AB34*'0'!$D$14</f>
        <v>0</v>
      </c>
      <c r="AC84" s="4">
        <f>AC34*'0'!$D$14</f>
        <v>0</v>
      </c>
      <c r="AD84" s="4">
        <f>AD34*'0'!$D$14</f>
        <v>0</v>
      </c>
      <c r="AE84" s="4">
        <f>AE34*'0'!$D$14</f>
        <v>0</v>
      </c>
      <c r="AF84" s="4">
        <f>AF34*'0'!$D$14</f>
        <v>0</v>
      </c>
      <c r="AG84" s="4">
        <f>AG34*'0'!$D$14</f>
        <v>0</v>
      </c>
      <c r="AH84" s="4">
        <f>AH34*'0'!$D$14</f>
        <v>0</v>
      </c>
      <c r="AI84" s="4">
        <f>AI34*'0'!$D$14</f>
        <v>0</v>
      </c>
      <c r="AJ84" s="4">
        <f>AJ34*'0'!$D$14</f>
        <v>0</v>
      </c>
      <c r="AK84" s="4">
        <f>AK34*'0'!$D$14</f>
        <v>0</v>
      </c>
      <c r="AL84" s="4">
        <f>AL34*'0'!$D$14</f>
        <v>0</v>
      </c>
      <c r="AM84" s="4">
        <f>AM34*'0'!$D$14</f>
        <v>0</v>
      </c>
      <c r="AN84" s="4">
        <f>AN34*'0'!$D$14</f>
        <v>0</v>
      </c>
      <c r="AO84" s="4">
        <f>AO34*'0'!$D$14</f>
        <v>0</v>
      </c>
      <c r="AP84" s="4">
        <f>AP34*'0'!$D$14</f>
        <v>0</v>
      </c>
      <c r="AQ84" s="4">
        <f>AQ34*'0'!$D$14</f>
        <v>0</v>
      </c>
    </row>
    <row r="85" spans="1:43" x14ac:dyDescent="0.2">
      <c r="A85">
        <v>0</v>
      </c>
      <c r="B85" s="21">
        <f t="array" ref="B85:B88">TRANSPOSE('0'!G15:J15)</f>
        <v>1</v>
      </c>
      <c r="C85" s="4">
        <f t="shared" ref="C85:AQ85" si="45">(C34-C84)*$B$85</f>
        <v>375</v>
      </c>
      <c r="D85" s="4">
        <f t="shared" si="45"/>
        <v>300</v>
      </c>
      <c r="E85" s="4">
        <f t="shared" si="45"/>
        <v>300</v>
      </c>
      <c r="F85" s="4">
        <f t="shared" si="45"/>
        <v>300</v>
      </c>
      <c r="G85" s="4">
        <f t="shared" si="45"/>
        <v>450</v>
      </c>
      <c r="H85" s="4">
        <f t="shared" si="45"/>
        <v>450</v>
      </c>
      <c r="I85" s="4">
        <f t="shared" si="45"/>
        <v>600</v>
      </c>
      <c r="J85" s="4">
        <f t="shared" si="45"/>
        <v>450</v>
      </c>
      <c r="K85" s="4">
        <f t="shared" si="45"/>
        <v>600</v>
      </c>
      <c r="L85" s="4">
        <f t="shared" si="45"/>
        <v>450</v>
      </c>
      <c r="M85" s="4">
        <f t="shared" si="45"/>
        <v>1200</v>
      </c>
      <c r="N85" s="4">
        <f t="shared" si="45"/>
        <v>4500</v>
      </c>
      <c r="O85" s="4">
        <f t="shared" si="45"/>
        <v>6900</v>
      </c>
      <c r="P85" s="4">
        <f t="shared" si="45"/>
        <v>8250</v>
      </c>
      <c r="Q85" s="4">
        <f t="shared" si="45"/>
        <v>5400</v>
      </c>
      <c r="R85" s="4">
        <f t="shared" si="45"/>
        <v>1500</v>
      </c>
      <c r="S85" s="4">
        <f t="shared" si="45"/>
        <v>450</v>
      </c>
      <c r="T85" s="4">
        <f t="shared" si="45"/>
        <v>750</v>
      </c>
      <c r="U85" s="4">
        <f t="shared" si="45"/>
        <v>750</v>
      </c>
      <c r="V85" s="4">
        <f t="shared" si="45"/>
        <v>750</v>
      </c>
      <c r="W85" s="4">
        <f t="shared" si="45"/>
        <v>750</v>
      </c>
      <c r="X85" s="4">
        <f t="shared" si="45"/>
        <v>750</v>
      </c>
      <c r="Y85" s="4">
        <f t="shared" si="45"/>
        <v>1200</v>
      </c>
      <c r="Z85" s="4">
        <f t="shared" si="45"/>
        <v>4200</v>
      </c>
      <c r="AA85" s="4">
        <f t="shared" si="45"/>
        <v>6900</v>
      </c>
      <c r="AB85" s="4">
        <f t="shared" si="45"/>
        <v>8250</v>
      </c>
      <c r="AC85" s="4">
        <f t="shared" si="45"/>
        <v>5250</v>
      </c>
      <c r="AD85" s="4">
        <f t="shared" si="45"/>
        <v>1500</v>
      </c>
      <c r="AE85" s="4">
        <f t="shared" si="45"/>
        <v>900</v>
      </c>
      <c r="AF85" s="4">
        <f t="shared" si="45"/>
        <v>150</v>
      </c>
      <c r="AG85" s="4">
        <f t="shared" si="45"/>
        <v>450</v>
      </c>
      <c r="AH85" s="4">
        <f t="shared" si="45"/>
        <v>450</v>
      </c>
      <c r="AI85" s="4">
        <f t="shared" si="45"/>
        <v>600</v>
      </c>
      <c r="AJ85" s="4">
        <f t="shared" si="45"/>
        <v>150</v>
      </c>
      <c r="AK85" s="4">
        <f t="shared" si="45"/>
        <v>600</v>
      </c>
      <c r="AL85" s="4">
        <f t="shared" si="45"/>
        <v>1200</v>
      </c>
      <c r="AM85" s="4">
        <f t="shared" si="45"/>
        <v>2250</v>
      </c>
      <c r="AN85" s="4">
        <f t="shared" si="45"/>
        <v>2250</v>
      </c>
      <c r="AO85" s="4">
        <f t="shared" si="45"/>
        <v>1350</v>
      </c>
      <c r="AP85" s="4">
        <f t="shared" si="45"/>
        <v>0</v>
      </c>
      <c r="AQ85" s="4">
        <f t="shared" si="45"/>
        <v>0</v>
      </c>
    </row>
    <row r="86" spans="1:43" x14ac:dyDescent="0.2">
      <c r="A86">
        <v>1</v>
      </c>
      <c r="B86" s="21">
        <v>0</v>
      </c>
      <c r="C86" s="4"/>
      <c r="D86" s="4">
        <f t="shared" ref="D86:AQ86" si="46">(C34-C84)*$B$86</f>
        <v>0</v>
      </c>
      <c r="E86" s="4">
        <f t="shared" si="46"/>
        <v>0</v>
      </c>
      <c r="F86" s="4">
        <f t="shared" si="46"/>
        <v>0</v>
      </c>
      <c r="G86" s="4">
        <f t="shared" si="46"/>
        <v>0</v>
      </c>
      <c r="H86" s="4">
        <f t="shared" si="46"/>
        <v>0</v>
      </c>
      <c r="I86" s="4">
        <f t="shared" si="46"/>
        <v>0</v>
      </c>
      <c r="J86" s="4">
        <f t="shared" si="46"/>
        <v>0</v>
      </c>
      <c r="K86" s="4">
        <f t="shared" si="46"/>
        <v>0</v>
      </c>
      <c r="L86" s="4">
        <f t="shared" si="46"/>
        <v>0</v>
      </c>
      <c r="M86" s="4">
        <f t="shared" si="46"/>
        <v>0</v>
      </c>
      <c r="N86" s="4">
        <f t="shared" si="46"/>
        <v>0</v>
      </c>
      <c r="O86" s="4">
        <f t="shared" si="46"/>
        <v>0</v>
      </c>
      <c r="P86" s="4">
        <f t="shared" si="46"/>
        <v>0</v>
      </c>
      <c r="Q86" s="4">
        <f t="shared" si="46"/>
        <v>0</v>
      </c>
      <c r="R86" s="4">
        <f t="shared" si="46"/>
        <v>0</v>
      </c>
      <c r="S86" s="4">
        <f t="shared" si="46"/>
        <v>0</v>
      </c>
      <c r="T86" s="4">
        <f t="shared" si="46"/>
        <v>0</v>
      </c>
      <c r="U86" s="4">
        <f t="shared" si="46"/>
        <v>0</v>
      </c>
      <c r="V86" s="4">
        <f t="shared" si="46"/>
        <v>0</v>
      </c>
      <c r="W86" s="4">
        <f t="shared" si="46"/>
        <v>0</v>
      </c>
      <c r="X86" s="4">
        <f t="shared" si="46"/>
        <v>0</v>
      </c>
      <c r="Y86" s="4">
        <f t="shared" si="46"/>
        <v>0</v>
      </c>
      <c r="Z86" s="4">
        <f t="shared" si="46"/>
        <v>0</v>
      </c>
      <c r="AA86" s="4">
        <f t="shared" si="46"/>
        <v>0</v>
      </c>
      <c r="AB86" s="4">
        <f t="shared" si="46"/>
        <v>0</v>
      </c>
      <c r="AC86" s="4">
        <f t="shared" si="46"/>
        <v>0</v>
      </c>
      <c r="AD86" s="4">
        <f t="shared" si="46"/>
        <v>0</v>
      </c>
      <c r="AE86" s="4">
        <f t="shared" si="46"/>
        <v>0</v>
      </c>
      <c r="AF86" s="4">
        <f t="shared" si="46"/>
        <v>0</v>
      </c>
      <c r="AG86" s="4">
        <f t="shared" si="46"/>
        <v>0</v>
      </c>
      <c r="AH86" s="4">
        <f t="shared" si="46"/>
        <v>0</v>
      </c>
      <c r="AI86" s="4">
        <f t="shared" si="46"/>
        <v>0</v>
      </c>
      <c r="AJ86" s="4">
        <f t="shared" si="46"/>
        <v>0</v>
      </c>
      <c r="AK86" s="4">
        <f t="shared" si="46"/>
        <v>0</v>
      </c>
      <c r="AL86" s="4">
        <f t="shared" si="46"/>
        <v>0</v>
      </c>
      <c r="AM86" s="4">
        <f t="shared" si="46"/>
        <v>0</v>
      </c>
      <c r="AN86" s="4">
        <f t="shared" si="46"/>
        <v>0</v>
      </c>
      <c r="AO86" s="4">
        <f t="shared" si="46"/>
        <v>0</v>
      </c>
      <c r="AP86" s="4">
        <f t="shared" si="46"/>
        <v>0</v>
      </c>
      <c r="AQ86" s="4">
        <f t="shared" si="46"/>
        <v>0</v>
      </c>
    </row>
    <row r="87" spans="1:43" x14ac:dyDescent="0.2">
      <c r="A87">
        <v>2</v>
      </c>
      <c r="B87" s="21">
        <v>0</v>
      </c>
      <c r="C87" s="4"/>
      <c r="D87" s="4"/>
      <c r="E87" s="4">
        <f t="shared" ref="E87:AQ87" si="47">(C34-C84)*$B$87/1000</f>
        <v>0</v>
      </c>
      <c r="F87" s="4">
        <f t="shared" si="47"/>
        <v>0</v>
      </c>
      <c r="G87" s="4">
        <f t="shared" si="47"/>
        <v>0</v>
      </c>
      <c r="H87" s="4">
        <f t="shared" si="47"/>
        <v>0</v>
      </c>
      <c r="I87" s="4">
        <f t="shared" si="47"/>
        <v>0</v>
      </c>
      <c r="J87" s="4">
        <f t="shared" si="47"/>
        <v>0</v>
      </c>
      <c r="K87" s="4">
        <f t="shared" si="47"/>
        <v>0</v>
      </c>
      <c r="L87" s="4">
        <f t="shared" si="47"/>
        <v>0</v>
      </c>
      <c r="M87" s="4">
        <f t="shared" si="47"/>
        <v>0</v>
      </c>
      <c r="N87" s="4">
        <f t="shared" si="47"/>
        <v>0</v>
      </c>
      <c r="O87" s="4">
        <f t="shared" si="47"/>
        <v>0</v>
      </c>
      <c r="P87" s="4">
        <f t="shared" si="47"/>
        <v>0</v>
      </c>
      <c r="Q87" s="4">
        <f t="shared" si="47"/>
        <v>0</v>
      </c>
      <c r="R87" s="4">
        <f t="shared" si="47"/>
        <v>0</v>
      </c>
      <c r="S87" s="4">
        <f t="shared" si="47"/>
        <v>0</v>
      </c>
      <c r="T87" s="4">
        <f t="shared" si="47"/>
        <v>0</v>
      </c>
      <c r="U87" s="4">
        <f t="shared" si="47"/>
        <v>0</v>
      </c>
      <c r="V87" s="4">
        <f t="shared" si="47"/>
        <v>0</v>
      </c>
      <c r="W87" s="4">
        <f t="shared" si="47"/>
        <v>0</v>
      </c>
      <c r="X87" s="4">
        <f t="shared" si="47"/>
        <v>0</v>
      </c>
      <c r="Y87" s="4">
        <f t="shared" si="47"/>
        <v>0</v>
      </c>
      <c r="Z87" s="4">
        <f t="shared" si="47"/>
        <v>0</v>
      </c>
      <c r="AA87" s="4">
        <f t="shared" si="47"/>
        <v>0</v>
      </c>
      <c r="AB87" s="4">
        <f t="shared" si="47"/>
        <v>0</v>
      </c>
      <c r="AC87" s="4">
        <f t="shared" si="47"/>
        <v>0</v>
      </c>
      <c r="AD87" s="4">
        <f t="shared" si="47"/>
        <v>0</v>
      </c>
      <c r="AE87" s="4">
        <f t="shared" si="47"/>
        <v>0</v>
      </c>
      <c r="AF87" s="4">
        <f t="shared" si="47"/>
        <v>0</v>
      </c>
      <c r="AG87" s="4">
        <f t="shared" si="47"/>
        <v>0</v>
      </c>
      <c r="AH87" s="4">
        <f t="shared" si="47"/>
        <v>0</v>
      </c>
      <c r="AI87" s="4">
        <f t="shared" si="47"/>
        <v>0</v>
      </c>
      <c r="AJ87" s="4">
        <f t="shared" si="47"/>
        <v>0</v>
      </c>
      <c r="AK87" s="4">
        <f t="shared" si="47"/>
        <v>0</v>
      </c>
      <c r="AL87" s="4">
        <f t="shared" si="47"/>
        <v>0</v>
      </c>
      <c r="AM87" s="4">
        <f t="shared" si="47"/>
        <v>0</v>
      </c>
      <c r="AN87" s="4">
        <f t="shared" si="47"/>
        <v>0</v>
      </c>
      <c r="AO87" s="4">
        <f t="shared" si="47"/>
        <v>0</v>
      </c>
      <c r="AP87" s="4">
        <f t="shared" si="47"/>
        <v>0</v>
      </c>
      <c r="AQ87" s="4">
        <f t="shared" si="47"/>
        <v>0</v>
      </c>
    </row>
    <row r="88" spans="1:43" ht="13.5" thickBot="1" x14ac:dyDescent="0.25">
      <c r="A88">
        <v>3</v>
      </c>
      <c r="B88" s="21">
        <v>0</v>
      </c>
      <c r="C88" s="4"/>
      <c r="D88" s="4"/>
      <c r="E88" s="4"/>
      <c r="F88" s="4">
        <f t="shared" ref="F88:AQ88" si="48">(C34-C84)*$B$88/1000</f>
        <v>0</v>
      </c>
      <c r="G88" s="4">
        <f t="shared" si="48"/>
        <v>0</v>
      </c>
      <c r="H88" s="4">
        <f t="shared" si="48"/>
        <v>0</v>
      </c>
      <c r="I88" s="4">
        <f t="shared" si="48"/>
        <v>0</v>
      </c>
      <c r="J88" s="4">
        <f t="shared" si="48"/>
        <v>0</v>
      </c>
      <c r="K88" s="4">
        <f t="shared" si="48"/>
        <v>0</v>
      </c>
      <c r="L88" s="4">
        <f t="shared" si="48"/>
        <v>0</v>
      </c>
      <c r="M88" s="4">
        <f t="shared" si="48"/>
        <v>0</v>
      </c>
      <c r="N88" s="4">
        <f t="shared" si="48"/>
        <v>0</v>
      </c>
      <c r="O88" s="4">
        <f t="shared" si="48"/>
        <v>0</v>
      </c>
      <c r="P88" s="4">
        <f t="shared" si="48"/>
        <v>0</v>
      </c>
      <c r="Q88" s="4">
        <f t="shared" si="48"/>
        <v>0</v>
      </c>
      <c r="R88" s="4">
        <f t="shared" si="48"/>
        <v>0</v>
      </c>
      <c r="S88" s="4">
        <f t="shared" si="48"/>
        <v>0</v>
      </c>
      <c r="T88" s="4">
        <f t="shared" si="48"/>
        <v>0</v>
      </c>
      <c r="U88" s="4">
        <f t="shared" si="48"/>
        <v>0</v>
      </c>
      <c r="V88" s="4">
        <f t="shared" si="48"/>
        <v>0</v>
      </c>
      <c r="W88" s="4">
        <f t="shared" si="48"/>
        <v>0</v>
      </c>
      <c r="X88" s="4">
        <f t="shared" si="48"/>
        <v>0</v>
      </c>
      <c r="Y88" s="4">
        <f t="shared" si="48"/>
        <v>0</v>
      </c>
      <c r="Z88" s="4">
        <f t="shared" si="48"/>
        <v>0</v>
      </c>
      <c r="AA88" s="4">
        <f t="shared" si="48"/>
        <v>0</v>
      </c>
      <c r="AB88" s="4">
        <f t="shared" si="48"/>
        <v>0</v>
      </c>
      <c r="AC88" s="4">
        <f t="shared" si="48"/>
        <v>0</v>
      </c>
      <c r="AD88" s="4">
        <f t="shared" si="48"/>
        <v>0</v>
      </c>
      <c r="AE88" s="4">
        <f t="shared" si="48"/>
        <v>0</v>
      </c>
      <c r="AF88" s="4">
        <f t="shared" si="48"/>
        <v>0</v>
      </c>
      <c r="AG88" s="4">
        <f t="shared" si="48"/>
        <v>0</v>
      </c>
      <c r="AH88" s="4">
        <f t="shared" si="48"/>
        <v>0</v>
      </c>
      <c r="AI88" s="4">
        <f t="shared" si="48"/>
        <v>0</v>
      </c>
      <c r="AJ88" s="4">
        <f t="shared" si="48"/>
        <v>0</v>
      </c>
      <c r="AK88" s="4">
        <f t="shared" si="48"/>
        <v>0</v>
      </c>
      <c r="AL88" s="4">
        <f t="shared" si="48"/>
        <v>0</v>
      </c>
      <c r="AM88" s="4">
        <f t="shared" si="48"/>
        <v>0</v>
      </c>
      <c r="AN88" s="4">
        <f t="shared" si="48"/>
        <v>0</v>
      </c>
      <c r="AO88" s="4">
        <f t="shared" si="48"/>
        <v>0</v>
      </c>
      <c r="AP88" s="4">
        <f t="shared" si="48"/>
        <v>0</v>
      </c>
      <c r="AQ88" s="4">
        <f t="shared" si="48"/>
        <v>0</v>
      </c>
    </row>
    <row r="89" spans="1:43" ht="13.5" thickBot="1" x14ac:dyDescent="0.25">
      <c r="A89" s="33" t="s">
        <v>210</v>
      </c>
      <c r="B89" s="33"/>
      <c r="C89" s="34">
        <f>SUM($C$34:C34)-SUM($C$83:C83)</f>
        <v>0</v>
      </c>
      <c r="D89" s="34">
        <f>SUM($C$34:D34)-SUM($C$83:D83)</f>
        <v>0</v>
      </c>
      <c r="E89" s="34">
        <f>SUM($C$34:E34)-SUM($C$83:E83)</f>
        <v>0</v>
      </c>
      <c r="F89" s="34">
        <f>SUM($C$34:F34)-SUM($C$83:F83)</f>
        <v>0</v>
      </c>
      <c r="G89" s="34">
        <f>SUM($C$34:G34)-SUM($C$83:G83)</f>
        <v>0</v>
      </c>
      <c r="H89" s="34">
        <f>SUM($C$34:H34)-SUM($C$83:H83)</f>
        <v>0</v>
      </c>
      <c r="I89" s="34">
        <f>SUM($C$34:I34)-SUM($C$83:I83)</f>
        <v>0</v>
      </c>
      <c r="J89" s="34">
        <f>SUM($C$34:J34)-SUM($C$83:J83)</f>
        <v>0</v>
      </c>
      <c r="K89" s="34">
        <f>SUM($C$34:K34)-SUM($C$83:K83)</f>
        <v>0</v>
      </c>
      <c r="L89" s="34">
        <f>SUM($C$34:L34)-SUM($C$83:L83)</f>
        <v>0</v>
      </c>
      <c r="M89" s="34">
        <f>SUM($C$34:M34)-SUM($C$83:M83)</f>
        <v>0</v>
      </c>
      <c r="N89" s="34">
        <f>SUM($C$34:N34)-SUM($C$83:N83)</f>
        <v>0</v>
      </c>
      <c r="O89" s="34">
        <f>SUM($C$34:O34)-SUM($C$83:O83)</f>
        <v>0</v>
      </c>
      <c r="P89" s="34">
        <f>SUM($C$34:P34)-SUM($C$83:P83)</f>
        <v>0</v>
      </c>
      <c r="Q89" s="34">
        <f>SUM($C$34:Q34)-SUM($C$83:Q83)</f>
        <v>0</v>
      </c>
      <c r="R89" s="34">
        <f>SUM($C$34:R34)-SUM($C$83:R83)</f>
        <v>0</v>
      </c>
      <c r="S89" s="34">
        <f>SUM($C$34:S34)-SUM($C$83:S83)</f>
        <v>0</v>
      </c>
      <c r="T89" s="34">
        <f>SUM($C$34:T34)-SUM($C$83:T83)</f>
        <v>0</v>
      </c>
      <c r="U89" s="34">
        <f>SUM($C$34:U34)-SUM($C$83:U83)</f>
        <v>0</v>
      </c>
      <c r="V89" s="34">
        <f>SUM($C$34:V34)-SUM($C$83:V83)</f>
        <v>0</v>
      </c>
      <c r="W89" s="34">
        <f>SUM($C$34:W34)-SUM($C$83:W83)</f>
        <v>0</v>
      </c>
      <c r="X89" s="34">
        <f>SUM($C$34:X34)-SUM($C$83:X83)</f>
        <v>0</v>
      </c>
      <c r="Y89" s="34">
        <f>SUM($C$34:Y34)-SUM($C$83:Y83)</f>
        <v>0</v>
      </c>
      <c r="Z89" s="34">
        <f>SUM($C$34:Z34)-SUM($C$83:Z83)</f>
        <v>0</v>
      </c>
      <c r="AA89" s="34">
        <f>SUM($C$34:AA34)-SUM($C$83:AA83)</f>
        <v>0</v>
      </c>
      <c r="AB89" s="34">
        <f>SUM($C$34:AB34)-SUM($C$83:AB83)</f>
        <v>0</v>
      </c>
      <c r="AC89" s="34">
        <f>SUM($C$34:AC34)-SUM($C$83:AC83)</f>
        <v>0</v>
      </c>
      <c r="AD89" s="34">
        <f>SUM($C$34:AD34)-SUM($C$83:AD83)</f>
        <v>0</v>
      </c>
      <c r="AE89" s="34">
        <f>SUM($C$34:AE34)-SUM($C$83:AE83)</f>
        <v>0</v>
      </c>
      <c r="AF89" s="34">
        <f>SUM($C$34:AF34)-SUM($C$83:AF83)</f>
        <v>0</v>
      </c>
      <c r="AG89" s="34">
        <f>SUM($C$34:AG34)-SUM($C$83:AG83)</f>
        <v>0</v>
      </c>
      <c r="AH89" s="34">
        <f>SUM($C$34:AH34)-SUM($C$83:AH83)</f>
        <v>0</v>
      </c>
      <c r="AI89" s="34">
        <f>SUM($C$34:AI34)-SUM($C$83:AI83)</f>
        <v>0</v>
      </c>
      <c r="AJ89" s="34">
        <f>SUM($C$34:AJ34)-SUM($C$83:AJ83)</f>
        <v>0</v>
      </c>
      <c r="AK89" s="34">
        <f>SUM($C$34:AK34)-SUM($C$83:AK83)</f>
        <v>0</v>
      </c>
      <c r="AL89" s="34">
        <f>SUM($C$34:AL34)-SUM($C$83:AL83)</f>
        <v>0</v>
      </c>
      <c r="AM89" s="34">
        <f>SUM($C$34:AM34)-SUM($C$83:AM83)</f>
        <v>0</v>
      </c>
      <c r="AN89" s="34">
        <f>SUM($C$34:AN34)-SUM($C$83:AN83)</f>
        <v>0</v>
      </c>
      <c r="AO89" s="34">
        <f>SUM($C$34:AO34)-SUM($C$83:AO83)</f>
        <v>0</v>
      </c>
      <c r="AP89" s="34">
        <f>SUM($C$34:AP34)-SUM($C$83:AP83)</f>
        <v>0</v>
      </c>
      <c r="AQ89" s="34">
        <f>SUM($C$34:AQ34)-SUM($C$83:AQ83)</f>
        <v>0</v>
      </c>
    </row>
    <row r="90" spans="1:43" ht="13.5" thickBot="1" x14ac:dyDescent="0.25">
      <c r="A90" s="33" t="s">
        <v>211</v>
      </c>
      <c r="B90" s="33"/>
      <c r="C90" s="34">
        <f>SUM($C$155:C155)-SUM($C$135:C135)</f>
        <v>0</v>
      </c>
      <c r="D90" s="34">
        <f>SUM($C$155:D155)-SUM($C$135:D135)</f>
        <v>0</v>
      </c>
      <c r="E90" s="34">
        <f>SUM($C$155:E155)-SUM($C$135:E135)</f>
        <v>0</v>
      </c>
      <c r="F90" s="34">
        <f>SUM($C$155:F155)-SUM($C$135:F135)</f>
        <v>0</v>
      </c>
      <c r="G90" s="34">
        <f>SUM($C$155:G155)-SUM($C$135:G135)</f>
        <v>0</v>
      </c>
      <c r="H90" s="34">
        <f>SUM($C$155:H155)-SUM($C$135:H135)</f>
        <v>0</v>
      </c>
      <c r="I90" s="34">
        <f>SUM($C$155:I155)-SUM($C$135:I135)</f>
        <v>0</v>
      </c>
      <c r="J90" s="34">
        <f>SUM($C$155:J155)-SUM($C$135:J135)</f>
        <v>0</v>
      </c>
      <c r="K90" s="34">
        <f>SUM($C$155:K155)-SUM($C$135:K135)</f>
        <v>0</v>
      </c>
      <c r="L90" s="34">
        <f>SUM($C$155:L155)-SUM($C$135:L135)</f>
        <v>0</v>
      </c>
      <c r="M90" s="34">
        <f>SUM($C$155:M155)-SUM($C$135:M135)</f>
        <v>0</v>
      </c>
      <c r="N90" s="34">
        <f>SUM($C$155:N155)-SUM($C$135:N135)</f>
        <v>0</v>
      </c>
      <c r="O90" s="34">
        <f>SUM($C$155:O155)-SUM($C$135:O135)</f>
        <v>0</v>
      </c>
      <c r="P90" s="34">
        <f>SUM($C$155:P155)-SUM($C$135:P135)</f>
        <v>225.43066000000005</v>
      </c>
      <c r="Q90" s="34">
        <f>SUM($C$155:Q155)-SUM($C$135:Q135)</f>
        <v>0</v>
      </c>
      <c r="R90" s="34">
        <f>SUM($C$155:R155)-SUM($C$135:R135)</f>
        <v>0</v>
      </c>
      <c r="S90" s="34">
        <f>SUM($C$155:S155)-SUM($C$135:S135)</f>
        <v>676.29198000000019</v>
      </c>
      <c r="T90" s="34">
        <f>SUM($C$155:T155)-SUM($C$135:T135)</f>
        <v>0</v>
      </c>
      <c r="U90" s="34">
        <f>SUM($C$155:U155)-SUM($C$135:U135)</f>
        <v>0</v>
      </c>
      <c r="V90" s="34">
        <f>SUM($C$155:V155)-SUM($C$135:V135)</f>
        <v>163.94957090909088</v>
      </c>
      <c r="W90" s="34">
        <f>SUM($C$155:W155)-SUM($C$135:W135)</f>
        <v>0</v>
      </c>
      <c r="X90" s="34">
        <f>SUM($C$155:X155)-SUM($C$135:X135)</f>
        <v>0</v>
      </c>
      <c r="Y90" s="34">
        <f>SUM($C$155:Y155)-SUM($C$135:Y135)</f>
        <v>327.89914181818176</v>
      </c>
      <c r="Z90" s="34">
        <f>SUM($C$155:Z155)-SUM($C$135:Z135)</f>
        <v>0</v>
      </c>
      <c r="AA90" s="34">
        <f>SUM($C$155:AA155)-SUM($C$135:AA135)</f>
        <v>0</v>
      </c>
      <c r="AB90" s="34">
        <f>SUM($C$155:AB155)-SUM($C$135:AB135)</f>
        <v>327.89914181818176</v>
      </c>
      <c r="AC90" s="34">
        <f>SUM($C$155:AC155)-SUM($C$135:AC135)</f>
        <v>0</v>
      </c>
      <c r="AD90" s="34">
        <f>SUM($C$155:AD155)-SUM($C$135:AD135)</f>
        <v>0</v>
      </c>
      <c r="AE90" s="34">
        <f>SUM($C$155:AE155)-SUM($C$135:AE135)</f>
        <v>983.69742545454574</v>
      </c>
      <c r="AF90" s="34">
        <f>SUM($C$155:AF155)-SUM($C$135:AF135)</f>
        <v>0</v>
      </c>
      <c r="AG90" s="34">
        <f>SUM($C$155:AG155)-SUM($C$135:AG135)</f>
        <v>0</v>
      </c>
      <c r="AH90" s="34">
        <f>SUM($C$155:AH155)-SUM($C$135:AH135)</f>
        <v>257.63504000000012</v>
      </c>
      <c r="AI90" s="34">
        <f>SUM($C$155:AI155)-SUM($C$135:AI135)</f>
        <v>0</v>
      </c>
      <c r="AJ90" s="34">
        <f>SUM($C$155:AJ155)-SUM($C$135:AJ135)</f>
        <v>0</v>
      </c>
      <c r="AK90" s="34">
        <f>SUM($C$155:AK155)-SUM($C$135:AK135)</f>
        <v>515.27008000000023</v>
      </c>
      <c r="AL90" s="34">
        <f>SUM($C$155:AL155)-SUM($C$135:AL135)</f>
        <v>0</v>
      </c>
      <c r="AM90" s="34">
        <f>SUM($C$155:AM155)-SUM($C$135:AM135)</f>
        <v>0</v>
      </c>
      <c r="AN90" s="34">
        <f>SUM($C$155:AN155)-SUM($C$135:AN135)</f>
        <v>257.63504000000012</v>
      </c>
      <c r="AO90" s="34">
        <f>SUM($C$155:AO155)-SUM($C$135:AO135)</f>
        <v>0</v>
      </c>
      <c r="AP90" s="34">
        <f>SUM($C$155:AP155)-SUM($C$135:AP135)</f>
        <v>0</v>
      </c>
      <c r="AQ90" s="34">
        <f>SUM($C$155:AQ155)-SUM($C$135:AQ135)</f>
        <v>0</v>
      </c>
    </row>
    <row r="91" spans="1:43" ht="13.5" thickBot="1" x14ac:dyDescent="0.25">
      <c r="A91" s="31" t="s">
        <v>129</v>
      </c>
      <c r="B91" s="31"/>
      <c r="C91" s="32">
        <f t="shared" ref="C91:AQ91" si="49">SUM(C80,C89:C90)</f>
        <v>291.66666666666663</v>
      </c>
      <c r="D91" s="32">
        <f t="shared" si="49"/>
        <v>291.66666666666663</v>
      </c>
      <c r="E91" s="32">
        <f t="shared" si="49"/>
        <v>291.66666666666674</v>
      </c>
      <c r="F91" s="32">
        <f t="shared" si="49"/>
        <v>291.66666666666674</v>
      </c>
      <c r="G91" s="32">
        <f t="shared" si="49"/>
        <v>0</v>
      </c>
      <c r="H91" s="32">
        <f t="shared" si="49"/>
        <v>0</v>
      </c>
      <c r="I91" s="32">
        <f t="shared" si="49"/>
        <v>212.12121212121201</v>
      </c>
      <c r="J91" s="32">
        <f t="shared" si="49"/>
        <v>212.12121212121201</v>
      </c>
      <c r="K91" s="32">
        <f t="shared" si="49"/>
        <v>212.12121212121201</v>
      </c>
      <c r="L91" s="32">
        <f t="shared" si="49"/>
        <v>0</v>
      </c>
      <c r="M91" s="32">
        <f t="shared" si="49"/>
        <v>0</v>
      </c>
      <c r="N91" s="32">
        <f t="shared" si="49"/>
        <v>0</v>
      </c>
      <c r="O91" s="32">
        <f t="shared" si="49"/>
        <v>424.24242424242493</v>
      </c>
      <c r="P91" s="32">
        <f t="shared" si="49"/>
        <v>649.67308424242401</v>
      </c>
      <c r="Q91" s="32">
        <f t="shared" si="49"/>
        <v>424.24242424242402</v>
      </c>
      <c r="R91" s="32">
        <f t="shared" si="49"/>
        <v>424.24242424242402</v>
      </c>
      <c r="S91" s="32">
        <f t="shared" si="49"/>
        <v>676.29198000000019</v>
      </c>
      <c r="T91" s="32">
        <f t="shared" si="49"/>
        <v>0</v>
      </c>
      <c r="U91" s="32">
        <f t="shared" si="49"/>
        <v>333.33333333333394</v>
      </c>
      <c r="V91" s="32">
        <f t="shared" si="49"/>
        <v>497.28290424242482</v>
      </c>
      <c r="W91" s="32">
        <f t="shared" si="49"/>
        <v>333.33333333333394</v>
      </c>
      <c r="X91" s="32">
        <f t="shared" si="49"/>
        <v>0</v>
      </c>
      <c r="Y91" s="32">
        <f t="shared" si="49"/>
        <v>327.89914181818176</v>
      </c>
      <c r="Z91" s="32">
        <f t="shared" si="49"/>
        <v>0</v>
      </c>
      <c r="AA91" s="32">
        <f t="shared" si="49"/>
        <v>333.33333333333212</v>
      </c>
      <c r="AB91" s="32">
        <f t="shared" si="49"/>
        <v>661.23247515151388</v>
      </c>
      <c r="AC91" s="32">
        <f t="shared" si="49"/>
        <v>333.33333333333212</v>
      </c>
      <c r="AD91" s="32">
        <f t="shared" si="49"/>
        <v>333.33333333333212</v>
      </c>
      <c r="AE91" s="32">
        <f t="shared" si="49"/>
        <v>983.69742545454574</v>
      </c>
      <c r="AF91" s="32">
        <f t="shared" si="49"/>
        <v>0</v>
      </c>
      <c r="AG91" s="32">
        <f t="shared" si="49"/>
        <v>0</v>
      </c>
      <c r="AH91" s="32">
        <f t="shared" si="49"/>
        <v>257.63504000000012</v>
      </c>
      <c r="AI91" s="32">
        <f t="shared" si="49"/>
        <v>0</v>
      </c>
      <c r="AJ91" s="32">
        <f t="shared" si="49"/>
        <v>0</v>
      </c>
      <c r="AK91" s="32">
        <f t="shared" si="49"/>
        <v>515.27008000000023</v>
      </c>
      <c r="AL91" s="32">
        <f t="shared" si="49"/>
        <v>0</v>
      </c>
      <c r="AM91" s="32">
        <f t="shared" si="49"/>
        <v>0</v>
      </c>
      <c r="AN91" s="32">
        <f t="shared" si="49"/>
        <v>257.63504000000012</v>
      </c>
      <c r="AO91" s="32">
        <f t="shared" si="49"/>
        <v>0</v>
      </c>
      <c r="AP91" s="32">
        <f t="shared" si="49"/>
        <v>0</v>
      </c>
      <c r="AQ91" s="32">
        <f t="shared" si="49"/>
        <v>0</v>
      </c>
    </row>
    <row r="94" spans="1:43" ht="15.75" x14ac:dyDescent="0.25">
      <c r="A94" s="90" t="s">
        <v>62</v>
      </c>
    </row>
    <row r="95" spans="1:43" x14ac:dyDescent="0.2">
      <c r="A95" s="57" t="s">
        <v>92</v>
      </c>
      <c r="B95" s="57"/>
      <c r="C95" s="72">
        <f t="shared" ref="C95:AQ95" si="50">C55</f>
        <v>0</v>
      </c>
      <c r="D95" s="72">
        <f t="shared" si="50"/>
        <v>0</v>
      </c>
      <c r="E95" s="72">
        <f t="shared" si="50"/>
        <v>0</v>
      </c>
      <c r="F95" s="72">
        <f t="shared" si="50"/>
        <v>0</v>
      </c>
      <c r="G95" s="72">
        <f t="shared" si="50"/>
        <v>0</v>
      </c>
      <c r="H95" s="72">
        <f t="shared" si="50"/>
        <v>0</v>
      </c>
      <c r="I95" s="72">
        <f t="shared" si="50"/>
        <v>0</v>
      </c>
      <c r="J95" s="72">
        <f t="shared" si="50"/>
        <v>0</v>
      </c>
      <c r="K95" s="72">
        <f t="shared" si="50"/>
        <v>0</v>
      </c>
      <c r="L95" s="72">
        <f t="shared" si="50"/>
        <v>0</v>
      </c>
      <c r="M95" s="72">
        <f t="shared" si="50"/>
        <v>0</v>
      </c>
      <c r="N95" s="72">
        <f t="shared" si="50"/>
        <v>0</v>
      </c>
      <c r="O95" s="72">
        <f t="shared" si="50"/>
        <v>0</v>
      </c>
      <c r="P95" s="72">
        <f t="shared" si="50"/>
        <v>9062.5</v>
      </c>
      <c r="Q95" s="72">
        <f t="shared" si="50"/>
        <v>9062.5</v>
      </c>
      <c r="R95" s="72">
        <f t="shared" si="50"/>
        <v>9062.5</v>
      </c>
      <c r="S95" s="72">
        <f t="shared" si="50"/>
        <v>9062.5</v>
      </c>
      <c r="T95" s="72">
        <f t="shared" si="50"/>
        <v>0</v>
      </c>
      <c r="U95" s="72">
        <f t="shared" si="50"/>
        <v>0</v>
      </c>
      <c r="V95" s="72">
        <f t="shared" si="50"/>
        <v>6590.9090909090901</v>
      </c>
      <c r="W95" s="72">
        <f t="shared" si="50"/>
        <v>6590.9090909090901</v>
      </c>
      <c r="X95" s="72">
        <f t="shared" si="50"/>
        <v>6590.9090909090901</v>
      </c>
      <c r="Y95" s="72">
        <f t="shared" si="50"/>
        <v>0</v>
      </c>
      <c r="Z95" s="72">
        <f t="shared" si="50"/>
        <v>0</v>
      </c>
      <c r="AA95" s="72">
        <f t="shared" si="50"/>
        <v>0</v>
      </c>
      <c r="AB95" s="72">
        <f t="shared" si="50"/>
        <v>13181.818181818184</v>
      </c>
      <c r="AC95" s="72">
        <f t="shared" si="50"/>
        <v>13181.818181818184</v>
      </c>
      <c r="AD95" s="72">
        <f t="shared" si="50"/>
        <v>13181.818181818184</v>
      </c>
      <c r="AE95" s="72">
        <f t="shared" si="50"/>
        <v>13181.818181818184</v>
      </c>
      <c r="AF95" s="72">
        <f t="shared" si="50"/>
        <v>0</v>
      </c>
      <c r="AG95" s="72">
        <f t="shared" si="50"/>
        <v>0</v>
      </c>
      <c r="AH95" s="72">
        <f t="shared" si="50"/>
        <v>10357.142857142859</v>
      </c>
      <c r="AI95" s="72">
        <f t="shared" si="50"/>
        <v>10357.142857142859</v>
      </c>
      <c r="AJ95" s="72">
        <f t="shared" si="50"/>
        <v>10357.142857142859</v>
      </c>
      <c r="AK95" s="72">
        <f t="shared" si="50"/>
        <v>0</v>
      </c>
      <c r="AL95" s="72">
        <f t="shared" si="50"/>
        <v>0</v>
      </c>
      <c r="AM95" s="72">
        <f t="shared" si="50"/>
        <v>0</v>
      </c>
      <c r="AN95" s="72">
        <f t="shared" si="50"/>
        <v>10357.142857142859</v>
      </c>
      <c r="AO95" s="72">
        <f t="shared" si="50"/>
        <v>10357.142857142859</v>
      </c>
      <c r="AP95" s="72">
        <f t="shared" si="50"/>
        <v>10357.142857142859</v>
      </c>
      <c r="AQ95" s="72">
        <f t="shared" si="50"/>
        <v>10357.142857142859</v>
      </c>
    </row>
    <row r="96" spans="1:43" x14ac:dyDescent="0.2">
      <c r="A96" t="s">
        <v>91</v>
      </c>
      <c r="C96" s="4">
        <f t="shared" ref="C96:AQ96" si="51">C51</f>
        <v>0</v>
      </c>
      <c r="D96" s="4">
        <f t="shared" si="51"/>
        <v>0</v>
      </c>
      <c r="E96" s="4">
        <f t="shared" si="51"/>
        <v>0</v>
      </c>
      <c r="F96" s="4">
        <f t="shared" si="51"/>
        <v>0</v>
      </c>
      <c r="G96" s="4">
        <f t="shared" si="51"/>
        <v>0</v>
      </c>
      <c r="H96" s="4">
        <f t="shared" si="51"/>
        <v>0</v>
      </c>
      <c r="I96" s="4">
        <f t="shared" si="51"/>
        <v>0</v>
      </c>
      <c r="J96" s="4">
        <f t="shared" si="51"/>
        <v>0</v>
      </c>
      <c r="K96" s="4">
        <f t="shared" si="51"/>
        <v>0</v>
      </c>
      <c r="L96" s="4">
        <f t="shared" si="51"/>
        <v>0</v>
      </c>
      <c r="M96" s="4">
        <f t="shared" si="51"/>
        <v>0</v>
      </c>
      <c r="N96" s="4">
        <f t="shared" si="51"/>
        <v>0</v>
      </c>
      <c r="O96" s="4">
        <f t="shared" si="51"/>
        <v>0</v>
      </c>
      <c r="P96" s="4">
        <f t="shared" si="51"/>
        <v>-5305.3223333333326</v>
      </c>
      <c r="Q96" s="4">
        <f t="shared" si="51"/>
        <v>-5305.3223333333326</v>
      </c>
      <c r="R96" s="4">
        <f t="shared" si="51"/>
        <v>-5305.3223333333326</v>
      </c>
      <c r="S96" s="4">
        <f t="shared" si="51"/>
        <v>-5305.3223333333326</v>
      </c>
      <c r="T96" s="4">
        <f t="shared" si="51"/>
        <v>0</v>
      </c>
      <c r="U96" s="4">
        <f t="shared" si="51"/>
        <v>0</v>
      </c>
      <c r="V96" s="4">
        <f t="shared" si="51"/>
        <v>-3858.4162424242418</v>
      </c>
      <c r="W96" s="4">
        <f t="shared" si="51"/>
        <v>-3858.4162424242418</v>
      </c>
      <c r="X96" s="4">
        <f t="shared" si="51"/>
        <v>-3858.4162424242418</v>
      </c>
      <c r="Y96" s="4">
        <f t="shared" si="51"/>
        <v>0</v>
      </c>
      <c r="Z96" s="4">
        <f t="shared" si="51"/>
        <v>0</v>
      </c>
      <c r="AA96" s="4">
        <f t="shared" si="51"/>
        <v>0</v>
      </c>
      <c r="AB96" s="4">
        <f t="shared" si="51"/>
        <v>-7716.8324848484854</v>
      </c>
      <c r="AC96" s="4">
        <f t="shared" si="51"/>
        <v>-7716.8324848484854</v>
      </c>
      <c r="AD96" s="4">
        <f t="shared" si="51"/>
        <v>-7716.8324848484854</v>
      </c>
      <c r="AE96" s="4">
        <f t="shared" si="51"/>
        <v>-7716.8324848484854</v>
      </c>
      <c r="AF96" s="4">
        <f t="shared" si="51"/>
        <v>0</v>
      </c>
      <c r="AG96" s="4">
        <f t="shared" si="51"/>
        <v>0</v>
      </c>
      <c r="AH96" s="4">
        <f t="shared" si="51"/>
        <v>-6063.2255238095231</v>
      </c>
      <c r="AI96" s="4">
        <f t="shared" si="51"/>
        <v>-6063.2255238095231</v>
      </c>
      <c r="AJ96" s="4">
        <f t="shared" si="51"/>
        <v>-6063.2255238095231</v>
      </c>
      <c r="AK96" s="4">
        <f t="shared" si="51"/>
        <v>0</v>
      </c>
      <c r="AL96" s="4">
        <f t="shared" si="51"/>
        <v>0</v>
      </c>
      <c r="AM96" s="4">
        <f t="shared" si="51"/>
        <v>0</v>
      </c>
      <c r="AN96" s="4">
        <f t="shared" si="51"/>
        <v>-6063.2255238095231</v>
      </c>
      <c r="AO96" s="4">
        <f t="shared" si="51"/>
        <v>-6063.2255238095231</v>
      </c>
      <c r="AP96" s="4">
        <f t="shared" si="51"/>
        <v>-6063.2255238095231</v>
      </c>
      <c r="AQ96" s="4">
        <f t="shared" si="51"/>
        <v>-6063.2255238095231</v>
      </c>
    </row>
    <row r="97" spans="1:55 16383:16383" x14ac:dyDescent="0.2">
      <c r="A97" s="57" t="s">
        <v>76</v>
      </c>
      <c r="B97" s="57"/>
      <c r="C97" s="72">
        <f t="shared" ref="C97:AQ97" si="52">C95+C96</f>
        <v>0</v>
      </c>
      <c r="D97" s="72">
        <f t="shared" si="52"/>
        <v>0</v>
      </c>
      <c r="E97" s="72">
        <f t="shared" si="52"/>
        <v>0</v>
      </c>
      <c r="F97" s="72">
        <f t="shared" si="52"/>
        <v>0</v>
      </c>
      <c r="G97" s="72">
        <f t="shared" si="52"/>
        <v>0</v>
      </c>
      <c r="H97" s="72">
        <f t="shared" si="52"/>
        <v>0</v>
      </c>
      <c r="I97" s="72">
        <f t="shared" si="52"/>
        <v>0</v>
      </c>
      <c r="J97" s="72">
        <f t="shared" si="52"/>
        <v>0</v>
      </c>
      <c r="K97" s="72">
        <f t="shared" si="52"/>
        <v>0</v>
      </c>
      <c r="L97" s="72">
        <f t="shared" si="52"/>
        <v>0</v>
      </c>
      <c r="M97" s="72">
        <f t="shared" si="52"/>
        <v>0</v>
      </c>
      <c r="N97" s="72">
        <f t="shared" si="52"/>
        <v>0</v>
      </c>
      <c r="O97" s="72">
        <f t="shared" si="52"/>
        <v>0</v>
      </c>
      <c r="P97" s="72">
        <f t="shared" si="52"/>
        <v>3757.1776666666674</v>
      </c>
      <c r="Q97" s="72">
        <f t="shared" si="52"/>
        <v>3757.1776666666674</v>
      </c>
      <c r="R97" s="72">
        <f t="shared" si="52"/>
        <v>3757.1776666666674</v>
      </c>
      <c r="S97" s="72">
        <f t="shared" si="52"/>
        <v>3757.1776666666674</v>
      </c>
      <c r="T97" s="72">
        <f t="shared" si="52"/>
        <v>0</v>
      </c>
      <c r="U97" s="72">
        <f t="shared" si="52"/>
        <v>0</v>
      </c>
      <c r="V97" s="72">
        <f t="shared" si="52"/>
        <v>2732.4928484848483</v>
      </c>
      <c r="W97" s="72">
        <f t="shared" si="52"/>
        <v>2732.4928484848483</v>
      </c>
      <c r="X97" s="72">
        <f t="shared" si="52"/>
        <v>2732.4928484848483</v>
      </c>
      <c r="Y97" s="72">
        <f t="shared" si="52"/>
        <v>0</v>
      </c>
      <c r="Z97" s="72">
        <f t="shared" si="52"/>
        <v>0</v>
      </c>
      <c r="AA97" s="72">
        <f t="shared" si="52"/>
        <v>0</v>
      </c>
      <c r="AB97" s="72">
        <f t="shared" si="52"/>
        <v>5464.9856969696984</v>
      </c>
      <c r="AC97" s="72">
        <f t="shared" si="52"/>
        <v>5464.9856969696984</v>
      </c>
      <c r="AD97" s="72">
        <f t="shared" si="52"/>
        <v>5464.9856969696984</v>
      </c>
      <c r="AE97" s="72">
        <f t="shared" si="52"/>
        <v>5464.9856969696984</v>
      </c>
      <c r="AF97" s="72">
        <f t="shared" si="52"/>
        <v>0</v>
      </c>
      <c r="AG97" s="72">
        <f t="shared" si="52"/>
        <v>0</v>
      </c>
      <c r="AH97" s="72">
        <f t="shared" si="52"/>
        <v>4293.9173333333356</v>
      </c>
      <c r="AI97" s="72">
        <f t="shared" si="52"/>
        <v>4293.9173333333356</v>
      </c>
      <c r="AJ97" s="72">
        <f t="shared" si="52"/>
        <v>4293.9173333333356</v>
      </c>
      <c r="AK97" s="72">
        <f t="shared" si="52"/>
        <v>0</v>
      </c>
      <c r="AL97" s="72">
        <f t="shared" si="52"/>
        <v>0</v>
      </c>
      <c r="AM97" s="72">
        <f t="shared" si="52"/>
        <v>0</v>
      </c>
      <c r="AN97" s="72">
        <f t="shared" si="52"/>
        <v>4293.9173333333356</v>
      </c>
      <c r="AO97" s="72">
        <f t="shared" si="52"/>
        <v>4293.9173333333356</v>
      </c>
      <c r="AP97" s="72">
        <f t="shared" si="52"/>
        <v>4293.9173333333356</v>
      </c>
      <c r="AQ97" s="72">
        <f t="shared" si="52"/>
        <v>4293.9173333333356</v>
      </c>
    </row>
    <row r="98" spans="1:55 16383:16383" x14ac:dyDescent="0.2">
      <c r="A98" s="57" t="s">
        <v>200</v>
      </c>
      <c r="B98" s="57"/>
      <c r="C98" s="72">
        <f t="shared" ref="C98:AQ98" si="53">SUM(C99:C100)</f>
        <v>0</v>
      </c>
      <c r="D98" s="72">
        <f t="shared" si="53"/>
        <v>0</v>
      </c>
      <c r="E98" s="72">
        <f t="shared" si="53"/>
        <v>0</v>
      </c>
      <c r="F98" s="72">
        <f t="shared" si="53"/>
        <v>0</v>
      </c>
      <c r="G98" s="72">
        <f t="shared" si="53"/>
        <v>0</v>
      </c>
      <c r="H98" s="72">
        <f>SUM(H99:H100)</f>
        <v>931.5</v>
      </c>
      <c r="I98" s="72">
        <f t="shared" si="53"/>
        <v>0</v>
      </c>
      <c r="J98" s="72">
        <f t="shared" si="53"/>
        <v>0</v>
      </c>
      <c r="K98" s="72">
        <f t="shared" si="53"/>
        <v>0</v>
      </c>
      <c r="L98" s="72">
        <f t="shared" si="53"/>
        <v>0</v>
      </c>
      <c r="M98" s="72">
        <f t="shared" si="53"/>
        <v>0</v>
      </c>
      <c r="N98" s="72">
        <f t="shared" si="53"/>
        <v>0</v>
      </c>
      <c r="O98" s="72">
        <f t="shared" si="53"/>
        <v>0</v>
      </c>
      <c r="P98" s="72">
        <f t="shared" si="53"/>
        <v>0</v>
      </c>
      <c r="Q98" s="72">
        <f t="shared" si="53"/>
        <v>0</v>
      </c>
      <c r="R98" s="72">
        <f t="shared" si="53"/>
        <v>0</v>
      </c>
      <c r="S98" s="72">
        <f t="shared" si="53"/>
        <v>0</v>
      </c>
      <c r="T98" s="72">
        <f t="shared" si="53"/>
        <v>9315</v>
      </c>
      <c r="U98" s="72">
        <f t="shared" si="53"/>
        <v>0</v>
      </c>
      <c r="V98" s="72">
        <f t="shared" si="53"/>
        <v>0</v>
      </c>
      <c r="W98" s="72">
        <f t="shared" si="53"/>
        <v>0</v>
      </c>
      <c r="X98" s="72">
        <f t="shared" si="53"/>
        <v>0</v>
      </c>
      <c r="Y98" s="72">
        <f t="shared" si="53"/>
        <v>0</v>
      </c>
      <c r="Z98" s="72">
        <f t="shared" si="53"/>
        <v>0</v>
      </c>
      <c r="AA98" s="72">
        <f t="shared" si="53"/>
        <v>0</v>
      </c>
      <c r="AB98" s="72">
        <f t="shared" si="53"/>
        <v>0</v>
      </c>
      <c r="AC98" s="72">
        <f t="shared" si="53"/>
        <v>0</v>
      </c>
      <c r="AD98" s="72">
        <f t="shared" si="53"/>
        <v>0</v>
      </c>
      <c r="AE98" s="72">
        <f t="shared" si="53"/>
        <v>0</v>
      </c>
      <c r="AF98" s="72">
        <f t="shared" si="53"/>
        <v>9750</v>
      </c>
      <c r="AG98" s="72">
        <f t="shared" si="53"/>
        <v>0</v>
      </c>
      <c r="AH98" s="72">
        <f t="shared" si="53"/>
        <v>0</v>
      </c>
      <c r="AI98" s="72">
        <f t="shared" si="53"/>
        <v>0</v>
      </c>
      <c r="AJ98" s="72">
        <f t="shared" si="53"/>
        <v>0</v>
      </c>
      <c r="AK98" s="72">
        <f t="shared" si="53"/>
        <v>0</v>
      </c>
      <c r="AL98" s="72">
        <f t="shared" si="53"/>
        <v>0</v>
      </c>
      <c r="AM98" s="72">
        <f t="shared" si="53"/>
        <v>0</v>
      </c>
      <c r="AN98" s="72">
        <f t="shared" si="53"/>
        <v>0</v>
      </c>
      <c r="AO98" s="72">
        <f t="shared" si="53"/>
        <v>0</v>
      </c>
      <c r="AP98" s="72">
        <f t="shared" si="53"/>
        <v>0</v>
      </c>
      <c r="AQ98" s="72">
        <f t="shared" si="53"/>
        <v>1890</v>
      </c>
    </row>
    <row r="99" spans="1:55 16383:16383" outlineLevel="1" x14ac:dyDescent="0.2">
      <c r="A99" s="168" t="s">
        <v>201</v>
      </c>
      <c r="C99" s="4"/>
      <c r="D99" s="4"/>
      <c r="E99" s="4"/>
      <c r="F99" s="4"/>
      <c r="G99" s="4"/>
      <c r="H99" s="4">
        <f>-'0'!$D$19/'0'!$D$18*SUM(M!C154:G154)</f>
        <v>586.5</v>
      </c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>
        <f>-'0'!$D$19/'0'!$D$18*SUM(M!H154:S154)</f>
        <v>3165</v>
      </c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65">
        <f>-'0'!$D$19/'0'!$D$18*SUM(M!T154:AE154)</f>
        <v>3360</v>
      </c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65">
        <f>-'0'!$D$19/'0'!$D$18*SUM(M!AF154:AQ154)</f>
        <v>0</v>
      </c>
    </row>
    <row r="100" spans="1:55 16383:16383" outlineLevel="1" x14ac:dyDescent="0.2">
      <c r="A100" s="168" t="s">
        <v>202</v>
      </c>
      <c r="C100" s="4"/>
      <c r="D100" s="4"/>
      <c r="E100" s="4"/>
      <c r="F100" s="4"/>
      <c r="G100" s="4"/>
      <c r="H100" s="4">
        <f>'0'!$C$30*SUM(M!C34:G34)</f>
        <v>345</v>
      </c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>
        <f>'0'!$C$30*SUM(M!H34:S34)</f>
        <v>6150</v>
      </c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>
        <f>'0'!$C$30*SUM(M!T34:AE34)</f>
        <v>6390</v>
      </c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>
        <f>'0'!$C$30*SUM(M!AF34:AQ34)</f>
        <v>1890</v>
      </c>
    </row>
    <row r="101" spans="1:55 16383:16383" x14ac:dyDescent="0.2">
      <c r="A101" s="57" t="s">
        <v>175</v>
      </c>
      <c r="B101" s="57"/>
      <c r="C101" s="72">
        <f>SUM(C102,C105,C111,C114:C116)</f>
        <v>-109.75259999999999</v>
      </c>
      <c r="D101" s="72">
        <f t="shared" ref="D101:AQ101" si="54">SUM(D102,D105,D111,D114:D116)</f>
        <v>-109.75259999999999</v>
      </c>
      <c r="E101" s="72">
        <f t="shared" si="54"/>
        <v>-162.55259999999996</v>
      </c>
      <c r="F101" s="72">
        <f t="shared" si="54"/>
        <v>-109.75259999999999</v>
      </c>
      <c r="G101" s="72">
        <f t="shared" si="54"/>
        <v>-109.75259999999999</v>
      </c>
      <c r="H101" s="72">
        <f t="shared" si="54"/>
        <v>-162.55259999999996</v>
      </c>
      <c r="I101" s="72">
        <f t="shared" si="54"/>
        <v>-109.75259999999999</v>
      </c>
      <c r="J101" s="72">
        <f t="shared" si="54"/>
        <v>-109.75259999999999</v>
      </c>
      <c r="K101" s="72">
        <f t="shared" si="54"/>
        <v>-162.55259999999996</v>
      </c>
      <c r="L101" s="72">
        <f t="shared" si="54"/>
        <v>-109.75259999999999</v>
      </c>
      <c r="M101" s="72">
        <f t="shared" si="54"/>
        <v>-109.75259999999999</v>
      </c>
      <c r="N101" s="72">
        <f t="shared" si="54"/>
        <v>-162.55259999999996</v>
      </c>
      <c r="O101" s="72">
        <f t="shared" si="54"/>
        <v>-109.75259999999999</v>
      </c>
      <c r="P101" s="72">
        <f t="shared" si="54"/>
        <v>-109.75259999999999</v>
      </c>
      <c r="Q101" s="72">
        <f t="shared" si="54"/>
        <v>-162.55259999999996</v>
      </c>
      <c r="R101" s="72">
        <f t="shared" si="54"/>
        <v>-109.75259999999999</v>
      </c>
      <c r="S101" s="72">
        <f t="shared" si="54"/>
        <v>-109.75259999999999</v>
      </c>
      <c r="T101" s="72">
        <f t="shared" si="54"/>
        <v>-162.55259999999996</v>
      </c>
      <c r="U101" s="72">
        <f t="shared" si="54"/>
        <v>-109.75259999999999</v>
      </c>
      <c r="V101" s="72">
        <f t="shared" si="54"/>
        <v>-109.75259999999999</v>
      </c>
      <c r="W101" s="72">
        <f t="shared" si="54"/>
        <v>-162.55259999999996</v>
      </c>
      <c r="X101" s="72">
        <f t="shared" si="54"/>
        <v>-109.75259999999999</v>
      </c>
      <c r="Y101" s="72">
        <f t="shared" si="54"/>
        <v>-109.75259999999999</v>
      </c>
      <c r="Z101" s="72">
        <f t="shared" si="54"/>
        <v>-162.55259999999996</v>
      </c>
      <c r="AA101" s="72">
        <f t="shared" si="54"/>
        <v>-109.75259999999999</v>
      </c>
      <c r="AB101" s="72">
        <f t="shared" si="54"/>
        <v>-109.75259999999999</v>
      </c>
      <c r="AC101" s="72">
        <f t="shared" si="54"/>
        <v>-162.55259999999996</v>
      </c>
      <c r="AD101" s="72">
        <f t="shared" si="54"/>
        <v>-109.75259999999999</v>
      </c>
      <c r="AE101" s="72">
        <f t="shared" si="54"/>
        <v>-109.75259999999999</v>
      </c>
      <c r="AF101" s="72">
        <f t="shared" si="54"/>
        <v>-162.55259999999996</v>
      </c>
      <c r="AG101" s="72">
        <f t="shared" si="54"/>
        <v>-109.75259999999999</v>
      </c>
      <c r="AH101" s="72">
        <f t="shared" si="54"/>
        <v>-109.75259999999999</v>
      </c>
      <c r="AI101" s="72">
        <f t="shared" si="54"/>
        <v>-162.55259999999996</v>
      </c>
      <c r="AJ101" s="72">
        <f t="shared" si="54"/>
        <v>-109.75259999999999</v>
      </c>
      <c r="AK101" s="72">
        <f t="shared" si="54"/>
        <v>-109.75259999999999</v>
      </c>
      <c r="AL101" s="72">
        <f t="shared" si="54"/>
        <v>-162.55259999999996</v>
      </c>
      <c r="AM101" s="72">
        <f t="shared" si="54"/>
        <v>-109.75259999999999</v>
      </c>
      <c r="AN101" s="72">
        <f t="shared" si="54"/>
        <v>-109.75259999999999</v>
      </c>
      <c r="AO101" s="72">
        <f t="shared" si="54"/>
        <v>-162.55259999999996</v>
      </c>
      <c r="AP101" s="72">
        <f t="shared" si="54"/>
        <v>-109.75259999999999</v>
      </c>
      <c r="AQ101" s="72">
        <f t="shared" si="54"/>
        <v>-109.75259999999999</v>
      </c>
    </row>
    <row r="102" spans="1:55 16383:16383" outlineLevel="1" x14ac:dyDescent="0.2">
      <c r="A102" s="171" t="s">
        <v>203</v>
      </c>
      <c r="C102" s="4">
        <f t="shared" ref="C102:AQ102" si="55">SUM(C103:C104)</f>
        <v>-94.45259999999999</v>
      </c>
      <c r="D102" s="4">
        <f t="shared" si="55"/>
        <v>-94.45259999999999</v>
      </c>
      <c r="E102" s="4">
        <f t="shared" si="55"/>
        <v>-94.45259999999999</v>
      </c>
      <c r="F102" s="4">
        <f t="shared" si="55"/>
        <v>-94.45259999999999</v>
      </c>
      <c r="G102" s="4">
        <f t="shared" si="55"/>
        <v>-94.45259999999999</v>
      </c>
      <c r="H102" s="4">
        <f t="shared" si="55"/>
        <v>-94.45259999999999</v>
      </c>
      <c r="I102" s="4">
        <f t="shared" si="55"/>
        <v>-94.45259999999999</v>
      </c>
      <c r="J102" s="4">
        <f t="shared" si="55"/>
        <v>-94.45259999999999</v>
      </c>
      <c r="K102" s="4">
        <f t="shared" si="55"/>
        <v>-94.45259999999999</v>
      </c>
      <c r="L102" s="4">
        <f t="shared" si="55"/>
        <v>-94.45259999999999</v>
      </c>
      <c r="M102" s="4">
        <f t="shared" si="55"/>
        <v>-94.45259999999999</v>
      </c>
      <c r="N102" s="4">
        <f t="shared" si="55"/>
        <v>-94.45259999999999</v>
      </c>
      <c r="O102" s="4">
        <f t="shared" si="55"/>
        <v>-94.45259999999999</v>
      </c>
      <c r="P102" s="4">
        <f t="shared" si="55"/>
        <v>-94.45259999999999</v>
      </c>
      <c r="Q102" s="4">
        <f t="shared" si="55"/>
        <v>-94.45259999999999</v>
      </c>
      <c r="R102" s="4">
        <f t="shared" si="55"/>
        <v>-94.45259999999999</v>
      </c>
      <c r="S102" s="4">
        <f t="shared" si="55"/>
        <v>-94.45259999999999</v>
      </c>
      <c r="T102" s="4">
        <f t="shared" si="55"/>
        <v>-94.45259999999999</v>
      </c>
      <c r="U102" s="4">
        <f t="shared" si="55"/>
        <v>-94.45259999999999</v>
      </c>
      <c r="V102" s="4">
        <f t="shared" si="55"/>
        <v>-94.45259999999999</v>
      </c>
      <c r="W102" s="4">
        <f t="shared" si="55"/>
        <v>-94.45259999999999</v>
      </c>
      <c r="X102" s="4">
        <f t="shared" si="55"/>
        <v>-94.45259999999999</v>
      </c>
      <c r="Y102" s="4">
        <f t="shared" si="55"/>
        <v>-94.45259999999999</v>
      </c>
      <c r="Z102" s="4">
        <f t="shared" si="55"/>
        <v>-94.45259999999999</v>
      </c>
      <c r="AA102" s="4">
        <f t="shared" si="55"/>
        <v>-94.45259999999999</v>
      </c>
      <c r="AB102" s="4">
        <f t="shared" si="55"/>
        <v>-94.45259999999999</v>
      </c>
      <c r="AC102" s="4">
        <f t="shared" si="55"/>
        <v>-94.45259999999999</v>
      </c>
      <c r="AD102" s="4">
        <f t="shared" si="55"/>
        <v>-94.45259999999999</v>
      </c>
      <c r="AE102" s="4">
        <f t="shared" si="55"/>
        <v>-94.45259999999999</v>
      </c>
      <c r="AF102" s="4">
        <f t="shared" si="55"/>
        <v>-94.45259999999999</v>
      </c>
      <c r="AG102" s="4">
        <f t="shared" si="55"/>
        <v>-94.45259999999999</v>
      </c>
      <c r="AH102" s="4">
        <f t="shared" si="55"/>
        <v>-94.45259999999999</v>
      </c>
      <c r="AI102" s="4">
        <f t="shared" si="55"/>
        <v>-94.45259999999999</v>
      </c>
      <c r="AJ102" s="4">
        <f t="shared" si="55"/>
        <v>-94.45259999999999</v>
      </c>
      <c r="AK102" s="4">
        <f t="shared" si="55"/>
        <v>-94.45259999999999</v>
      </c>
      <c r="AL102" s="4">
        <f t="shared" si="55"/>
        <v>-94.45259999999999</v>
      </c>
      <c r="AM102" s="4">
        <f t="shared" si="55"/>
        <v>-94.45259999999999</v>
      </c>
      <c r="AN102" s="4">
        <f t="shared" si="55"/>
        <v>-94.45259999999999</v>
      </c>
      <c r="AO102" s="4">
        <f t="shared" si="55"/>
        <v>-94.45259999999999</v>
      </c>
      <c r="AP102" s="4">
        <f t="shared" si="55"/>
        <v>-94.45259999999999</v>
      </c>
      <c r="AQ102" s="4">
        <f t="shared" si="55"/>
        <v>-94.45259999999999</v>
      </c>
    </row>
    <row r="103" spans="1:55 16383:16383" s="75" customFormat="1" hidden="1" outlineLevel="2" x14ac:dyDescent="0.2">
      <c r="A103" s="172" t="s">
        <v>142</v>
      </c>
      <c r="C103" s="76">
        <f>-cost!$E$58/1000</f>
        <v>-72.599999999999994</v>
      </c>
      <c r="D103" s="76">
        <f>-cost!$E$58/1000</f>
        <v>-72.599999999999994</v>
      </c>
      <c r="E103" s="76">
        <f>-cost!$E$58/1000</f>
        <v>-72.599999999999994</v>
      </c>
      <c r="F103" s="76">
        <f>-cost!$E$58/1000</f>
        <v>-72.599999999999994</v>
      </c>
      <c r="G103" s="76">
        <f>-cost!$E$58/1000</f>
        <v>-72.599999999999994</v>
      </c>
      <c r="H103" s="76">
        <f>-cost!$E$58/1000</f>
        <v>-72.599999999999994</v>
      </c>
      <c r="I103" s="76">
        <f>-cost!$E$58/1000</f>
        <v>-72.599999999999994</v>
      </c>
      <c r="J103" s="76">
        <f>-cost!$E$58/1000</f>
        <v>-72.599999999999994</v>
      </c>
      <c r="K103" s="76">
        <f>-cost!$E$58/1000</f>
        <v>-72.599999999999994</v>
      </c>
      <c r="L103" s="76">
        <f>-cost!$E$58/1000</f>
        <v>-72.599999999999994</v>
      </c>
      <c r="M103" s="76">
        <f>-cost!$E$58/1000</f>
        <v>-72.599999999999994</v>
      </c>
      <c r="N103" s="76">
        <f>-cost!$E$58/1000</f>
        <v>-72.599999999999994</v>
      </c>
      <c r="O103" s="76">
        <f>-cost!$E$58/1000</f>
        <v>-72.599999999999994</v>
      </c>
      <c r="P103" s="76">
        <f>-cost!$E$58/1000</f>
        <v>-72.599999999999994</v>
      </c>
      <c r="Q103" s="76">
        <f>-cost!$E$58/1000</f>
        <v>-72.599999999999994</v>
      </c>
      <c r="R103" s="76">
        <f>-cost!$E$58/1000</f>
        <v>-72.599999999999994</v>
      </c>
      <c r="S103" s="76">
        <f>-cost!$E$58/1000</f>
        <v>-72.599999999999994</v>
      </c>
      <c r="T103" s="76">
        <f>-cost!$E$58/1000</f>
        <v>-72.599999999999994</v>
      </c>
      <c r="U103" s="76">
        <f>-cost!$E$58/1000</f>
        <v>-72.599999999999994</v>
      </c>
      <c r="V103" s="76">
        <f>-cost!$E$58/1000</f>
        <v>-72.599999999999994</v>
      </c>
      <c r="W103" s="76">
        <f>-cost!$E$58/1000</f>
        <v>-72.599999999999994</v>
      </c>
      <c r="X103" s="76">
        <f>-cost!$E$58/1000</f>
        <v>-72.599999999999994</v>
      </c>
      <c r="Y103" s="76">
        <f>-cost!$E$58/1000</f>
        <v>-72.599999999999994</v>
      </c>
      <c r="Z103" s="76">
        <f>-cost!$E$58/1000</f>
        <v>-72.599999999999994</v>
      </c>
      <c r="AA103" s="76">
        <f>-cost!$E$58/1000</f>
        <v>-72.599999999999994</v>
      </c>
      <c r="AB103" s="76">
        <f>-cost!$E$58/1000</f>
        <v>-72.599999999999994</v>
      </c>
      <c r="AC103" s="76">
        <f>-cost!$E$58/1000</f>
        <v>-72.599999999999994</v>
      </c>
      <c r="AD103" s="76">
        <f>-cost!$E$58/1000</f>
        <v>-72.599999999999994</v>
      </c>
      <c r="AE103" s="76">
        <f>-cost!$E$58/1000</f>
        <v>-72.599999999999994</v>
      </c>
      <c r="AF103" s="76">
        <f>-cost!$E$58/1000</f>
        <v>-72.599999999999994</v>
      </c>
      <c r="AG103" s="76">
        <f>-cost!$E$58/1000</f>
        <v>-72.599999999999994</v>
      </c>
      <c r="AH103" s="76">
        <f>-cost!$E$58/1000</f>
        <v>-72.599999999999994</v>
      </c>
      <c r="AI103" s="76">
        <f>-cost!$E$58/1000</f>
        <v>-72.599999999999994</v>
      </c>
      <c r="AJ103" s="76">
        <f>-cost!$E$58/1000</f>
        <v>-72.599999999999994</v>
      </c>
      <c r="AK103" s="76">
        <f>-cost!$E$58/1000</f>
        <v>-72.599999999999994</v>
      </c>
      <c r="AL103" s="76">
        <f>-cost!$E$58/1000</f>
        <v>-72.599999999999994</v>
      </c>
      <c r="AM103" s="76">
        <f>-cost!$E$58/1000</f>
        <v>-72.599999999999994</v>
      </c>
      <c r="AN103" s="76">
        <f>-cost!$E$58/1000</f>
        <v>-72.599999999999994</v>
      </c>
      <c r="AO103" s="76">
        <f>-cost!$E$58/1000</f>
        <v>-72.599999999999994</v>
      </c>
      <c r="AP103" s="76">
        <f>-cost!$E$58/1000</f>
        <v>-72.599999999999994</v>
      </c>
      <c r="AQ103" s="76">
        <f>-cost!$E$58/1000</f>
        <v>-72.599999999999994</v>
      </c>
      <c r="AR103"/>
      <c r="AS103"/>
      <c r="AT103"/>
      <c r="AU103"/>
      <c r="AV103"/>
      <c r="AW103"/>
      <c r="AX103"/>
      <c r="AY103"/>
      <c r="AZ103"/>
      <c r="BA103"/>
      <c r="BB103"/>
      <c r="BC103"/>
    </row>
    <row r="104" spans="1:55 16383:16383" s="75" customFormat="1" hidden="1" outlineLevel="2" x14ac:dyDescent="0.2">
      <c r="A104" s="172" t="s">
        <v>143</v>
      </c>
      <c r="C104" s="76">
        <f>-cost!$E$59/1000</f>
        <v>-21.852599999999999</v>
      </c>
      <c r="D104" s="76">
        <f>-cost!$E$59/1000</f>
        <v>-21.852599999999999</v>
      </c>
      <c r="E104" s="76">
        <f>-cost!$E$59/1000</f>
        <v>-21.852599999999999</v>
      </c>
      <c r="F104" s="76">
        <f>-cost!$E$59/1000</f>
        <v>-21.852599999999999</v>
      </c>
      <c r="G104" s="76">
        <f>-cost!$E$59/1000</f>
        <v>-21.852599999999999</v>
      </c>
      <c r="H104" s="76">
        <f>-cost!$E$59/1000</f>
        <v>-21.852599999999999</v>
      </c>
      <c r="I104" s="76">
        <f>-cost!$E$59/1000</f>
        <v>-21.852599999999999</v>
      </c>
      <c r="J104" s="76">
        <f>-cost!$E$59/1000</f>
        <v>-21.852599999999999</v>
      </c>
      <c r="K104" s="76">
        <f>-cost!$E$59/1000</f>
        <v>-21.852599999999999</v>
      </c>
      <c r="L104" s="76">
        <f>-cost!$E$59/1000</f>
        <v>-21.852599999999999</v>
      </c>
      <c r="M104" s="76">
        <f>-cost!$E$59/1000</f>
        <v>-21.852599999999999</v>
      </c>
      <c r="N104" s="76">
        <f>-cost!$E$59/1000</f>
        <v>-21.852599999999999</v>
      </c>
      <c r="O104" s="76">
        <f>-cost!$E$59/1000</f>
        <v>-21.852599999999999</v>
      </c>
      <c r="P104" s="76">
        <f>-cost!$E$59/1000</f>
        <v>-21.852599999999999</v>
      </c>
      <c r="Q104" s="76">
        <f>-cost!$E$59/1000</f>
        <v>-21.852599999999999</v>
      </c>
      <c r="R104" s="76">
        <f>-cost!$E$59/1000</f>
        <v>-21.852599999999999</v>
      </c>
      <c r="S104" s="76">
        <f>-cost!$E$59/1000</f>
        <v>-21.852599999999999</v>
      </c>
      <c r="T104" s="76">
        <f>-cost!$E$59/1000</f>
        <v>-21.852599999999999</v>
      </c>
      <c r="U104" s="76">
        <f>-cost!$E$59/1000</f>
        <v>-21.852599999999999</v>
      </c>
      <c r="V104" s="76">
        <f>-cost!$E$59/1000</f>
        <v>-21.852599999999999</v>
      </c>
      <c r="W104" s="76">
        <f>-cost!$E$59/1000</f>
        <v>-21.852599999999999</v>
      </c>
      <c r="X104" s="76">
        <f>-cost!$E$59/1000</f>
        <v>-21.852599999999999</v>
      </c>
      <c r="Y104" s="76">
        <f>-cost!$E$59/1000</f>
        <v>-21.852599999999999</v>
      </c>
      <c r="Z104" s="76">
        <f>-cost!$E$59/1000</f>
        <v>-21.852599999999999</v>
      </c>
      <c r="AA104" s="76">
        <f>-cost!$E$59/1000</f>
        <v>-21.852599999999999</v>
      </c>
      <c r="AB104" s="76">
        <f>-cost!$E$59/1000</f>
        <v>-21.852599999999999</v>
      </c>
      <c r="AC104" s="76">
        <f>-cost!$E$59/1000</f>
        <v>-21.852599999999999</v>
      </c>
      <c r="AD104" s="76">
        <f>-cost!$E$59/1000</f>
        <v>-21.852599999999999</v>
      </c>
      <c r="AE104" s="76">
        <f>-cost!$E$59/1000</f>
        <v>-21.852599999999999</v>
      </c>
      <c r="AF104" s="76">
        <f>-cost!$E$59/1000</f>
        <v>-21.852599999999999</v>
      </c>
      <c r="AG104" s="76">
        <f>-cost!$E$59/1000</f>
        <v>-21.852599999999999</v>
      </c>
      <c r="AH104" s="76">
        <f>-cost!$E$59/1000</f>
        <v>-21.852599999999999</v>
      </c>
      <c r="AI104" s="76">
        <f>-cost!$E$59/1000</f>
        <v>-21.852599999999999</v>
      </c>
      <c r="AJ104" s="76">
        <f>-cost!$E$59/1000</f>
        <v>-21.852599999999999</v>
      </c>
      <c r="AK104" s="76">
        <f>-cost!$E$59/1000</f>
        <v>-21.852599999999999</v>
      </c>
      <c r="AL104" s="76">
        <f>-cost!$E$59/1000</f>
        <v>-21.852599999999999</v>
      </c>
      <c r="AM104" s="76">
        <f>-cost!$E$59/1000</f>
        <v>-21.852599999999999</v>
      </c>
      <c r="AN104" s="76">
        <f>-cost!$E$59/1000</f>
        <v>-21.852599999999999</v>
      </c>
      <c r="AO104" s="76">
        <f>-cost!$E$59/1000</f>
        <v>-21.852599999999999</v>
      </c>
      <c r="AP104" s="76">
        <f>-cost!$E$59/1000</f>
        <v>-21.852599999999999</v>
      </c>
      <c r="AQ104" s="76">
        <f>-cost!$E$59/1000</f>
        <v>-21.852599999999999</v>
      </c>
      <c r="AR104"/>
      <c r="AS104"/>
      <c r="AT104"/>
      <c r="AU104"/>
      <c r="AV104"/>
      <c r="AW104"/>
      <c r="AX104"/>
      <c r="AY104"/>
      <c r="AZ104"/>
      <c r="BA104"/>
      <c r="BB104"/>
      <c r="BC104"/>
    </row>
    <row r="105" spans="1:55 16383:16383" outlineLevel="1" collapsed="1" x14ac:dyDescent="0.2">
      <c r="A105" s="171" t="s">
        <v>176</v>
      </c>
      <c r="C105" s="4">
        <f t="shared" ref="C105:AQ105" si="56">SUM(C106:C110)</f>
        <v>0</v>
      </c>
      <c r="D105" s="4">
        <f t="shared" si="56"/>
        <v>0</v>
      </c>
      <c r="E105" s="4">
        <f t="shared" si="56"/>
        <v>-52.79999999999999</v>
      </c>
      <c r="F105" s="4">
        <f t="shared" si="56"/>
        <v>0</v>
      </c>
      <c r="G105" s="4">
        <f t="shared" si="56"/>
        <v>0</v>
      </c>
      <c r="H105" s="4">
        <f t="shared" si="56"/>
        <v>-52.79999999999999</v>
      </c>
      <c r="I105" s="4">
        <f t="shared" si="56"/>
        <v>0</v>
      </c>
      <c r="J105" s="4">
        <f t="shared" si="56"/>
        <v>0</v>
      </c>
      <c r="K105" s="4">
        <f t="shared" si="56"/>
        <v>-52.79999999999999</v>
      </c>
      <c r="L105" s="4">
        <f t="shared" si="56"/>
        <v>0</v>
      </c>
      <c r="M105" s="4">
        <f t="shared" si="56"/>
        <v>0</v>
      </c>
      <c r="N105" s="4">
        <f t="shared" si="56"/>
        <v>-52.79999999999999</v>
      </c>
      <c r="O105" s="4">
        <f t="shared" si="56"/>
        <v>0</v>
      </c>
      <c r="P105" s="4">
        <f t="shared" si="56"/>
        <v>0</v>
      </c>
      <c r="Q105" s="4">
        <f t="shared" si="56"/>
        <v>-52.79999999999999</v>
      </c>
      <c r="R105" s="4">
        <f t="shared" si="56"/>
        <v>0</v>
      </c>
      <c r="S105" s="4">
        <f t="shared" si="56"/>
        <v>0</v>
      </c>
      <c r="T105" s="4">
        <f t="shared" si="56"/>
        <v>-52.79999999999999</v>
      </c>
      <c r="U105" s="4">
        <f t="shared" si="56"/>
        <v>0</v>
      </c>
      <c r="V105" s="4">
        <f t="shared" si="56"/>
        <v>0</v>
      </c>
      <c r="W105" s="4">
        <f t="shared" si="56"/>
        <v>-52.79999999999999</v>
      </c>
      <c r="X105" s="4">
        <f t="shared" si="56"/>
        <v>0</v>
      </c>
      <c r="Y105" s="4">
        <f t="shared" si="56"/>
        <v>0</v>
      </c>
      <c r="Z105" s="4">
        <f t="shared" si="56"/>
        <v>-52.79999999999999</v>
      </c>
      <c r="AA105" s="4">
        <f t="shared" si="56"/>
        <v>0</v>
      </c>
      <c r="AB105" s="4">
        <f t="shared" si="56"/>
        <v>0</v>
      </c>
      <c r="AC105" s="4">
        <f t="shared" si="56"/>
        <v>-52.79999999999999</v>
      </c>
      <c r="AD105" s="4">
        <f t="shared" si="56"/>
        <v>0</v>
      </c>
      <c r="AE105" s="4">
        <f t="shared" si="56"/>
        <v>0</v>
      </c>
      <c r="AF105" s="4">
        <f t="shared" si="56"/>
        <v>-52.79999999999999</v>
      </c>
      <c r="AG105" s="4">
        <f t="shared" si="56"/>
        <v>0</v>
      </c>
      <c r="AH105" s="4">
        <f t="shared" si="56"/>
        <v>0</v>
      </c>
      <c r="AI105" s="4">
        <f t="shared" si="56"/>
        <v>-52.79999999999999</v>
      </c>
      <c r="AJ105" s="4">
        <f t="shared" si="56"/>
        <v>0</v>
      </c>
      <c r="AK105" s="4">
        <f t="shared" si="56"/>
        <v>0</v>
      </c>
      <c r="AL105" s="4">
        <f t="shared" si="56"/>
        <v>-52.79999999999999</v>
      </c>
      <c r="AM105" s="4">
        <f t="shared" si="56"/>
        <v>0</v>
      </c>
      <c r="AN105" s="4">
        <f t="shared" si="56"/>
        <v>0</v>
      </c>
      <c r="AO105" s="4">
        <f t="shared" si="56"/>
        <v>-52.79999999999999</v>
      </c>
      <c r="AP105" s="4">
        <f t="shared" si="56"/>
        <v>0</v>
      </c>
      <c r="AQ105" s="4">
        <f t="shared" si="56"/>
        <v>0</v>
      </c>
    </row>
    <row r="106" spans="1:55 16383:16383" s="75" customFormat="1" hidden="1" outlineLevel="2" x14ac:dyDescent="0.2">
      <c r="A106" s="172" t="s">
        <v>144</v>
      </c>
      <c r="C106" s="76"/>
      <c r="D106" s="76"/>
      <c r="E106" s="76">
        <f>-cost!$F$61/1000</f>
        <v>-20.399999999999999</v>
      </c>
      <c r="F106" s="76"/>
      <c r="G106" s="76"/>
      <c r="H106" s="76">
        <f>-cost!$F$61/1000</f>
        <v>-20.399999999999999</v>
      </c>
      <c r="I106" s="76"/>
      <c r="J106" s="76"/>
      <c r="K106" s="76">
        <f>-cost!$F$61/1000</f>
        <v>-20.399999999999999</v>
      </c>
      <c r="L106" s="76"/>
      <c r="M106" s="76"/>
      <c r="N106" s="76">
        <f>-cost!$F$61/1000</f>
        <v>-20.399999999999999</v>
      </c>
      <c r="O106" s="76"/>
      <c r="P106" s="76"/>
      <c r="Q106" s="76">
        <f>-cost!$F$61/1000</f>
        <v>-20.399999999999999</v>
      </c>
      <c r="R106" s="76"/>
      <c r="S106" s="76"/>
      <c r="T106" s="76">
        <f>-cost!$F$61/1000</f>
        <v>-20.399999999999999</v>
      </c>
      <c r="U106" s="76"/>
      <c r="V106" s="76"/>
      <c r="W106" s="76">
        <f>-cost!$F$61/1000</f>
        <v>-20.399999999999999</v>
      </c>
      <c r="X106" s="76"/>
      <c r="Y106" s="76"/>
      <c r="Z106" s="76">
        <f>-cost!$F$61/1000</f>
        <v>-20.399999999999999</v>
      </c>
      <c r="AA106" s="76"/>
      <c r="AB106" s="76"/>
      <c r="AC106" s="76">
        <f>-cost!$F$61/1000</f>
        <v>-20.399999999999999</v>
      </c>
      <c r="AD106" s="76"/>
      <c r="AE106" s="76"/>
      <c r="AF106" s="76">
        <f>-cost!$F$61/1000</f>
        <v>-20.399999999999999</v>
      </c>
      <c r="AG106" s="76"/>
      <c r="AH106" s="76"/>
      <c r="AI106" s="76">
        <f>-cost!$F$61/1000</f>
        <v>-20.399999999999999</v>
      </c>
      <c r="AJ106" s="76"/>
      <c r="AK106" s="76"/>
      <c r="AL106" s="76">
        <f>-cost!$F$61/1000</f>
        <v>-20.399999999999999</v>
      </c>
      <c r="AM106" s="76"/>
      <c r="AN106" s="76"/>
      <c r="AO106" s="76">
        <f>-cost!$F$61/1000</f>
        <v>-20.399999999999999</v>
      </c>
      <c r="AP106" s="76"/>
      <c r="AQ106" s="76"/>
      <c r="AR106"/>
      <c r="AS106"/>
      <c r="AT106"/>
      <c r="AU106"/>
      <c r="AV106"/>
      <c r="AW106"/>
      <c r="AX106"/>
      <c r="AY106"/>
      <c r="AZ106"/>
      <c r="BA106"/>
      <c r="BB106"/>
      <c r="BC106"/>
      <c r="XFC106" s="76">
        <f>SUM(E106:XFB106)</f>
        <v>-265.20000000000005</v>
      </c>
    </row>
    <row r="107" spans="1:55 16383:16383" s="75" customFormat="1" hidden="1" outlineLevel="2" x14ac:dyDescent="0.2">
      <c r="A107" s="172" t="s">
        <v>149</v>
      </c>
      <c r="C107" s="76"/>
      <c r="D107" s="76"/>
      <c r="E107" s="76">
        <f>-cost!$F$62/1000</f>
        <v>-10.4</v>
      </c>
      <c r="F107" s="76"/>
      <c r="G107" s="76"/>
      <c r="H107" s="76">
        <f>-cost!$F$62/1000</f>
        <v>-10.4</v>
      </c>
      <c r="I107" s="76"/>
      <c r="J107" s="76"/>
      <c r="K107" s="76">
        <f>-cost!$F$62/1000</f>
        <v>-10.4</v>
      </c>
      <c r="L107" s="76"/>
      <c r="M107" s="76"/>
      <c r="N107" s="76">
        <f>-cost!$F$62/1000</f>
        <v>-10.4</v>
      </c>
      <c r="O107" s="76"/>
      <c r="P107" s="76"/>
      <c r="Q107" s="76">
        <f>-cost!$F$62/1000</f>
        <v>-10.4</v>
      </c>
      <c r="R107" s="76"/>
      <c r="S107" s="76"/>
      <c r="T107" s="76">
        <f>-cost!$F$62/1000</f>
        <v>-10.4</v>
      </c>
      <c r="U107" s="76"/>
      <c r="V107" s="76"/>
      <c r="W107" s="76">
        <f>-cost!$F$62/1000</f>
        <v>-10.4</v>
      </c>
      <c r="X107" s="76"/>
      <c r="Y107" s="76"/>
      <c r="Z107" s="76">
        <f>-cost!$F$62/1000</f>
        <v>-10.4</v>
      </c>
      <c r="AA107" s="76"/>
      <c r="AB107" s="76"/>
      <c r="AC107" s="76">
        <f>-cost!$F$62/1000</f>
        <v>-10.4</v>
      </c>
      <c r="AD107" s="76"/>
      <c r="AE107" s="76"/>
      <c r="AF107" s="76">
        <f>-cost!$F$62/1000</f>
        <v>-10.4</v>
      </c>
      <c r="AG107" s="76"/>
      <c r="AH107" s="76"/>
      <c r="AI107" s="76">
        <f>-cost!$F$62/1000</f>
        <v>-10.4</v>
      </c>
      <c r="AJ107" s="76"/>
      <c r="AK107" s="76"/>
      <c r="AL107" s="76">
        <f>-cost!$F$62/1000</f>
        <v>-10.4</v>
      </c>
      <c r="AM107" s="76"/>
      <c r="AN107" s="76"/>
      <c r="AO107" s="76">
        <f>-cost!$F$62/1000</f>
        <v>-10.4</v>
      </c>
      <c r="AP107" s="76"/>
      <c r="AQ107" s="76"/>
      <c r="AR107"/>
      <c r="AS107"/>
      <c r="AT107"/>
      <c r="AU107"/>
      <c r="AV107"/>
      <c r="AW107"/>
      <c r="AX107"/>
      <c r="AY107"/>
      <c r="AZ107"/>
      <c r="BA107"/>
      <c r="BB107"/>
      <c r="BC107"/>
      <c r="XFC107" s="76">
        <f>SUM(E107:XFB107)</f>
        <v>-135.20000000000002</v>
      </c>
    </row>
    <row r="108" spans="1:55 16383:16383" s="75" customFormat="1" hidden="1" outlineLevel="2" x14ac:dyDescent="0.2">
      <c r="A108" s="172" t="s">
        <v>150</v>
      </c>
      <c r="C108" s="76"/>
      <c r="D108" s="76"/>
      <c r="E108" s="76">
        <f>-cost!$F$63/1000</f>
        <v>-10.4</v>
      </c>
      <c r="F108" s="76"/>
      <c r="G108" s="76"/>
      <c r="H108" s="76">
        <f>-cost!$F$63/1000</f>
        <v>-10.4</v>
      </c>
      <c r="I108" s="76"/>
      <c r="J108" s="76"/>
      <c r="K108" s="76">
        <f>-cost!$F$63/1000</f>
        <v>-10.4</v>
      </c>
      <c r="L108" s="76"/>
      <c r="M108" s="76"/>
      <c r="N108" s="76">
        <f>-cost!$F$63/1000</f>
        <v>-10.4</v>
      </c>
      <c r="O108" s="76"/>
      <c r="P108" s="76"/>
      <c r="Q108" s="76">
        <f>-cost!$F$63/1000</f>
        <v>-10.4</v>
      </c>
      <c r="R108" s="76"/>
      <c r="S108" s="76"/>
      <c r="T108" s="76">
        <f>-cost!$F$63/1000</f>
        <v>-10.4</v>
      </c>
      <c r="U108" s="76"/>
      <c r="V108" s="76"/>
      <c r="W108" s="76">
        <f>-cost!$F$63/1000</f>
        <v>-10.4</v>
      </c>
      <c r="X108" s="76"/>
      <c r="Y108" s="76"/>
      <c r="Z108" s="76">
        <f>-cost!$F$63/1000</f>
        <v>-10.4</v>
      </c>
      <c r="AA108" s="76"/>
      <c r="AB108" s="76"/>
      <c r="AC108" s="76">
        <f>-cost!$F$63/1000</f>
        <v>-10.4</v>
      </c>
      <c r="AD108" s="76"/>
      <c r="AE108" s="76"/>
      <c r="AF108" s="76">
        <f>-cost!$F$63/1000</f>
        <v>-10.4</v>
      </c>
      <c r="AG108" s="76"/>
      <c r="AH108" s="76"/>
      <c r="AI108" s="76">
        <f>-cost!$F$63/1000</f>
        <v>-10.4</v>
      </c>
      <c r="AJ108" s="76"/>
      <c r="AK108" s="76"/>
      <c r="AL108" s="76">
        <f>-cost!$F$63/1000</f>
        <v>-10.4</v>
      </c>
      <c r="AM108" s="76"/>
      <c r="AN108" s="76"/>
      <c r="AO108" s="76">
        <f>-cost!$F$63/1000</f>
        <v>-10.4</v>
      </c>
      <c r="AP108" s="76"/>
      <c r="AQ108" s="76"/>
      <c r="AR108"/>
      <c r="AS108"/>
      <c r="AT108"/>
      <c r="AU108"/>
      <c r="AV108"/>
      <c r="AW108"/>
      <c r="AX108"/>
      <c r="AY108"/>
      <c r="AZ108"/>
      <c r="BA108"/>
      <c r="BB108"/>
      <c r="BC108"/>
      <c r="XFC108" s="76">
        <f>SUM(E108:XFB108)</f>
        <v>-135.20000000000002</v>
      </c>
    </row>
    <row r="109" spans="1:55 16383:16383" s="75" customFormat="1" hidden="1" outlineLevel="2" x14ac:dyDescent="0.2">
      <c r="A109" s="172" t="s">
        <v>151</v>
      </c>
      <c r="C109" s="76"/>
      <c r="D109" s="76"/>
      <c r="E109" s="76">
        <f>-cost!$F$64/1000</f>
        <v>-9.1999999999999993</v>
      </c>
      <c r="F109" s="76"/>
      <c r="G109" s="76"/>
      <c r="H109" s="76">
        <f>-cost!$F$64/1000</f>
        <v>-9.1999999999999993</v>
      </c>
      <c r="I109" s="76"/>
      <c r="J109" s="76"/>
      <c r="K109" s="76">
        <f>-cost!$F$64/1000</f>
        <v>-9.1999999999999993</v>
      </c>
      <c r="L109" s="76"/>
      <c r="M109" s="76"/>
      <c r="N109" s="76">
        <f>-cost!$F$64/1000</f>
        <v>-9.1999999999999993</v>
      </c>
      <c r="O109" s="76"/>
      <c r="P109" s="76"/>
      <c r="Q109" s="76">
        <f>-cost!$F$64/1000</f>
        <v>-9.1999999999999993</v>
      </c>
      <c r="R109" s="76"/>
      <c r="S109" s="76"/>
      <c r="T109" s="76">
        <f>-cost!$F$64/1000</f>
        <v>-9.1999999999999993</v>
      </c>
      <c r="U109" s="76"/>
      <c r="V109" s="76"/>
      <c r="W109" s="76">
        <f>-cost!$F$64/1000</f>
        <v>-9.1999999999999993</v>
      </c>
      <c r="X109" s="76"/>
      <c r="Y109" s="76"/>
      <c r="Z109" s="76">
        <f>-cost!$F$64/1000</f>
        <v>-9.1999999999999993</v>
      </c>
      <c r="AA109" s="76"/>
      <c r="AB109" s="76"/>
      <c r="AC109" s="76">
        <f>-cost!$F$64/1000</f>
        <v>-9.1999999999999993</v>
      </c>
      <c r="AD109" s="76"/>
      <c r="AE109" s="76"/>
      <c r="AF109" s="76">
        <f>-cost!$F$64/1000</f>
        <v>-9.1999999999999993</v>
      </c>
      <c r="AG109" s="76"/>
      <c r="AH109" s="76"/>
      <c r="AI109" s="76">
        <f>-cost!$F$64/1000</f>
        <v>-9.1999999999999993</v>
      </c>
      <c r="AJ109" s="76"/>
      <c r="AK109" s="76"/>
      <c r="AL109" s="76">
        <f>-cost!$F$64/1000</f>
        <v>-9.1999999999999993</v>
      </c>
      <c r="AM109" s="76"/>
      <c r="AN109" s="76"/>
      <c r="AO109" s="76">
        <f>-cost!$F$64/1000</f>
        <v>-9.1999999999999993</v>
      </c>
      <c r="AP109" s="76"/>
      <c r="AQ109" s="76"/>
      <c r="AR109"/>
      <c r="AS109"/>
      <c r="AT109"/>
      <c r="AU109"/>
      <c r="AV109"/>
      <c r="AW109"/>
      <c r="AX109"/>
      <c r="AY109"/>
      <c r="AZ109"/>
      <c r="BA109"/>
      <c r="BB109"/>
      <c r="BC109"/>
      <c r="XFC109" s="76">
        <f>SUM(E109:XFB109)</f>
        <v>-119.60000000000002</v>
      </c>
    </row>
    <row r="110" spans="1:55 16383:16383" s="75" customFormat="1" hidden="1" outlineLevel="2" x14ac:dyDescent="0.2">
      <c r="A110" s="172" t="s">
        <v>153</v>
      </c>
      <c r="C110" s="76"/>
      <c r="D110" s="76"/>
      <c r="E110" s="76">
        <f>-cost!$F$65/1000</f>
        <v>-2.4</v>
      </c>
      <c r="F110" s="76"/>
      <c r="G110" s="76"/>
      <c r="H110" s="76">
        <f>-cost!$F$65/1000</f>
        <v>-2.4</v>
      </c>
      <c r="I110" s="76"/>
      <c r="J110" s="76"/>
      <c r="K110" s="76">
        <f>-cost!$F$65/1000</f>
        <v>-2.4</v>
      </c>
      <c r="L110" s="76"/>
      <c r="M110" s="76"/>
      <c r="N110" s="76">
        <f>-cost!$F$65/1000</f>
        <v>-2.4</v>
      </c>
      <c r="O110" s="76"/>
      <c r="P110" s="76"/>
      <c r="Q110" s="76">
        <f>-cost!$F$65/1000</f>
        <v>-2.4</v>
      </c>
      <c r="R110" s="76"/>
      <c r="S110" s="76"/>
      <c r="T110" s="76">
        <f>-cost!$F$65/1000</f>
        <v>-2.4</v>
      </c>
      <c r="U110" s="76"/>
      <c r="V110" s="76"/>
      <c r="W110" s="76">
        <f>-cost!$F$65/1000</f>
        <v>-2.4</v>
      </c>
      <c r="X110" s="76"/>
      <c r="Y110" s="76"/>
      <c r="Z110" s="76">
        <f>-cost!$F$65/1000</f>
        <v>-2.4</v>
      </c>
      <c r="AA110" s="76"/>
      <c r="AB110" s="76"/>
      <c r="AC110" s="76">
        <f>-cost!$F$65/1000</f>
        <v>-2.4</v>
      </c>
      <c r="AD110" s="76"/>
      <c r="AE110" s="76"/>
      <c r="AF110" s="76">
        <f>-cost!$F$65/1000</f>
        <v>-2.4</v>
      </c>
      <c r="AG110" s="76"/>
      <c r="AH110" s="76"/>
      <c r="AI110" s="76">
        <f>-cost!$F$65/1000</f>
        <v>-2.4</v>
      </c>
      <c r="AJ110" s="76"/>
      <c r="AK110" s="76"/>
      <c r="AL110" s="76">
        <f>-cost!$F$65/1000</f>
        <v>-2.4</v>
      </c>
      <c r="AM110" s="76"/>
      <c r="AN110" s="76"/>
      <c r="AO110" s="76">
        <f>-cost!$F$65/1000</f>
        <v>-2.4</v>
      </c>
      <c r="AP110" s="76"/>
      <c r="AQ110" s="76"/>
      <c r="AR110"/>
      <c r="AS110"/>
      <c r="AT110"/>
      <c r="AU110"/>
      <c r="AV110"/>
      <c r="AW110"/>
      <c r="AX110"/>
      <c r="AY110"/>
      <c r="AZ110"/>
      <c r="BA110"/>
      <c r="BB110"/>
      <c r="BC110"/>
      <c r="XFC110" s="76">
        <f>SUM(E110:XFB110)</f>
        <v>-31.199999999999992</v>
      </c>
    </row>
    <row r="111" spans="1:55 16383:16383" outlineLevel="1" collapsed="1" x14ac:dyDescent="0.2">
      <c r="A111" s="171" t="s">
        <v>177</v>
      </c>
      <c r="C111" s="4">
        <f t="shared" ref="C111:AQ111" si="57">SUM(C112:C113)</f>
        <v>-7.6999999999999993</v>
      </c>
      <c r="D111" s="4">
        <f t="shared" si="57"/>
        <v>-7.6999999999999993</v>
      </c>
      <c r="E111" s="4">
        <f t="shared" si="57"/>
        <v>-7.6999999999999993</v>
      </c>
      <c r="F111" s="4">
        <f t="shared" si="57"/>
        <v>-7.6999999999999993</v>
      </c>
      <c r="G111" s="4">
        <f t="shared" si="57"/>
        <v>-7.6999999999999993</v>
      </c>
      <c r="H111" s="4">
        <f t="shared" si="57"/>
        <v>-7.6999999999999993</v>
      </c>
      <c r="I111" s="4">
        <f t="shared" si="57"/>
        <v>-7.6999999999999993</v>
      </c>
      <c r="J111" s="4">
        <f t="shared" si="57"/>
        <v>-7.6999999999999993</v>
      </c>
      <c r="K111" s="4">
        <f t="shared" si="57"/>
        <v>-7.6999999999999993</v>
      </c>
      <c r="L111" s="4">
        <f t="shared" si="57"/>
        <v>-7.6999999999999993</v>
      </c>
      <c r="M111" s="4">
        <f t="shared" si="57"/>
        <v>-7.6999999999999993</v>
      </c>
      <c r="N111" s="4">
        <f t="shared" si="57"/>
        <v>-7.6999999999999993</v>
      </c>
      <c r="O111" s="4">
        <f t="shared" si="57"/>
        <v>-7.6999999999999993</v>
      </c>
      <c r="P111" s="4">
        <f t="shared" si="57"/>
        <v>-7.6999999999999993</v>
      </c>
      <c r="Q111" s="4">
        <f t="shared" si="57"/>
        <v>-7.6999999999999993</v>
      </c>
      <c r="R111" s="4">
        <f t="shared" si="57"/>
        <v>-7.6999999999999993</v>
      </c>
      <c r="S111" s="4">
        <f t="shared" si="57"/>
        <v>-7.6999999999999993</v>
      </c>
      <c r="T111" s="4">
        <f t="shared" si="57"/>
        <v>-7.6999999999999993</v>
      </c>
      <c r="U111" s="4">
        <f t="shared" si="57"/>
        <v>-7.6999999999999993</v>
      </c>
      <c r="V111" s="4">
        <f t="shared" si="57"/>
        <v>-7.6999999999999993</v>
      </c>
      <c r="W111" s="4">
        <f t="shared" si="57"/>
        <v>-7.6999999999999993</v>
      </c>
      <c r="X111" s="4">
        <f t="shared" si="57"/>
        <v>-7.6999999999999993</v>
      </c>
      <c r="Y111" s="4">
        <f t="shared" si="57"/>
        <v>-7.6999999999999993</v>
      </c>
      <c r="Z111" s="4">
        <f t="shared" si="57"/>
        <v>-7.6999999999999993</v>
      </c>
      <c r="AA111" s="4">
        <f t="shared" si="57"/>
        <v>-7.6999999999999993</v>
      </c>
      <c r="AB111" s="4">
        <f t="shared" si="57"/>
        <v>-7.6999999999999993</v>
      </c>
      <c r="AC111" s="4">
        <f t="shared" si="57"/>
        <v>-7.6999999999999993</v>
      </c>
      <c r="AD111" s="4">
        <f t="shared" si="57"/>
        <v>-7.6999999999999993</v>
      </c>
      <c r="AE111" s="4">
        <f t="shared" si="57"/>
        <v>-7.6999999999999993</v>
      </c>
      <c r="AF111" s="4">
        <f t="shared" si="57"/>
        <v>-7.6999999999999993</v>
      </c>
      <c r="AG111" s="4">
        <f t="shared" si="57"/>
        <v>-7.6999999999999993</v>
      </c>
      <c r="AH111" s="4">
        <f t="shared" si="57"/>
        <v>-7.6999999999999993</v>
      </c>
      <c r="AI111" s="4">
        <f t="shared" si="57"/>
        <v>-7.6999999999999993</v>
      </c>
      <c r="AJ111" s="4">
        <f t="shared" si="57"/>
        <v>-7.6999999999999993</v>
      </c>
      <c r="AK111" s="4">
        <f t="shared" si="57"/>
        <v>-7.6999999999999993</v>
      </c>
      <c r="AL111" s="4">
        <f t="shared" si="57"/>
        <v>-7.6999999999999993</v>
      </c>
      <c r="AM111" s="4">
        <f t="shared" si="57"/>
        <v>-7.6999999999999993</v>
      </c>
      <c r="AN111" s="4">
        <f t="shared" si="57"/>
        <v>-7.6999999999999993</v>
      </c>
      <c r="AO111" s="4">
        <f t="shared" si="57"/>
        <v>-7.6999999999999993</v>
      </c>
      <c r="AP111" s="4">
        <f t="shared" si="57"/>
        <v>-7.6999999999999993</v>
      </c>
      <c r="AQ111" s="4">
        <f t="shared" si="57"/>
        <v>-7.6999999999999993</v>
      </c>
    </row>
    <row r="112" spans="1:55 16383:16383" s="75" customFormat="1" hidden="1" outlineLevel="2" x14ac:dyDescent="0.2">
      <c r="A112" s="172" t="s">
        <v>145</v>
      </c>
      <c r="C112" s="76">
        <f>-cost!$E$67/1000</f>
        <v>-4.5999999999999996</v>
      </c>
      <c r="D112" s="76">
        <f>-cost!$E$67/1000</f>
        <v>-4.5999999999999996</v>
      </c>
      <c r="E112" s="76">
        <f>-cost!$E$67/1000</f>
        <v>-4.5999999999999996</v>
      </c>
      <c r="F112" s="76">
        <f>-cost!$E$67/1000</f>
        <v>-4.5999999999999996</v>
      </c>
      <c r="G112" s="76">
        <f>-cost!$E$67/1000</f>
        <v>-4.5999999999999996</v>
      </c>
      <c r="H112" s="76">
        <f>-cost!$E$67/1000</f>
        <v>-4.5999999999999996</v>
      </c>
      <c r="I112" s="76">
        <f>-cost!$E$67/1000</f>
        <v>-4.5999999999999996</v>
      </c>
      <c r="J112" s="76">
        <f>-cost!$E$67/1000</f>
        <v>-4.5999999999999996</v>
      </c>
      <c r="K112" s="76">
        <f>-cost!$E$67/1000</f>
        <v>-4.5999999999999996</v>
      </c>
      <c r="L112" s="76">
        <f>-cost!$E$67/1000</f>
        <v>-4.5999999999999996</v>
      </c>
      <c r="M112" s="76">
        <f>-cost!$E$67/1000</f>
        <v>-4.5999999999999996</v>
      </c>
      <c r="N112" s="76">
        <f>-cost!$E$67/1000</f>
        <v>-4.5999999999999996</v>
      </c>
      <c r="O112" s="76">
        <f>-cost!$E$67/1000</f>
        <v>-4.5999999999999996</v>
      </c>
      <c r="P112" s="76">
        <f>-cost!$E$67/1000</f>
        <v>-4.5999999999999996</v>
      </c>
      <c r="Q112" s="76">
        <f>-cost!$E$67/1000</f>
        <v>-4.5999999999999996</v>
      </c>
      <c r="R112" s="76">
        <f>-cost!$E$67/1000</f>
        <v>-4.5999999999999996</v>
      </c>
      <c r="S112" s="76">
        <f>-cost!$E$67/1000</f>
        <v>-4.5999999999999996</v>
      </c>
      <c r="T112" s="76">
        <f>-cost!$E$67/1000</f>
        <v>-4.5999999999999996</v>
      </c>
      <c r="U112" s="76">
        <f>-cost!$E$67/1000</f>
        <v>-4.5999999999999996</v>
      </c>
      <c r="V112" s="76">
        <f>-cost!$E$67/1000</f>
        <v>-4.5999999999999996</v>
      </c>
      <c r="W112" s="76">
        <f>-cost!$E$67/1000</f>
        <v>-4.5999999999999996</v>
      </c>
      <c r="X112" s="76">
        <f>-cost!$E$67/1000</f>
        <v>-4.5999999999999996</v>
      </c>
      <c r="Y112" s="76">
        <f>-cost!$E$67/1000</f>
        <v>-4.5999999999999996</v>
      </c>
      <c r="Z112" s="76">
        <f>-cost!$E$67/1000</f>
        <v>-4.5999999999999996</v>
      </c>
      <c r="AA112" s="76">
        <f>-cost!$E$67/1000</f>
        <v>-4.5999999999999996</v>
      </c>
      <c r="AB112" s="76">
        <f>-cost!$E$67/1000</f>
        <v>-4.5999999999999996</v>
      </c>
      <c r="AC112" s="76">
        <f>-cost!$E$67/1000</f>
        <v>-4.5999999999999996</v>
      </c>
      <c r="AD112" s="76">
        <f>-cost!$E$67/1000</f>
        <v>-4.5999999999999996</v>
      </c>
      <c r="AE112" s="76">
        <f>-cost!$E$67/1000</f>
        <v>-4.5999999999999996</v>
      </c>
      <c r="AF112" s="76">
        <f>-cost!$E$67/1000</f>
        <v>-4.5999999999999996</v>
      </c>
      <c r="AG112" s="76">
        <f>-cost!$E$67/1000</f>
        <v>-4.5999999999999996</v>
      </c>
      <c r="AH112" s="76">
        <f>-cost!$E$67/1000</f>
        <v>-4.5999999999999996</v>
      </c>
      <c r="AI112" s="76">
        <f>-cost!$E$67/1000</f>
        <v>-4.5999999999999996</v>
      </c>
      <c r="AJ112" s="76">
        <f>-cost!$E$67/1000</f>
        <v>-4.5999999999999996</v>
      </c>
      <c r="AK112" s="76">
        <f>-cost!$E$67/1000</f>
        <v>-4.5999999999999996</v>
      </c>
      <c r="AL112" s="76">
        <f>-cost!$E$67/1000</f>
        <v>-4.5999999999999996</v>
      </c>
      <c r="AM112" s="76">
        <f>-cost!$E$67/1000</f>
        <v>-4.5999999999999996</v>
      </c>
      <c r="AN112" s="76">
        <f>-cost!$E$67/1000</f>
        <v>-4.5999999999999996</v>
      </c>
      <c r="AO112" s="76">
        <f>-cost!$E$67/1000</f>
        <v>-4.5999999999999996</v>
      </c>
      <c r="AP112" s="76">
        <f>-cost!$E$67/1000</f>
        <v>-4.5999999999999996</v>
      </c>
      <c r="AQ112" s="76">
        <f>-cost!$E$67/1000</f>
        <v>-4.5999999999999996</v>
      </c>
      <c r="AR112"/>
      <c r="AS112"/>
      <c r="AT112"/>
      <c r="AU112"/>
      <c r="AV112"/>
      <c r="AW112"/>
      <c r="AX112"/>
      <c r="AY112"/>
      <c r="AZ112"/>
      <c r="BA112"/>
      <c r="BB112"/>
      <c r="BC112"/>
    </row>
    <row r="113" spans="1:55" s="75" customFormat="1" hidden="1" outlineLevel="2" x14ac:dyDescent="0.2">
      <c r="A113" s="172" t="s">
        <v>148</v>
      </c>
      <c r="C113" s="76">
        <f>-cost!$E$68/1000</f>
        <v>-3.1</v>
      </c>
      <c r="D113" s="76">
        <f>-cost!$E$68/1000</f>
        <v>-3.1</v>
      </c>
      <c r="E113" s="76">
        <f>-cost!$E$68/1000</f>
        <v>-3.1</v>
      </c>
      <c r="F113" s="76">
        <f>-cost!$E$68/1000</f>
        <v>-3.1</v>
      </c>
      <c r="G113" s="76">
        <f>-cost!$E$68/1000</f>
        <v>-3.1</v>
      </c>
      <c r="H113" s="76">
        <f>-cost!$E$68/1000</f>
        <v>-3.1</v>
      </c>
      <c r="I113" s="76">
        <f>-cost!$E$68/1000</f>
        <v>-3.1</v>
      </c>
      <c r="J113" s="76">
        <f>-cost!$E$68/1000</f>
        <v>-3.1</v>
      </c>
      <c r="K113" s="76">
        <f>-cost!$E$68/1000</f>
        <v>-3.1</v>
      </c>
      <c r="L113" s="76">
        <f>-cost!$E$68/1000</f>
        <v>-3.1</v>
      </c>
      <c r="M113" s="76">
        <f>-cost!$E$68/1000</f>
        <v>-3.1</v>
      </c>
      <c r="N113" s="76">
        <f>-cost!$E$68/1000</f>
        <v>-3.1</v>
      </c>
      <c r="O113" s="76">
        <f>-cost!$E$68/1000</f>
        <v>-3.1</v>
      </c>
      <c r="P113" s="76">
        <f>-cost!$E$68/1000</f>
        <v>-3.1</v>
      </c>
      <c r="Q113" s="76">
        <f>-cost!$E$68/1000</f>
        <v>-3.1</v>
      </c>
      <c r="R113" s="76">
        <f>-cost!$E$68/1000</f>
        <v>-3.1</v>
      </c>
      <c r="S113" s="76">
        <f>-cost!$E$68/1000</f>
        <v>-3.1</v>
      </c>
      <c r="T113" s="76">
        <f>-cost!$E$68/1000</f>
        <v>-3.1</v>
      </c>
      <c r="U113" s="76">
        <f>-cost!$E$68/1000</f>
        <v>-3.1</v>
      </c>
      <c r="V113" s="76">
        <f>-cost!$E$68/1000</f>
        <v>-3.1</v>
      </c>
      <c r="W113" s="76">
        <f>-cost!$E$68/1000</f>
        <v>-3.1</v>
      </c>
      <c r="X113" s="76">
        <f>-cost!$E$68/1000</f>
        <v>-3.1</v>
      </c>
      <c r="Y113" s="76">
        <f>-cost!$E$68/1000</f>
        <v>-3.1</v>
      </c>
      <c r="Z113" s="76">
        <f>-cost!$E$68/1000</f>
        <v>-3.1</v>
      </c>
      <c r="AA113" s="76">
        <f>-cost!$E$68/1000</f>
        <v>-3.1</v>
      </c>
      <c r="AB113" s="76">
        <f>-cost!$E$68/1000</f>
        <v>-3.1</v>
      </c>
      <c r="AC113" s="76">
        <f>-cost!$E$68/1000</f>
        <v>-3.1</v>
      </c>
      <c r="AD113" s="76">
        <f>-cost!$E$68/1000</f>
        <v>-3.1</v>
      </c>
      <c r="AE113" s="76">
        <f>-cost!$E$68/1000</f>
        <v>-3.1</v>
      </c>
      <c r="AF113" s="76">
        <f>-cost!$E$68/1000</f>
        <v>-3.1</v>
      </c>
      <c r="AG113" s="76">
        <f>-cost!$E$68/1000</f>
        <v>-3.1</v>
      </c>
      <c r="AH113" s="76">
        <f>-cost!$E$68/1000</f>
        <v>-3.1</v>
      </c>
      <c r="AI113" s="76">
        <f>-cost!$E$68/1000</f>
        <v>-3.1</v>
      </c>
      <c r="AJ113" s="76">
        <f>-cost!$E$68/1000</f>
        <v>-3.1</v>
      </c>
      <c r="AK113" s="76">
        <f>-cost!$E$68/1000</f>
        <v>-3.1</v>
      </c>
      <c r="AL113" s="76">
        <f>-cost!$E$68/1000</f>
        <v>-3.1</v>
      </c>
      <c r="AM113" s="76">
        <f>-cost!$E$68/1000</f>
        <v>-3.1</v>
      </c>
      <c r="AN113" s="76">
        <f>-cost!$E$68/1000</f>
        <v>-3.1</v>
      </c>
      <c r="AO113" s="76">
        <f>-cost!$E$68/1000</f>
        <v>-3.1</v>
      </c>
      <c r="AP113" s="76">
        <f>-cost!$E$68/1000</f>
        <v>-3.1</v>
      </c>
      <c r="AQ113" s="76">
        <f>-cost!$E$68/1000</f>
        <v>-3.1</v>
      </c>
      <c r="AR113"/>
      <c r="AS113"/>
      <c r="AT113"/>
      <c r="AU113"/>
      <c r="AV113"/>
      <c r="AW113"/>
      <c r="AX113"/>
      <c r="AY113"/>
      <c r="AZ113"/>
      <c r="BA113"/>
      <c r="BB113"/>
      <c r="BC113"/>
    </row>
    <row r="114" spans="1:55" outlineLevel="1" collapsed="1" x14ac:dyDescent="0.2">
      <c r="A114" s="171" t="s">
        <v>146</v>
      </c>
      <c r="C114" s="169">
        <f>-cost!$E$69/1000</f>
        <v>-3.3</v>
      </c>
      <c r="D114" s="169">
        <f>-cost!$E$69/1000</f>
        <v>-3.3</v>
      </c>
      <c r="E114" s="169">
        <f>-cost!$E$69/1000</f>
        <v>-3.3</v>
      </c>
      <c r="F114" s="169">
        <f>-cost!$E$69/1000</f>
        <v>-3.3</v>
      </c>
      <c r="G114" s="169">
        <f>-cost!$E$69/1000</f>
        <v>-3.3</v>
      </c>
      <c r="H114" s="169">
        <f>-cost!$E$69/1000</f>
        <v>-3.3</v>
      </c>
      <c r="I114" s="169">
        <f>-cost!$E$69/1000</f>
        <v>-3.3</v>
      </c>
      <c r="J114" s="169">
        <f>-cost!$E$69/1000</f>
        <v>-3.3</v>
      </c>
      <c r="K114" s="169">
        <f>-cost!$E$69/1000</f>
        <v>-3.3</v>
      </c>
      <c r="L114" s="169">
        <f>-cost!$E$69/1000</f>
        <v>-3.3</v>
      </c>
      <c r="M114" s="169">
        <f>-cost!$E$69/1000</f>
        <v>-3.3</v>
      </c>
      <c r="N114" s="169">
        <f>-cost!$E$69/1000</f>
        <v>-3.3</v>
      </c>
      <c r="O114" s="169">
        <f>-cost!$E$69/1000</f>
        <v>-3.3</v>
      </c>
      <c r="P114" s="169">
        <f>-cost!$E$69/1000</f>
        <v>-3.3</v>
      </c>
      <c r="Q114" s="169">
        <f>-cost!$E$69/1000</f>
        <v>-3.3</v>
      </c>
      <c r="R114" s="169">
        <f>-cost!$E$69/1000</f>
        <v>-3.3</v>
      </c>
      <c r="S114" s="169">
        <f>-cost!$E$69/1000</f>
        <v>-3.3</v>
      </c>
      <c r="T114" s="169">
        <f>-cost!$E$69/1000</f>
        <v>-3.3</v>
      </c>
      <c r="U114" s="169">
        <f>-cost!$E$69/1000</f>
        <v>-3.3</v>
      </c>
      <c r="V114" s="169">
        <f>-cost!$E$69/1000</f>
        <v>-3.3</v>
      </c>
      <c r="W114" s="169">
        <f>-cost!$E$69/1000</f>
        <v>-3.3</v>
      </c>
      <c r="X114" s="169">
        <f>-cost!$E$69/1000</f>
        <v>-3.3</v>
      </c>
      <c r="Y114" s="169">
        <f>-cost!$E$69/1000</f>
        <v>-3.3</v>
      </c>
      <c r="Z114" s="169">
        <f>-cost!$E$69/1000</f>
        <v>-3.3</v>
      </c>
      <c r="AA114" s="169">
        <f>-cost!$E$69/1000</f>
        <v>-3.3</v>
      </c>
      <c r="AB114" s="169">
        <f>-cost!$E$69/1000</f>
        <v>-3.3</v>
      </c>
      <c r="AC114" s="169">
        <f>-cost!$E$69/1000</f>
        <v>-3.3</v>
      </c>
      <c r="AD114" s="169">
        <f>-cost!$E$69/1000</f>
        <v>-3.3</v>
      </c>
      <c r="AE114" s="169">
        <f>-cost!$E$69/1000</f>
        <v>-3.3</v>
      </c>
      <c r="AF114" s="169">
        <f>-cost!$E$69/1000</f>
        <v>-3.3</v>
      </c>
      <c r="AG114" s="169">
        <f>-cost!$E$69/1000</f>
        <v>-3.3</v>
      </c>
      <c r="AH114" s="169">
        <f>-cost!$E$69/1000</f>
        <v>-3.3</v>
      </c>
      <c r="AI114" s="169">
        <f>-cost!$E$69/1000</f>
        <v>-3.3</v>
      </c>
      <c r="AJ114" s="169">
        <f>-cost!$E$69/1000</f>
        <v>-3.3</v>
      </c>
      <c r="AK114" s="169">
        <f>-cost!$E$69/1000</f>
        <v>-3.3</v>
      </c>
      <c r="AL114" s="169">
        <f>-cost!$E$69/1000</f>
        <v>-3.3</v>
      </c>
      <c r="AM114" s="169">
        <f>-cost!$E$69/1000</f>
        <v>-3.3</v>
      </c>
      <c r="AN114" s="169">
        <f>-cost!$E$69/1000</f>
        <v>-3.3</v>
      </c>
      <c r="AO114" s="169">
        <f>-cost!$E$69/1000</f>
        <v>-3.3</v>
      </c>
      <c r="AP114" s="169">
        <f>-cost!$E$69/1000</f>
        <v>-3.3</v>
      </c>
      <c r="AQ114" s="169">
        <f>-cost!$E$69/1000</f>
        <v>-3.3</v>
      </c>
    </row>
    <row r="115" spans="1:55" outlineLevel="1" x14ac:dyDescent="0.2">
      <c r="A115" s="171" t="s">
        <v>147</v>
      </c>
      <c r="C115" s="169">
        <f>-cost!$E$70/1000</f>
        <v>-3.2</v>
      </c>
      <c r="D115" s="169">
        <f>-cost!$E$70/1000</f>
        <v>-3.2</v>
      </c>
      <c r="E115" s="169">
        <f>-cost!$E$70/1000</f>
        <v>-3.2</v>
      </c>
      <c r="F115" s="169">
        <f>-cost!$E$70/1000</f>
        <v>-3.2</v>
      </c>
      <c r="G115" s="169">
        <f>-cost!$E$70/1000</f>
        <v>-3.2</v>
      </c>
      <c r="H115" s="169">
        <f>-cost!$E$70/1000</f>
        <v>-3.2</v>
      </c>
      <c r="I115" s="169">
        <f>-cost!$E$70/1000</f>
        <v>-3.2</v>
      </c>
      <c r="J115" s="169">
        <f>-cost!$E$70/1000</f>
        <v>-3.2</v>
      </c>
      <c r="K115" s="169">
        <f>-cost!$E$70/1000</f>
        <v>-3.2</v>
      </c>
      <c r="L115" s="169">
        <f>-cost!$E$70/1000</f>
        <v>-3.2</v>
      </c>
      <c r="M115" s="169">
        <f>-cost!$E$70/1000</f>
        <v>-3.2</v>
      </c>
      <c r="N115" s="169">
        <f>-cost!$E$70/1000</f>
        <v>-3.2</v>
      </c>
      <c r="O115" s="169">
        <f>-cost!$E$70/1000</f>
        <v>-3.2</v>
      </c>
      <c r="P115" s="169">
        <f>-cost!$E$70/1000</f>
        <v>-3.2</v>
      </c>
      <c r="Q115" s="169">
        <f>-cost!$E$70/1000</f>
        <v>-3.2</v>
      </c>
      <c r="R115" s="169">
        <f>-cost!$E$70/1000</f>
        <v>-3.2</v>
      </c>
      <c r="S115" s="169">
        <f>-cost!$E$70/1000</f>
        <v>-3.2</v>
      </c>
      <c r="T115" s="169">
        <f>-cost!$E$70/1000</f>
        <v>-3.2</v>
      </c>
      <c r="U115" s="169">
        <f>-cost!$E$70/1000</f>
        <v>-3.2</v>
      </c>
      <c r="V115" s="169">
        <f>-cost!$E$70/1000</f>
        <v>-3.2</v>
      </c>
      <c r="W115" s="169">
        <f>-cost!$E$70/1000</f>
        <v>-3.2</v>
      </c>
      <c r="X115" s="169">
        <f>-cost!$E$70/1000</f>
        <v>-3.2</v>
      </c>
      <c r="Y115" s="169">
        <f>-cost!$E$70/1000</f>
        <v>-3.2</v>
      </c>
      <c r="Z115" s="169">
        <f>-cost!$E$70/1000</f>
        <v>-3.2</v>
      </c>
      <c r="AA115" s="169">
        <f>-cost!$E$70/1000</f>
        <v>-3.2</v>
      </c>
      <c r="AB115" s="169">
        <f>-cost!$E$70/1000</f>
        <v>-3.2</v>
      </c>
      <c r="AC115" s="169">
        <f>-cost!$E$70/1000</f>
        <v>-3.2</v>
      </c>
      <c r="AD115" s="169">
        <f>-cost!$E$70/1000</f>
        <v>-3.2</v>
      </c>
      <c r="AE115" s="169">
        <f>-cost!$E$70/1000</f>
        <v>-3.2</v>
      </c>
      <c r="AF115" s="169">
        <f>-cost!$E$70/1000</f>
        <v>-3.2</v>
      </c>
      <c r="AG115" s="169">
        <f>-cost!$E$70/1000</f>
        <v>-3.2</v>
      </c>
      <c r="AH115" s="169">
        <f>-cost!$E$70/1000</f>
        <v>-3.2</v>
      </c>
      <c r="AI115" s="169">
        <f>-cost!$E$70/1000</f>
        <v>-3.2</v>
      </c>
      <c r="AJ115" s="169">
        <f>-cost!$E$70/1000</f>
        <v>-3.2</v>
      </c>
      <c r="AK115" s="169">
        <f>-cost!$E$70/1000</f>
        <v>-3.2</v>
      </c>
      <c r="AL115" s="169">
        <f>-cost!$E$70/1000</f>
        <v>-3.2</v>
      </c>
      <c r="AM115" s="169">
        <f>-cost!$E$70/1000</f>
        <v>-3.2</v>
      </c>
      <c r="AN115" s="169">
        <f>-cost!$E$70/1000</f>
        <v>-3.2</v>
      </c>
      <c r="AO115" s="169">
        <f>-cost!$E$70/1000</f>
        <v>-3.2</v>
      </c>
      <c r="AP115" s="169">
        <f>-cost!$E$70/1000</f>
        <v>-3.2</v>
      </c>
      <c r="AQ115" s="169">
        <f>-cost!$E$70/1000</f>
        <v>-3.2</v>
      </c>
    </row>
    <row r="116" spans="1:55" outlineLevel="1" x14ac:dyDescent="0.2">
      <c r="A116" s="171" t="s">
        <v>204</v>
      </c>
      <c r="C116" s="169">
        <f>-cost!$E$71/1000</f>
        <v>-1.1000000000000001</v>
      </c>
      <c r="D116" s="169">
        <f>-cost!$E$71/1000</f>
        <v>-1.1000000000000001</v>
      </c>
      <c r="E116" s="169">
        <f>-cost!$E$71/1000</f>
        <v>-1.1000000000000001</v>
      </c>
      <c r="F116" s="169">
        <f>-cost!$E$71/1000</f>
        <v>-1.1000000000000001</v>
      </c>
      <c r="G116" s="169">
        <f>-cost!$E$71/1000</f>
        <v>-1.1000000000000001</v>
      </c>
      <c r="H116" s="169">
        <f>-cost!$E$71/1000</f>
        <v>-1.1000000000000001</v>
      </c>
      <c r="I116" s="169">
        <f>-cost!$E$71/1000</f>
        <v>-1.1000000000000001</v>
      </c>
      <c r="J116" s="169">
        <f>-cost!$E$71/1000</f>
        <v>-1.1000000000000001</v>
      </c>
      <c r="K116" s="169">
        <f>-cost!$E$71/1000</f>
        <v>-1.1000000000000001</v>
      </c>
      <c r="L116" s="169">
        <f>-cost!$E$71/1000</f>
        <v>-1.1000000000000001</v>
      </c>
      <c r="M116" s="169">
        <f>-cost!$E$71/1000</f>
        <v>-1.1000000000000001</v>
      </c>
      <c r="N116" s="169">
        <f>-cost!$E$71/1000</f>
        <v>-1.1000000000000001</v>
      </c>
      <c r="O116" s="169">
        <f>-cost!$E$71/1000</f>
        <v>-1.1000000000000001</v>
      </c>
      <c r="P116" s="169">
        <f>-cost!$E$71/1000</f>
        <v>-1.1000000000000001</v>
      </c>
      <c r="Q116" s="169">
        <f>-cost!$E$71/1000</f>
        <v>-1.1000000000000001</v>
      </c>
      <c r="R116" s="169">
        <f>-cost!$E$71/1000</f>
        <v>-1.1000000000000001</v>
      </c>
      <c r="S116" s="169">
        <f>-cost!$E$71/1000</f>
        <v>-1.1000000000000001</v>
      </c>
      <c r="T116" s="169">
        <f>-cost!$E$71/1000</f>
        <v>-1.1000000000000001</v>
      </c>
      <c r="U116" s="169">
        <f>-cost!$E$71/1000</f>
        <v>-1.1000000000000001</v>
      </c>
      <c r="V116" s="169">
        <f>-cost!$E$71/1000</f>
        <v>-1.1000000000000001</v>
      </c>
      <c r="W116" s="169">
        <f>-cost!$E$71/1000</f>
        <v>-1.1000000000000001</v>
      </c>
      <c r="X116" s="169">
        <f>-cost!$E$71/1000</f>
        <v>-1.1000000000000001</v>
      </c>
      <c r="Y116" s="169">
        <f>-cost!$E$71/1000</f>
        <v>-1.1000000000000001</v>
      </c>
      <c r="Z116" s="169">
        <f>-cost!$E$71/1000</f>
        <v>-1.1000000000000001</v>
      </c>
      <c r="AA116" s="169">
        <f>-cost!$E$71/1000</f>
        <v>-1.1000000000000001</v>
      </c>
      <c r="AB116" s="169">
        <f>-cost!$E$71/1000</f>
        <v>-1.1000000000000001</v>
      </c>
      <c r="AC116" s="169">
        <f>-cost!$E$71/1000</f>
        <v>-1.1000000000000001</v>
      </c>
      <c r="AD116" s="169">
        <f>-cost!$E$71/1000</f>
        <v>-1.1000000000000001</v>
      </c>
      <c r="AE116" s="169">
        <f>-cost!$E$71/1000</f>
        <v>-1.1000000000000001</v>
      </c>
      <c r="AF116" s="169">
        <f>-cost!$E$71/1000</f>
        <v>-1.1000000000000001</v>
      </c>
      <c r="AG116" s="169">
        <f>-cost!$E$71/1000</f>
        <v>-1.1000000000000001</v>
      </c>
      <c r="AH116" s="169">
        <f>-cost!$E$71/1000</f>
        <v>-1.1000000000000001</v>
      </c>
      <c r="AI116" s="169">
        <f>-cost!$E$71/1000</f>
        <v>-1.1000000000000001</v>
      </c>
      <c r="AJ116" s="169">
        <f>-cost!$E$71/1000</f>
        <v>-1.1000000000000001</v>
      </c>
      <c r="AK116" s="169">
        <f>-cost!$E$71/1000</f>
        <v>-1.1000000000000001</v>
      </c>
      <c r="AL116" s="169">
        <f>-cost!$E$71/1000</f>
        <v>-1.1000000000000001</v>
      </c>
      <c r="AM116" s="169">
        <f>-cost!$E$71/1000</f>
        <v>-1.1000000000000001</v>
      </c>
      <c r="AN116" s="169">
        <f>-cost!$E$71/1000</f>
        <v>-1.1000000000000001</v>
      </c>
      <c r="AO116" s="169">
        <f>-cost!$E$71/1000</f>
        <v>-1.1000000000000001</v>
      </c>
      <c r="AP116" s="169">
        <f>-cost!$E$71/1000</f>
        <v>-1.1000000000000001</v>
      </c>
      <c r="AQ116" s="169">
        <f>-cost!$E$71/1000</f>
        <v>-1.1000000000000001</v>
      </c>
    </row>
    <row r="117" spans="1:55" x14ac:dyDescent="0.2">
      <c r="A117" s="57" t="s">
        <v>179</v>
      </c>
      <c r="B117" s="57"/>
      <c r="C117" s="72">
        <f>SUM(C118,C121,C124,C127:C129)</f>
        <v>-252.7774</v>
      </c>
      <c r="D117" s="72">
        <f t="shared" ref="D117:AQ117" si="58">SUM(D118,D121,D124,D127:D129)</f>
        <v>-252.7774</v>
      </c>
      <c r="E117" s="72">
        <f t="shared" si="58"/>
        <v>-252.7774</v>
      </c>
      <c r="F117" s="72">
        <f t="shared" si="58"/>
        <v>-252.7774</v>
      </c>
      <c r="G117" s="72">
        <f t="shared" si="58"/>
        <v>-252.7774</v>
      </c>
      <c r="H117" s="72">
        <f t="shared" si="58"/>
        <v>-252.7774</v>
      </c>
      <c r="I117" s="72">
        <f t="shared" si="58"/>
        <v>-252.7774</v>
      </c>
      <c r="J117" s="72">
        <f t="shared" si="58"/>
        <v>-252.7774</v>
      </c>
      <c r="K117" s="72">
        <f t="shared" si="58"/>
        <v>-252.7774</v>
      </c>
      <c r="L117" s="72">
        <f t="shared" si="58"/>
        <v>-252.7774</v>
      </c>
      <c r="M117" s="72">
        <f t="shared" si="58"/>
        <v>-252.7774</v>
      </c>
      <c r="N117" s="72">
        <f t="shared" si="58"/>
        <v>-252.7774</v>
      </c>
      <c r="O117" s="72">
        <f t="shared" si="58"/>
        <v>-252.7774</v>
      </c>
      <c r="P117" s="72">
        <f t="shared" si="58"/>
        <v>-252.7774</v>
      </c>
      <c r="Q117" s="72">
        <f t="shared" si="58"/>
        <v>-252.7774</v>
      </c>
      <c r="R117" s="72">
        <f t="shared" si="58"/>
        <v>-252.7774</v>
      </c>
      <c r="S117" s="72">
        <f t="shared" si="58"/>
        <v>-252.7774</v>
      </c>
      <c r="T117" s="72">
        <f t="shared" si="58"/>
        <v>-252.7774</v>
      </c>
      <c r="U117" s="72">
        <f t="shared" si="58"/>
        <v>-252.7774</v>
      </c>
      <c r="V117" s="72">
        <f t="shared" si="58"/>
        <v>-252.7774</v>
      </c>
      <c r="W117" s="72">
        <f t="shared" si="58"/>
        <v>-252.7774</v>
      </c>
      <c r="X117" s="72">
        <f t="shared" si="58"/>
        <v>-252.7774</v>
      </c>
      <c r="Y117" s="72">
        <f t="shared" si="58"/>
        <v>-252.7774</v>
      </c>
      <c r="Z117" s="72">
        <f t="shared" si="58"/>
        <v>-252.7774</v>
      </c>
      <c r="AA117" s="72">
        <f t="shared" si="58"/>
        <v>-252.7774</v>
      </c>
      <c r="AB117" s="72">
        <f t="shared" si="58"/>
        <v>-252.7774</v>
      </c>
      <c r="AC117" s="72">
        <f t="shared" si="58"/>
        <v>-252.7774</v>
      </c>
      <c r="AD117" s="72">
        <f t="shared" si="58"/>
        <v>-252.7774</v>
      </c>
      <c r="AE117" s="72">
        <f t="shared" si="58"/>
        <v>-252.7774</v>
      </c>
      <c r="AF117" s="72">
        <f t="shared" si="58"/>
        <v>-252.7774</v>
      </c>
      <c r="AG117" s="72">
        <f t="shared" si="58"/>
        <v>-252.7774</v>
      </c>
      <c r="AH117" s="72">
        <f t="shared" si="58"/>
        <v>-252.7774</v>
      </c>
      <c r="AI117" s="72">
        <f t="shared" si="58"/>
        <v>-252.7774</v>
      </c>
      <c r="AJ117" s="72">
        <f t="shared" si="58"/>
        <v>-252.7774</v>
      </c>
      <c r="AK117" s="72">
        <f t="shared" si="58"/>
        <v>-252.7774</v>
      </c>
      <c r="AL117" s="72">
        <f t="shared" si="58"/>
        <v>-252.7774</v>
      </c>
      <c r="AM117" s="72">
        <f t="shared" si="58"/>
        <v>-252.7774</v>
      </c>
      <c r="AN117" s="72">
        <f t="shared" si="58"/>
        <v>-252.7774</v>
      </c>
      <c r="AO117" s="72">
        <f t="shared" si="58"/>
        <v>-252.7774</v>
      </c>
      <c r="AP117" s="72">
        <f t="shared" si="58"/>
        <v>-252.7774</v>
      </c>
      <c r="AQ117" s="72">
        <f t="shared" si="58"/>
        <v>-252.7774</v>
      </c>
    </row>
    <row r="118" spans="1:55" outlineLevel="1" x14ac:dyDescent="0.2">
      <c r="A118" s="171" t="s">
        <v>203</v>
      </c>
      <c r="C118" s="4">
        <f>SUM(C119:C120)</f>
        <v>-204.7774</v>
      </c>
      <c r="D118" s="4">
        <f t="shared" ref="D118:AQ118" si="59">SUM(D119:D120)</f>
        <v>-204.7774</v>
      </c>
      <c r="E118" s="4">
        <f t="shared" si="59"/>
        <v>-204.7774</v>
      </c>
      <c r="F118" s="4">
        <f t="shared" si="59"/>
        <v>-204.7774</v>
      </c>
      <c r="G118" s="4">
        <f t="shared" si="59"/>
        <v>-204.7774</v>
      </c>
      <c r="H118" s="4">
        <f t="shared" si="59"/>
        <v>-204.7774</v>
      </c>
      <c r="I118" s="4">
        <f t="shared" si="59"/>
        <v>-204.7774</v>
      </c>
      <c r="J118" s="4">
        <f t="shared" si="59"/>
        <v>-204.7774</v>
      </c>
      <c r="K118" s="4">
        <f t="shared" si="59"/>
        <v>-204.7774</v>
      </c>
      <c r="L118" s="4">
        <f t="shared" si="59"/>
        <v>-204.7774</v>
      </c>
      <c r="M118" s="4">
        <f t="shared" si="59"/>
        <v>-204.7774</v>
      </c>
      <c r="N118" s="4">
        <f t="shared" si="59"/>
        <v>-204.7774</v>
      </c>
      <c r="O118" s="4">
        <f t="shared" si="59"/>
        <v>-204.7774</v>
      </c>
      <c r="P118" s="4">
        <f t="shared" si="59"/>
        <v>-204.7774</v>
      </c>
      <c r="Q118" s="4">
        <f t="shared" si="59"/>
        <v>-204.7774</v>
      </c>
      <c r="R118" s="4">
        <f t="shared" si="59"/>
        <v>-204.7774</v>
      </c>
      <c r="S118" s="4">
        <f t="shared" si="59"/>
        <v>-204.7774</v>
      </c>
      <c r="T118" s="4">
        <f t="shared" si="59"/>
        <v>-204.7774</v>
      </c>
      <c r="U118" s="4">
        <f t="shared" si="59"/>
        <v>-204.7774</v>
      </c>
      <c r="V118" s="4">
        <f t="shared" si="59"/>
        <v>-204.7774</v>
      </c>
      <c r="W118" s="4">
        <f t="shared" si="59"/>
        <v>-204.7774</v>
      </c>
      <c r="X118" s="4">
        <f t="shared" si="59"/>
        <v>-204.7774</v>
      </c>
      <c r="Y118" s="4">
        <f t="shared" si="59"/>
        <v>-204.7774</v>
      </c>
      <c r="Z118" s="4">
        <f t="shared" si="59"/>
        <v>-204.7774</v>
      </c>
      <c r="AA118" s="4">
        <f t="shared" si="59"/>
        <v>-204.7774</v>
      </c>
      <c r="AB118" s="4">
        <f t="shared" si="59"/>
        <v>-204.7774</v>
      </c>
      <c r="AC118" s="4">
        <f t="shared" si="59"/>
        <v>-204.7774</v>
      </c>
      <c r="AD118" s="4">
        <f t="shared" si="59"/>
        <v>-204.7774</v>
      </c>
      <c r="AE118" s="4">
        <f t="shared" si="59"/>
        <v>-204.7774</v>
      </c>
      <c r="AF118" s="4">
        <f t="shared" si="59"/>
        <v>-204.7774</v>
      </c>
      <c r="AG118" s="4">
        <f t="shared" si="59"/>
        <v>-204.7774</v>
      </c>
      <c r="AH118" s="4">
        <f t="shared" si="59"/>
        <v>-204.7774</v>
      </c>
      <c r="AI118" s="4">
        <f t="shared" si="59"/>
        <v>-204.7774</v>
      </c>
      <c r="AJ118" s="4">
        <f t="shared" si="59"/>
        <v>-204.7774</v>
      </c>
      <c r="AK118" s="4">
        <f t="shared" si="59"/>
        <v>-204.7774</v>
      </c>
      <c r="AL118" s="4">
        <f t="shared" si="59"/>
        <v>-204.7774</v>
      </c>
      <c r="AM118" s="4">
        <f t="shared" si="59"/>
        <v>-204.7774</v>
      </c>
      <c r="AN118" s="4">
        <f t="shared" si="59"/>
        <v>-204.7774</v>
      </c>
      <c r="AO118" s="4">
        <f t="shared" si="59"/>
        <v>-204.7774</v>
      </c>
      <c r="AP118" s="4">
        <f t="shared" si="59"/>
        <v>-204.7774</v>
      </c>
      <c r="AQ118" s="4">
        <f t="shared" si="59"/>
        <v>-204.7774</v>
      </c>
    </row>
    <row r="119" spans="1:55" s="75" customFormat="1" hidden="1" outlineLevel="2" x14ac:dyDescent="0.2">
      <c r="A119" s="172" t="s">
        <v>142</v>
      </c>
      <c r="C119" s="76">
        <f>-cost!$E74/1000</f>
        <v>-157.4</v>
      </c>
      <c r="D119" s="76">
        <f>-cost!$E74/1000</f>
        <v>-157.4</v>
      </c>
      <c r="E119" s="76">
        <f>-cost!$E74/1000</f>
        <v>-157.4</v>
      </c>
      <c r="F119" s="76">
        <f>-cost!$E74/1000</f>
        <v>-157.4</v>
      </c>
      <c r="G119" s="76">
        <f>-cost!$E74/1000</f>
        <v>-157.4</v>
      </c>
      <c r="H119" s="76">
        <f>-cost!$E74/1000</f>
        <v>-157.4</v>
      </c>
      <c r="I119" s="76">
        <f>-cost!$E74/1000</f>
        <v>-157.4</v>
      </c>
      <c r="J119" s="76">
        <f>-cost!$E74/1000</f>
        <v>-157.4</v>
      </c>
      <c r="K119" s="76">
        <f>-cost!$E74/1000</f>
        <v>-157.4</v>
      </c>
      <c r="L119" s="76">
        <f>-cost!$E74/1000</f>
        <v>-157.4</v>
      </c>
      <c r="M119" s="76">
        <f>-cost!$E74/1000</f>
        <v>-157.4</v>
      </c>
      <c r="N119" s="76">
        <f>-cost!$E74/1000</f>
        <v>-157.4</v>
      </c>
      <c r="O119" s="76">
        <f>-cost!$E74/1000</f>
        <v>-157.4</v>
      </c>
      <c r="P119" s="76">
        <f>-cost!$E74/1000</f>
        <v>-157.4</v>
      </c>
      <c r="Q119" s="76">
        <f>-cost!$E74/1000</f>
        <v>-157.4</v>
      </c>
      <c r="R119" s="76">
        <f>-cost!$E74/1000</f>
        <v>-157.4</v>
      </c>
      <c r="S119" s="76">
        <f>-cost!$E74/1000</f>
        <v>-157.4</v>
      </c>
      <c r="T119" s="76">
        <f>-cost!$E74/1000</f>
        <v>-157.4</v>
      </c>
      <c r="U119" s="76">
        <f>-cost!$E74/1000</f>
        <v>-157.4</v>
      </c>
      <c r="V119" s="76">
        <f>-cost!$E74/1000</f>
        <v>-157.4</v>
      </c>
      <c r="W119" s="76">
        <f>-cost!$E74/1000</f>
        <v>-157.4</v>
      </c>
      <c r="X119" s="76">
        <f>-cost!$E74/1000</f>
        <v>-157.4</v>
      </c>
      <c r="Y119" s="76">
        <f>-cost!$E74/1000</f>
        <v>-157.4</v>
      </c>
      <c r="Z119" s="76">
        <f>-cost!$E74/1000</f>
        <v>-157.4</v>
      </c>
      <c r="AA119" s="76">
        <f>-cost!$E74/1000</f>
        <v>-157.4</v>
      </c>
      <c r="AB119" s="76">
        <f>-cost!$E74/1000</f>
        <v>-157.4</v>
      </c>
      <c r="AC119" s="76">
        <f>-cost!$E74/1000</f>
        <v>-157.4</v>
      </c>
      <c r="AD119" s="76">
        <f>-cost!$E74/1000</f>
        <v>-157.4</v>
      </c>
      <c r="AE119" s="76">
        <f>-cost!$E74/1000</f>
        <v>-157.4</v>
      </c>
      <c r="AF119" s="76">
        <f>-cost!$E74/1000</f>
        <v>-157.4</v>
      </c>
      <c r="AG119" s="76">
        <f>-cost!$E74/1000</f>
        <v>-157.4</v>
      </c>
      <c r="AH119" s="76">
        <f>-cost!$E74/1000</f>
        <v>-157.4</v>
      </c>
      <c r="AI119" s="76">
        <f>-cost!$E74/1000</f>
        <v>-157.4</v>
      </c>
      <c r="AJ119" s="76">
        <f>-cost!$E74/1000</f>
        <v>-157.4</v>
      </c>
      <c r="AK119" s="76">
        <f>-cost!$E74/1000</f>
        <v>-157.4</v>
      </c>
      <c r="AL119" s="76">
        <f>-cost!$E74/1000</f>
        <v>-157.4</v>
      </c>
      <c r="AM119" s="76">
        <f>-cost!$E74/1000</f>
        <v>-157.4</v>
      </c>
      <c r="AN119" s="76">
        <f>-cost!$E74/1000</f>
        <v>-157.4</v>
      </c>
      <c r="AO119" s="76">
        <f>-cost!$E74/1000</f>
        <v>-157.4</v>
      </c>
      <c r="AP119" s="76">
        <f>-cost!$E74/1000</f>
        <v>-157.4</v>
      </c>
      <c r="AQ119" s="76">
        <f>-cost!$E74/1000</f>
        <v>-157.4</v>
      </c>
      <c r="AR119"/>
      <c r="AS119"/>
      <c r="AT119"/>
      <c r="AU119"/>
      <c r="AV119"/>
      <c r="AW119"/>
      <c r="AX119"/>
      <c r="AY119"/>
      <c r="AZ119"/>
      <c r="BA119"/>
      <c r="BB119"/>
      <c r="BC119"/>
    </row>
    <row r="120" spans="1:55" s="75" customFormat="1" hidden="1" outlineLevel="2" x14ac:dyDescent="0.2">
      <c r="A120" s="172" t="s">
        <v>143</v>
      </c>
      <c r="C120" s="76">
        <f>-cost!$E75/1000</f>
        <v>-47.377400000000002</v>
      </c>
      <c r="D120" s="76">
        <f>-cost!$E75/1000</f>
        <v>-47.377400000000002</v>
      </c>
      <c r="E120" s="76">
        <f>-cost!$E75/1000</f>
        <v>-47.377400000000002</v>
      </c>
      <c r="F120" s="76">
        <f>-cost!$E75/1000</f>
        <v>-47.377400000000002</v>
      </c>
      <c r="G120" s="76">
        <f>-cost!$E75/1000</f>
        <v>-47.377400000000002</v>
      </c>
      <c r="H120" s="76">
        <f>-cost!$E75/1000</f>
        <v>-47.377400000000002</v>
      </c>
      <c r="I120" s="76">
        <f>-cost!$E75/1000</f>
        <v>-47.377400000000002</v>
      </c>
      <c r="J120" s="76">
        <f>-cost!$E75/1000</f>
        <v>-47.377400000000002</v>
      </c>
      <c r="K120" s="76">
        <f>-cost!$E75/1000</f>
        <v>-47.377400000000002</v>
      </c>
      <c r="L120" s="76">
        <f>-cost!$E75/1000</f>
        <v>-47.377400000000002</v>
      </c>
      <c r="M120" s="76">
        <f>-cost!$E75/1000</f>
        <v>-47.377400000000002</v>
      </c>
      <c r="N120" s="76">
        <f>-cost!$E75/1000</f>
        <v>-47.377400000000002</v>
      </c>
      <c r="O120" s="76">
        <f>-cost!$E75/1000</f>
        <v>-47.377400000000002</v>
      </c>
      <c r="P120" s="76">
        <f>-cost!$E75/1000</f>
        <v>-47.377400000000002</v>
      </c>
      <c r="Q120" s="76">
        <f>-cost!$E75/1000</f>
        <v>-47.377400000000002</v>
      </c>
      <c r="R120" s="76">
        <f>-cost!$E75/1000</f>
        <v>-47.377400000000002</v>
      </c>
      <c r="S120" s="76">
        <f>-cost!$E75/1000</f>
        <v>-47.377400000000002</v>
      </c>
      <c r="T120" s="76">
        <f>-cost!$E75/1000</f>
        <v>-47.377400000000002</v>
      </c>
      <c r="U120" s="76">
        <f>-cost!$E75/1000</f>
        <v>-47.377400000000002</v>
      </c>
      <c r="V120" s="76">
        <f>-cost!$E75/1000</f>
        <v>-47.377400000000002</v>
      </c>
      <c r="W120" s="76">
        <f>-cost!$E75/1000</f>
        <v>-47.377400000000002</v>
      </c>
      <c r="X120" s="76">
        <f>-cost!$E75/1000</f>
        <v>-47.377400000000002</v>
      </c>
      <c r="Y120" s="76">
        <f>-cost!$E75/1000</f>
        <v>-47.377400000000002</v>
      </c>
      <c r="Z120" s="76">
        <f>-cost!$E75/1000</f>
        <v>-47.377400000000002</v>
      </c>
      <c r="AA120" s="76">
        <f>-cost!$E75/1000</f>
        <v>-47.377400000000002</v>
      </c>
      <c r="AB120" s="76">
        <f>-cost!$E75/1000</f>
        <v>-47.377400000000002</v>
      </c>
      <c r="AC120" s="76">
        <f>-cost!$E75/1000</f>
        <v>-47.377400000000002</v>
      </c>
      <c r="AD120" s="76">
        <f>-cost!$E75/1000</f>
        <v>-47.377400000000002</v>
      </c>
      <c r="AE120" s="76">
        <f>-cost!$E75/1000</f>
        <v>-47.377400000000002</v>
      </c>
      <c r="AF120" s="76">
        <f>-cost!$E75/1000</f>
        <v>-47.377400000000002</v>
      </c>
      <c r="AG120" s="76">
        <f>-cost!$E75/1000</f>
        <v>-47.377400000000002</v>
      </c>
      <c r="AH120" s="76">
        <f>-cost!$E75/1000</f>
        <v>-47.377400000000002</v>
      </c>
      <c r="AI120" s="76">
        <f>-cost!$E75/1000</f>
        <v>-47.377400000000002</v>
      </c>
      <c r="AJ120" s="76">
        <f>-cost!$E75/1000</f>
        <v>-47.377400000000002</v>
      </c>
      <c r="AK120" s="76">
        <f>-cost!$E75/1000</f>
        <v>-47.377400000000002</v>
      </c>
      <c r="AL120" s="76">
        <f>-cost!$E75/1000</f>
        <v>-47.377400000000002</v>
      </c>
      <c r="AM120" s="76">
        <f>-cost!$E75/1000</f>
        <v>-47.377400000000002</v>
      </c>
      <c r="AN120" s="76">
        <f>-cost!$E75/1000</f>
        <v>-47.377400000000002</v>
      </c>
      <c r="AO120" s="76">
        <f>-cost!$E75/1000</f>
        <v>-47.377400000000002</v>
      </c>
      <c r="AP120" s="76">
        <f>-cost!$E75/1000</f>
        <v>-47.377400000000002</v>
      </c>
      <c r="AQ120" s="76">
        <f>-cost!$E75/1000</f>
        <v>-47.377400000000002</v>
      </c>
      <c r="AR120"/>
      <c r="AS120"/>
      <c r="AT120"/>
      <c r="AU120"/>
      <c r="AV120"/>
      <c r="AW120"/>
      <c r="AX120"/>
      <c r="AY120"/>
      <c r="AZ120"/>
      <c r="BA120"/>
      <c r="BB120"/>
      <c r="BC120"/>
    </row>
    <row r="121" spans="1:55" outlineLevel="1" collapsed="1" x14ac:dyDescent="0.2">
      <c r="A121" s="171" t="s">
        <v>180</v>
      </c>
      <c r="C121" s="76">
        <f>SUM(C122:C123)</f>
        <v>-21.3</v>
      </c>
      <c r="D121" s="76">
        <f t="shared" ref="D121:AQ121" si="60">SUM(D122:D123)</f>
        <v>-21.3</v>
      </c>
      <c r="E121" s="76">
        <f t="shared" si="60"/>
        <v>-21.3</v>
      </c>
      <c r="F121" s="76">
        <f t="shared" si="60"/>
        <v>-21.3</v>
      </c>
      <c r="G121" s="76">
        <f t="shared" si="60"/>
        <v>-21.3</v>
      </c>
      <c r="H121" s="76">
        <f t="shared" si="60"/>
        <v>-21.3</v>
      </c>
      <c r="I121" s="76">
        <f t="shared" si="60"/>
        <v>-21.3</v>
      </c>
      <c r="J121" s="76">
        <f t="shared" si="60"/>
        <v>-21.3</v>
      </c>
      <c r="K121" s="76">
        <f t="shared" si="60"/>
        <v>-21.3</v>
      </c>
      <c r="L121" s="76">
        <f t="shared" si="60"/>
        <v>-21.3</v>
      </c>
      <c r="M121" s="76">
        <f t="shared" si="60"/>
        <v>-21.3</v>
      </c>
      <c r="N121" s="76">
        <f t="shared" si="60"/>
        <v>-21.3</v>
      </c>
      <c r="O121" s="76">
        <f t="shared" si="60"/>
        <v>-21.3</v>
      </c>
      <c r="P121" s="76">
        <f t="shared" si="60"/>
        <v>-21.3</v>
      </c>
      <c r="Q121" s="76">
        <f t="shared" si="60"/>
        <v>-21.3</v>
      </c>
      <c r="R121" s="76">
        <f t="shared" si="60"/>
        <v>-21.3</v>
      </c>
      <c r="S121" s="76">
        <f t="shared" si="60"/>
        <v>-21.3</v>
      </c>
      <c r="T121" s="76">
        <f t="shared" si="60"/>
        <v>-21.3</v>
      </c>
      <c r="U121" s="76">
        <f t="shared" si="60"/>
        <v>-21.3</v>
      </c>
      <c r="V121" s="76">
        <f t="shared" si="60"/>
        <v>-21.3</v>
      </c>
      <c r="W121" s="76">
        <f t="shared" si="60"/>
        <v>-21.3</v>
      </c>
      <c r="X121" s="76">
        <f t="shared" si="60"/>
        <v>-21.3</v>
      </c>
      <c r="Y121" s="76">
        <f t="shared" si="60"/>
        <v>-21.3</v>
      </c>
      <c r="Z121" s="76">
        <f t="shared" si="60"/>
        <v>-21.3</v>
      </c>
      <c r="AA121" s="76">
        <f t="shared" si="60"/>
        <v>-21.3</v>
      </c>
      <c r="AB121" s="76">
        <f t="shared" si="60"/>
        <v>-21.3</v>
      </c>
      <c r="AC121" s="76">
        <f t="shared" si="60"/>
        <v>-21.3</v>
      </c>
      <c r="AD121" s="76">
        <f t="shared" si="60"/>
        <v>-21.3</v>
      </c>
      <c r="AE121" s="76">
        <f t="shared" si="60"/>
        <v>-21.3</v>
      </c>
      <c r="AF121" s="76">
        <f t="shared" si="60"/>
        <v>-21.3</v>
      </c>
      <c r="AG121" s="76">
        <f t="shared" si="60"/>
        <v>-21.3</v>
      </c>
      <c r="AH121" s="76">
        <f t="shared" si="60"/>
        <v>-21.3</v>
      </c>
      <c r="AI121" s="76">
        <f t="shared" si="60"/>
        <v>-21.3</v>
      </c>
      <c r="AJ121" s="76">
        <f t="shared" si="60"/>
        <v>-21.3</v>
      </c>
      <c r="AK121" s="76">
        <f t="shared" si="60"/>
        <v>-21.3</v>
      </c>
      <c r="AL121" s="76">
        <f t="shared" si="60"/>
        <v>-21.3</v>
      </c>
      <c r="AM121" s="76">
        <f t="shared" si="60"/>
        <v>-21.3</v>
      </c>
      <c r="AN121" s="76">
        <f t="shared" si="60"/>
        <v>-21.3</v>
      </c>
      <c r="AO121" s="76">
        <f t="shared" si="60"/>
        <v>-21.3</v>
      </c>
      <c r="AP121" s="76">
        <f t="shared" si="60"/>
        <v>-21.3</v>
      </c>
      <c r="AQ121" s="76">
        <f t="shared" si="60"/>
        <v>-21.3</v>
      </c>
    </row>
    <row r="122" spans="1:55" s="75" customFormat="1" hidden="1" outlineLevel="2" x14ac:dyDescent="0.2">
      <c r="A122" s="172" t="s">
        <v>80</v>
      </c>
      <c r="C122" s="76">
        <f>-cost!$E77/1000</f>
        <v>-13.4</v>
      </c>
      <c r="D122" s="76">
        <f>-cost!$E77/1000</f>
        <v>-13.4</v>
      </c>
      <c r="E122" s="76">
        <f>-cost!$E77/1000</f>
        <v>-13.4</v>
      </c>
      <c r="F122" s="76">
        <f>-cost!$E77/1000</f>
        <v>-13.4</v>
      </c>
      <c r="G122" s="76">
        <f>-cost!$E77/1000</f>
        <v>-13.4</v>
      </c>
      <c r="H122" s="76">
        <f>-cost!$E77/1000</f>
        <v>-13.4</v>
      </c>
      <c r="I122" s="76">
        <f>-cost!$E77/1000</f>
        <v>-13.4</v>
      </c>
      <c r="J122" s="76">
        <f>-cost!$E77/1000</f>
        <v>-13.4</v>
      </c>
      <c r="K122" s="76">
        <f>-cost!$E77/1000</f>
        <v>-13.4</v>
      </c>
      <c r="L122" s="76">
        <f>-cost!$E77/1000</f>
        <v>-13.4</v>
      </c>
      <c r="M122" s="76">
        <f>-cost!$E77/1000</f>
        <v>-13.4</v>
      </c>
      <c r="N122" s="76">
        <f>-cost!$E77/1000</f>
        <v>-13.4</v>
      </c>
      <c r="O122" s="76">
        <f>-cost!$E77/1000</f>
        <v>-13.4</v>
      </c>
      <c r="P122" s="76">
        <f>-cost!$E77/1000</f>
        <v>-13.4</v>
      </c>
      <c r="Q122" s="76">
        <f>-cost!$E77/1000</f>
        <v>-13.4</v>
      </c>
      <c r="R122" s="76">
        <f>-cost!$E77/1000</f>
        <v>-13.4</v>
      </c>
      <c r="S122" s="76">
        <f>-cost!$E77/1000</f>
        <v>-13.4</v>
      </c>
      <c r="T122" s="76">
        <f>-cost!$E77/1000</f>
        <v>-13.4</v>
      </c>
      <c r="U122" s="76">
        <f>-cost!$E77/1000</f>
        <v>-13.4</v>
      </c>
      <c r="V122" s="76">
        <f>-cost!$E77/1000</f>
        <v>-13.4</v>
      </c>
      <c r="W122" s="76">
        <f>-cost!$E77/1000</f>
        <v>-13.4</v>
      </c>
      <c r="X122" s="76">
        <f>-cost!$E77/1000</f>
        <v>-13.4</v>
      </c>
      <c r="Y122" s="76">
        <f>-cost!$E77/1000</f>
        <v>-13.4</v>
      </c>
      <c r="Z122" s="76">
        <f>-cost!$E77/1000</f>
        <v>-13.4</v>
      </c>
      <c r="AA122" s="76">
        <f>-cost!$E77/1000</f>
        <v>-13.4</v>
      </c>
      <c r="AB122" s="76">
        <f>-cost!$E77/1000</f>
        <v>-13.4</v>
      </c>
      <c r="AC122" s="76">
        <f>-cost!$E77/1000</f>
        <v>-13.4</v>
      </c>
      <c r="AD122" s="76">
        <f>-cost!$E77/1000</f>
        <v>-13.4</v>
      </c>
      <c r="AE122" s="76">
        <f>-cost!$E77/1000</f>
        <v>-13.4</v>
      </c>
      <c r="AF122" s="76">
        <f>-cost!$E77/1000</f>
        <v>-13.4</v>
      </c>
      <c r="AG122" s="76">
        <f>-cost!$E77/1000</f>
        <v>-13.4</v>
      </c>
      <c r="AH122" s="76">
        <f>-cost!$E77/1000</f>
        <v>-13.4</v>
      </c>
      <c r="AI122" s="76">
        <f>-cost!$E77/1000</f>
        <v>-13.4</v>
      </c>
      <c r="AJ122" s="76">
        <f>-cost!$E77/1000</f>
        <v>-13.4</v>
      </c>
      <c r="AK122" s="76">
        <f>-cost!$E77/1000</f>
        <v>-13.4</v>
      </c>
      <c r="AL122" s="76">
        <f>-cost!$E77/1000</f>
        <v>-13.4</v>
      </c>
      <c r="AM122" s="76">
        <f>-cost!$E77/1000</f>
        <v>-13.4</v>
      </c>
      <c r="AN122" s="76">
        <f>-cost!$E77/1000</f>
        <v>-13.4</v>
      </c>
      <c r="AO122" s="76">
        <f>-cost!$E77/1000</f>
        <v>-13.4</v>
      </c>
      <c r="AP122" s="76">
        <f>-cost!$E77/1000</f>
        <v>-13.4</v>
      </c>
      <c r="AQ122" s="76">
        <f>-cost!$E77/1000</f>
        <v>-13.4</v>
      </c>
      <c r="AR122"/>
      <c r="AS122"/>
      <c r="AT122"/>
      <c r="AU122"/>
      <c r="AV122"/>
      <c r="AW122"/>
      <c r="AX122"/>
      <c r="AY122"/>
      <c r="AZ122"/>
      <c r="BA122"/>
      <c r="BB122"/>
      <c r="BC122"/>
    </row>
    <row r="123" spans="1:55" s="75" customFormat="1" hidden="1" outlineLevel="2" x14ac:dyDescent="0.2">
      <c r="A123" s="172" t="s">
        <v>181</v>
      </c>
      <c r="C123" s="76">
        <f>-cost!$E78/1000</f>
        <v>-7.9</v>
      </c>
      <c r="D123" s="76">
        <f>-cost!$E78/1000</f>
        <v>-7.9</v>
      </c>
      <c r="E123" s="76">
        <f>-cost!$E78/1000</f>
        <v>-7.9</v>
      </c>
      <c r="F123" s="76">
        <f>-cost!$E78/1000</f>
        <v>-7.9</v>
      </c>
      <c r="G123" s="76">
        <f>-cost!$E78/1000</f>
        <v>-7.9</v>
      </c>
      <c r="H123" s="76">
        <f>-cost!$E78/1000</f>
        <v>-7.9</v>
      </c>
      <c r="I123" s="76">
        <f>-cost!$E78/1000</f>
        <v>-7.9</v>
      </c>
      <c r="J123" s="76">
        <f>-cost!$E78/1000</f>
        <v>-7.9</v>
      </c>
      <c r="K123" s="76">
        <f>-cost!$E78/1000</f>
        <v>-7.9</v>
      </c>
      <c r="L123" s="76">
        <f>-cost!$E78/1000</f>
        <v>-7.9</v>
      </c>
      <c r="M123" s="76">
        <f>-cost!$E78/1000</f>
        <v>-7.9</v>
      </c>
      <c r="N123" s="76">
        <f>-cost!$E78/1000</f>
        <v>-7.9</v>
      </c>
      <c r="O123" s="76">
        <f>-cost!$E78/1000</f>
        <v>-7.9</v>
      </c>
      <c r="P123" s="76">
        <f>-cost!$E78/1000</f>
        <v>-7.9</v>
      </c>
      <c r="Q123" s="76">
        <f>-cost!$E78/1000</f>
        <v>-7.9</v>
      </c>
      <c r="R123" s="76">
        <f>-cost!$E78/1000</f>
        <v>-7.9</v>
      </c>
      <c r="S123" s="76">
        <f>-cost!$E78/1000</f>
        <v>-7.9</v>
      </c>
      <c r="T123" s="76">
        <f>-cost!$E78/1000</f>
        <v>-7.9</v>
      </c>
      <c r="U123" s="76">
        <f>-cost!$E78/1000</f>
        <v>-7.9</v>
      </c>
      <c r="V123" s="76">
        <f>-cost!$E78/1000</f>
        <v>-7.9</v>
      </c>
      <c r="W123" s="76">
        <f>-cost!$E78/1000</f>
        <v>-7.9</v>
      </c>
      <c r="X123" s="76">
        <f>-cost!$E78/1000</f>
        <v>-7.9</v>
      </c>
      <c r="Y123" s="76">
        <f>-cost!$E78/1000</f>
        <v>-7.9</v>
      </c>
      <c r="Z123" s="76">
        <f>-cost!$E78/1000</f>
        <v>-7.9</v>
      </c>
      <c r="AA123" s="76">
        <f>-cost!$E78/1000</f>
        <v>-7.9</v>
      </c>
      <c r="AB123" s="76">
        <f>-cost!$E78/1000</f>
        <v>-7.9</v>
      </c>
      <c r="AC123" s="76">
        <f>-cost!$E78/1000</f>
        <v>-7.9</v>
      </c>
      <c r="AD123" s="76">
        <f>-cost!$E78/1000</f>
        <v>-7.9</v>
      </c>
      <c r="AE123" s="76">
        <f>-cost!$E78/1000</f>
        <v>-7.9</v>
      </c>
      <c r="AF123" s="76">
        <f>-cost!$E78/1000</f>
        <v>-7.9</v>
      </c>
      <c r="AG123" s="76">
        <f>-cost!$E78/1000</f>
        <v>-7.9</v>
      </c>
      <c r="AH123" s="76">
        <f>-cost!$E78/1000</f>
        <v>-7.9</v>
      </c>
      <c r="AI123" s="76">
        <f>-cost!$E78/1000</f>
        <v>-7.9</v>
      </c>
      <c r="AJ123" s="76">
        <f>-cost!$E78/1000</f>
        <v>-7.9</v>
      </c>
      <c r="AK123" s="76">
        <f>-cost!$E78/1000</f>
        <v>-7.9</v>
      </c>
      <c r="AL123" s="76">
        <f>-cost!$E78/1000</f>
        <v>-7.9</v>
      </c>
      <c r="AM123" s="76">
        <f>-cost!$E78/1000</f>
        <v>-7.9</v>
      </c>
      <c r="AN123" s="76">
        <f>-cost!$E78/1000</f>
        <v>-7.9</v>
      </c>
      <c r="AO123" s="76">
        <f>-cost!$E78/1000</f>
        <v>-7.9</v>
      </c>
      <c r="AP123" s="76">
        <f>-cost!$E78/1000</f>
        <v>-7.9</v>
      </c>
      <c r="AQ123" s="76">
        <f>-cost!$E78/1000</f>
        <v>-7.9</v>
      </c>
      <c r="AR123"/>
      <c r="AS123"/>
      <c r="AT123"/>
      <c r="AU123"/>
      <c r="AV123"/>
      <c r="AW123"/>
      <c r="AX123"/>
      <c r="AY123"/>
      <c r="AZ123"/>
      <c r="BA123"/>
      <c r="BB123"/>
      <c r="BC123"/>
    </row>
    <row r="124" spans="1:55" outlineLevel="1" collapsed="1" x14ac:dyDescent="0.2">
      <c r="A124" s="171" t="s">
        <v>182</v>
      </c>
      <c r="C124" s="76">
        <f>SUM(C125:C126)</f>
        <v>-5.6</v>
      </c>
      <c r="D124" s="76">
        <f t="shared" ref="D124:AQ124" si="61">SUM(D125:D126)</f>
        <v>-5.6</v>
      </c>
      <c r="E124" s="76">
        <f t="shared" si="61"/>
        <v>-5.6</v>
      </c>
      <c r="F124" s="76">
        <f t="shared" si="61"/>
        <v>-5.6</v>
      </c>
      <c r="G124" s="76">
        <f t="shared" si="61"/>
        <v>-5.6</v>
      </c>
      <c r="H124" s="76">
        <f t="shared" si="61"/>
        <v>-5.6</v>
      </c>
      <c r="I124" s="76">
        <f t="shared" si="61"/>
        <v>-5.6</v>
      </c>
      <c r="J124" s="76">
        <f t="shared" si="61"/>
        <v>-5.6</v>
      </c>
      <c r="K124" s="76">
        <f t="shared" si="61"/>
        <v>-5.6</v>
      </c>
      <c r="L124" s="76">
        <f t="shared" si="61"/>
        <v>-5.6</v>
      </c>
      <c r="M124" s="76">
        <f t="shared" si="61"/>
        <v>-5.6</v>
      </c>
      <c r="N124" s="76">
        <f t="shared" si="61"/>
        <v>-5.6</v>
      </c>
      <c r="O124" s="76">
        <f t="shared" si="61"/>
        <v>-5.6</v>
      </c>
      <c r="P124" s="76">
        <f t="shared" si="61"/>
        <v>-5.6</v>
      </c>
      <c r="Q124" s="76">
        <f t="shared" si="61"/>
        <v>-5.6</v>
      </c>
      <c r="R124" s="76">
        <f t="shared" si="61"/>
        <v>-5.6</v>
      </c>
      <c r="S124" s="76">
        <f t="shared" si="61"/>
        <v>-5.6</v>
      </c>
      <c r="T124" s="76">
        <f t="shared" si="61"/>
        <v>-5.6</v>
      </c>
      <c r="U124" s="76">
        <f t="shared" si="61"/>
        <v>-5.6</v>
      </c>
      <c r="V124" s="76">
        <f t="shared" si="61"/>
        <v>-5.6</v>
      </c>
      <c r="W124" s="76">
        <f t="shared" si="61"/>
        <v>-5.6</v>
      </c>
      <c r="X124" s="76">
        <f t="shared" si="61"/>
        <v>-5.6</v>
      </c>
      <c r="Y124" s="76">
        <f t="shared" si="61"/>
        <v>-5.6</v>
      </c>
      <c r="Z124" s="76">
        <f t="shared" si="61"/>
        <v>-5.6</v>
      </c>
      <c r="AA124" s="76">
        <f t="shared" si="61"/>
        <v>-5.6</v>
      </c>
      <c r="AB124" s="76">
        <f t="shared" si="61"/>
        <v>-5.6</v>
      </c>
      <c r="AC124" s="76">
        <f t="shared" si="61"/>
        <v>-5.6</v>
      </c>
      <c r="AD124" s="76">
        <f t="shared" si="61"/>
        <v>-5.6</v>
      </c>
      <c r="AE124" s="76">
        <f t="shared" si="61"/>
        <v>-5.6</v>
      </c>
      <c r="AF124" s="76">
        <f t="shared" si="61"/>
        <v>-5.6</v>
      </c>
      <c r="AG124" s="76">
        <f t="shared" si="61"/>
        <v>-5.6</v>
      </c>
      <c r="AH124" s="76">
        <f t="shared" si="61"/>
        <v>-5.6</v>
      </c>
      <c r="AI124" s="76">
        <f t="shared" si="61"/>
        <v>-5.6</v>
      </c>
      <c r="AJ124" s="76">
        <f t="shared" si="61"/>
        <v>-5.6</v>
      </c>
      <c r="AK124" s="76">
        <f t="shared" si="61"/>
        <v>-5.6</v>
      </c>
      <c r="AL124" s="76">
        <f t="shared" si="61"/>
        <v>-5.6</v>
      </c>
      <c r="AM124" s="76">
        <f t="shared" si="61"/>
        <v>-5.6</v>
      </c>
      <c r="AN124" s="76">
        <f t="shared" si="61"/>
        <v>-5.6</v>
      </c>
      <c r="AO124" s="76">
        <f t="shared" si="61"/>
        <v>-5.6</v>
      </c>
      <c r="AP124" s="76">
        <f t="shared" si="61"/>
        <v>-5.6</v>
      </c>
      <c r="AQ124" s="76">
        <f t="shared" si="61"/>
        <v>-5.6</v>
      </c>
    </row>
    <row r="125" spans="1:55" s="75" customFormat="1" hidden="1" outlineLevel="2" x14ac:dyDescent="0.2">
      <c r="A125" s="172" t="s">
        <v>183</v>
      </c>
      <c r="C125" s="76">
        <f>-cost!$E80/1000</f>
        <v>-4.8</v>
      </c>
      <c r="D125" s="76">
        <f>-cost!$E80/1000</f>
        <v>-4.8</v>
      </c>
      <c r="E125" s="76">
        <f>-cost!$E80/1000</f>
        <v>-4.8</v>
      </c>
      <c r="F125" s="76">
        <f>-cost!$E80/1000</f>
        <v>-4.8</v>
      </c>
      <c r="G125" s="76">
        <f>-cost!$E80/1000</f>
        <v>-4.8</v>
      </c>
      <c r="H125" s="76">
        <f>-cost!$E80/1000</f>
        <v>-4.8</v>
      </c>
      <c r="I125" s="76">
        <f>-cost!$E80/1000</f>
        <v>-4.8</v>
      </c>
      <c r="J125" s="76">
        <f>-cost!$E80/1000</f>
        <v>-4.8</v>
      </c>
      <c r="K125" s="76">
        <f>-cost!$E80/1000</f>
        <v>-4.8</v>
      </c>
      <c r="L125" s="76">
        <f>-cost!$E80/1000</f>
        <v>-4.8</v>
      </c>
      <c r="M125" s="76">
        <f>-cost!$E80/1000</f>
        <v>-4.8</v>
      </c>
      <c r="N125" s="76">
        <f>-cost!$E80/1000</f>
        <v>-4.8</v>
      </c>
      <c r="O125" s="76">
        <f>-cost!$E80/1000</f>
        <v>-4.8</v>
      </c>
      <c r="P125" s="76">
        <f>-cost!$E80/1000</f>
        <v>-4.8</v>
      </c>
      <c r="Q125" s="76">
        <f>-cost!$E80/1000</f>
        <v>-4.8</v>
      </c>
      <c r="R125" s="76">
        <f>-cost!$E80/1000</f>
        <v>-4.8</v>
      </c>
      <c r="S125" s="76">
        <f>-cost!$E80/1000</f>
        <v>-4.8</v>
      </c>
      <c r="T125" s="76">
        <f>-cost!$E80/1000</f>
        <v>-4.8</v>
      </c>
      <c r="U125" s="76">
        <f>-cost!$E80/1000</f>
        <v>-4.8</v>
      </c>
      <c r="V125" s="76">
        <f>-cost!$E80/1000</f>
        <v>-4.8</v>
      </c>
      <c r="W125" s="76">
        <f>-cost!$E80/1000</f>
        <v>-4.8</v>
      </c>
      <c r="X125" s="76">
        <f>-cost!$E80/1000</f>
        <v>-4.8</v>
      </c>
      <c r="Y125" s="76">
        <f>-cost!$E80/1000</f>
        <v>-4.8</v>
      </c>
      <c r="Z125" s="76">
        <f>-cost!$E80/1000</f>
        <v>-4.8</v>
      </c>
      <c r="AA125" s="76">
        <f>-cost!$E80/1000</f>
        <v>-4.8</v>
      </c>
      <c r="AB125" s="76">
        <f>-cost!$E80/1000</f>
        <v>-4.8</v>
      </c>
      <c r="AC125" s="76">
        <f>-cost!$E80/1000</f>
        <v>-4.8</v>
      </c>
      <c r="AD125" s="76">
        <f>-cost!$E80/1000</f>
        <v>-4.8</v>
      </c>
      <c r="AE125" s="76">
        <f>-cost!$E80/1000</f>
        <v>-4.8</v>
      </c>
      <c r="AF125" s="76">
        <f>-cost!$E80/1000</f>
        <v>-4.8</v>
      </c>
      <c r="AG125" s="76">
        <f>-cost!$E80/1000</f>
        <v>-4.8</v>
      </c>
      <c r="AH125" s="76">
        <f>-cost!$E80/1000</f>
        <v>-4.8</v>
      </c>
      <c r="AI125" s="76">
        <f>-cost!$E80/1000</f>
        <v>-4.8</v>
      </c>
      <c r="AJ125" s="76">
        <f>-cost!$E80/1000</f>
        <v>-4.8</v>
      </c>
      <c r="AK125" s="76">
        <f>-cost!$E80/1000</f>
        <v>-4.8</v>
      </c>
      <c r="AL125" s="76">
        <f>-cost!$E80/1000</f>
        <v>-4.8</v>
      </c>
      <c r="AM125" s="76">
        <f>-cost!$E80/1000</f>
        <v>-4.8</v>
      </c>
      <c r="AN125" s="76">
        <f>-cost!$E80/1000</f>
        <v>-4.8</v>
      </c>
      <c r="AO125" s="76">
        <f>-cost!$E80/1000</f>
        <v>-4.8</v>
      </c>
      <c r="AP125" s="76">
        <f>-cost!$E80/1000</f>
        <v>-4.8</v>
      </c>
      <c r="AQ125" s="76">
        <f>-cost!$E80/1000</f>
        <v>-4.8</v>
      </c>
      <c r="AR125"/>
      <c r="AS125"/>
      <c r="AT125"/>
      <c r="AU125"/>
      <c r="AV125"/>
      <c r="AW125"/>
      <c r="AX125"/>
      <c r="AY125"/>
      <c r="AZ125"/>
      <c r="BA125"/>
      <c r="BB125"/>
      <c r="BC125"/>
    </row>
    <row r="126" spans="1:55" s="75" customFormat="1" hidden="1" outlineLevel="2" x14ac:dyDescent="0.2">
      <c r="A126" s="172" t="s">
        <v>184</v>
      </c>
      <c r="C126" s="76">
        <f>-cost!$E81/1000</f>
        <v>-0.8</v>
      </c>
      <c r="D126" s="76">
        <f>-cost!$E81/1000</f>
        <v>-0.8</v>
      </c>
      <c r="E126" s="76">
        <f>-cost!$E81/1000</f>
        <v>-0.8</v>
      </c>
      <c r="F126" s="76">
        <f>-cost!$E81/1000</f>
        <v>-0.8</v>
      </c>
      <c r="G126" s="76">
        <f>-cost!$E81/1000</f>
        <v>-0.8</v>
      </c>
      <c r="H126" s="76">
        <f>-cost!$E81/1000</f>
        <v>-0.8</v>
      </c>
      <c r="I126" s="76">
        <f>-cost!$E81/1000</f>
        <v>-0.8</v>
      </c>
      <c r="J126" s="76">
        <f>-cost!$E81/1000</f>
        <v>-0.8</v>
      </c>
      <c r="K126" s="76">
        <f>-cost!$E81/1000</f>
        <v>-0.8</v>
      </c>
      <c r="L126" s="76">
        <f>-cost!$E81/1000</f>
        <v>-0.8</v>
      </c>
      <c r="M126" s="76">
        <f>-cost!$E81/1000</f>
        <v>-0.8</v>
      </c>
      <c r="N126" s="76">
        <f>-cost!$E81/1000</f>
        <v>-0.8</v>
      </c>
      <c r="O126" s="76">
        <f>-cost!$E81/1000</f>
        <v>-0.8</v>
      </c>
      <c r="P126" s="76">
        <f>-cost!$E81/1000</f>
        <v>-0.8</v>
      </c>
      <c r="Q126" s="76">
        <f>-cost!$E81/1000</f>
        <v>-0.8</v>
      </c>
      <c r="R126" s="76">
        <f>-cost!$E81/1000</f>
        <v>-0.8</v>
      </c>
      <c r="S126" s="76">
        <f>-cost!$E81/1000</f>
        <v>-0.8</v>
      </c>
      <c r="T126" s="76">
        <f>-cost!$E81/1000</f>
        <v>-0.8</v>
      </c>
      <c r="U126" s="76">
        <f>-cost!$E81/1000</f>
        <v>-0.8</v>
      </c>
      <c r="V126" s="76">
        <f>-cost!$E81/1000</f>
        <v>-0.8</v>
      </c>
      <c r="W126" s="76">
        <f>-cost!$E81/1000</f>
        <v>-0.8</v>
      </c>
      <c r="X126" s="76">
        <f>-cost!$E81/1000</f>
        <v>-0.8</v>
      </c>
      <c r="Y126" s="76">
        <f>-cost!$E81/1000</f>
        <v>-0.8</v>
      </c>
      <c r="Z126" s="76">
        <f>-cost!$E81/1000</f>
        <v>-0.8</v>
      </c>
      <c r="AA126" s="76">
        <f>-cost!$E81/1000</f>
        <v>-0.8</v>
      </c>
      <c r="AB126" s="76">
        <f>-cost!$E81/1000</f>
        <v>-0.8</v>
      </c>
      <c r="AC126" s="76">
        <f>-cost!$E81/1000</f>
        <v>-0.8</v>
      </c>
      <c r="AD126" s="76">
        <f>-cost!$E81/1000</f>
        <v>-0.8</v>
      </c>
      <c r="AE126" s="76">
        <f>-cost!$E81/1000</f>
        <v>-0.8</v>
      </c>
      <c r="AF126" s="76">
        <f>-cost!$E81/1000</f>
        <v>-0.8</v>
      </c>
      <c r="AG126" s="76">
        <f>-cost!$E81/1000</f>
        <v>-0.8</v>
      </c>
      <c r="AH126" s="76">
        <f>-cost!$E81/1000</f>
        <v>-0.8</v>
      </c>
      <c r="AI126" s="76">
        <f>-cost!$E81/1000</f>
        <v>-0.8</v>
      </c>
      <c r="AJ126" s="76">
        <f>-cost!$E81/1000</f>
        <v>-0.8</v>
      </c>
      <c r="AK126" s="76">
        <f>-cost!$E81/1000</f>
        <v>-0.8</v>
      </c>
      <c r="AL126" s="76">
        <f>-cost!$E81/1000</f>
        <v>-0.8</v>
      </c>
      <c r="AM126" s="76">
        <f>-cost!$E81/1000</f>
        <v>-0.8</v>
      </c>
      <c r="AN126" s="76">
        <f>-cost!$E81/1000</f>
        <v>-0.8</v>
      </c>
      <c r="AO126" s="76">
        <f>-cost!$E81/1000</f>
        <v>-0.8</v>
      </c>
      <c r="AP126" s="76">
        <f>-cost!$E81/1000</f>
        <v>-0.8</v>
      </c>
      <c r="AQ126" s="76">
        <f>-cost!$E81/1000</f>
        <v>-0.8</v>
      </c>
      <c r="AR126"/>
      <c r="AS126"/>
      <c r="AT126"/>
      <c r="AU126"/>
      <c r="AV126"/>
      <c r="AW126"/>
      <c r="AX126"/>
      <c r="AY126"/>
      <c r="AZ126"/>
      <c r="BA126"/>
      <c r="BB126"/>
      <c r="BC126"/>
    </row>
    <row r="127" spans="1:55" outlineLevel="1" collapsed="1" x14ac:dyDescent="0.2">
      <c r="A127" s="171" t="s">
        <v>79</v>
      </c>
      <c r="C127" s="76">
        <f>-cost!$E82/1000</f>
        <v>-11</v>
      </c>
      <c r="D127" s="76">
        <f>-cost!$E82/1000</f>
        <v>-11</v>
      </c>
      <c r="E127" s="76">
        <f>-cost!$E82/1000</f>
        <v>-11</v>
      </c>
      <c r="F127" s="76">
        <f>-cost!$E82/1000</f>
        <v>-11</v>
      </c>
      <c r="G127" s="76">
        <f>-cost!$E82/1000</f>
        <v>-11</v>
      </c>
      <c r="H127" s="76">
        <f>-cost!$E82/1000</f>
        <v>-11</v>
      </c>
      <c r="I127" s="76">
        <f>-cost!$E82/1000</f>
        <v>-11</v>
      </c>
      <c r="J127" s="76">
        <f>-cost!$E82/1000</f>
        <v>-11</v>
      </c>
      <c r="K127" s="76">
        <f>-cost!$E82/1000</f>
        <v>-11</v>
      </c>
      <c r="L127" s="76">
        <f>-cost!$E82/1000</f>
        <v>-11</v>
      </c>
      <c r="M127" s="76">
        <f>-cost!$E82/1000</f>
        <v>-11</v>
      </c>
      <c r="N127" s="76">
        <f>-cost!$E82/1000</f>
        <v>-11</v>
      </c>
      <c r="O127" s="76">
        <f>-cost!$E82/1000</f>
        <v>-11</v>
      </c>
      <c r="P127" s="76">
        <f>-cost!$E82/1000</f>
        <v>-11</v>
      </c>
      <c r="Q127" s="76">
        <f>-cost!$E82/1000</f>
        <v>-11</v>
      </c>
      <c r="R127" s="76">
        <f>-cost!$E82/1000</f>
        <v>-11</v>
      </c>
      <c r="S127" s="76">
        <f>-cost!$E82/1000</f>
        <v>-11</v>
      </c>
      <c r="T127" s="76">
        <f>-cost!$E82/1000</f>
        <v>-11</v>
      </c>
      <c r="U127" s="76">
        <f>-cost!$E82/1000</f>
        <v>-11</v>
      </c>
      <c r="V127" s="76">
        <f>-cost!$E82/1000</f>
        <v>-11</v>
      </c>
      <c r="W127" s="76">
        <f>-cost!$E82/1000</f>
        <v>-11</v>
      </c>
      <c r="X127" s="76">
        <f>-cost!$E82/1000</f>
        <v>-11</v>
      </c>
      <c r="Y127" s="76">
        <f>-cost!$E82/1000</f>
        <v>-11</v>
      </c>
      <c r="Z127" s="76">
        <f>-cost!$E82/1000</f>
        <v>-11</v>
      </c>
      <c r="AA127" s="76">
        <f>-cost!$E82/1000</f>
        <v>-11</v>
      </c>
      <c r="AB127" s="76">
        <f>-cost!$E82/1000</f>
        <v>-11</v>
      </c>
      <c r="AC127" s="76">
        <f>-cost!$E82/1000</f>
        <v>-11</v>
      </c>
      <c r="AD127" s="76">
        <f>-cost!$E82/1000</f>
        <v>-11</v>
      </c>
      <c r="AE127" s="76">
        <f>-cost!$E82/1000</f>
        <v>-11</v>
      </c>
      <c r="AF127" s="76">
        <f>-cost!$E82/1000</f>
        <v>-11</v>
      </c>
      <c r="AG127" s="76">
        <f>-cost!$E82/1000</f>
        <v>-11</v>
      </c>
      <c r="AH127" s="76">
        <f>-cost!$E82/1000</f>
        <v>-11</v>
      </c>
      <c r="AI127" s="76">
        <f>-cost!$E82/1000</f>
        <v>-11</v>
      </c>
      <c r="AJ127" s="76">
        <f>-cost!$E82/1000</f>
        <v>-11</v>
      </c>
      <c r="AK127" s="76">
        <f>-cost!$E82/1000</f>
        <v>-11</v>
      </c>
      <c r="AL127" s="76">
        <f>-cost!$E82/1000</f>
        <v>-11</v>
      </c>
      <c r="AM127" s="76">
        <f>-cost!$E82/1000</f>
        <v>-11</v>
      </c>
      <c r="AN127" s="76">
        <f>-cost!$E82/1000</f>
        <v>-11</v>
      </c>
      <c r="AO127" s="76">
        <f>-cost!$E82/1000</f>
        <v>-11</v>
      </c>
      <c r="AP127" s="76">
        <f>-cost!$E82/1000</f>
        <v>-11</v>
      </c>
      <c r="AQ127" s="76">
        <f>-cost!$E82/1000</f>
        <v>-11</v>
      </c>
    </row>
    <row r="128" spans="1:55" outlineLevel="1" x14ac:dyDescent="0.2">
      <c r="A128" s="171" t="s">
        <v>166</v>
      </c>
      <c r="C128" s="76">
        <f>-cost!$E83/1000</f>
        <v>-8.9</v>
      </c>
      <c r="D128" s="76">
        <f>-cost!$E83/1000</f>
        <v>-8.9</v>
      </c>
      <c r="E128" s="76">
        <f>-cost!$E83/1000</f>
        <v>-8.9</v>
      </c>
      <c r="F128" s="76">
        <f>-cost!$E83/1000</f>
        <v>-8.9</v>
      </c>
      <c r="G128" s="76">
        <f>-cost!$E83/1000</f>
        <v>-8.9</v>
      </c>
      <c r="H128" s="76">
        <f>-cost!$E83/1000</f>
        <v>-8.9</v>
      </c>
      <c r="I128" s="76">
        <f>-cost!$E83/1000</f>
        <v>-8.9</v>
      </c>
      <c r="J128" s="76">
        <f>-cost!$E83/1000</f>
        <v>-8.9</v>
      </c>
      <c r="K128" s="76">
        <f>-cost!$E83/1000</f>
        <v>-8.9</v>
      </c>
      <c r="L128" s="76">
        <f>-cost!$E83/1000</f>
        <v>-8.9</v>
      </c>
      <c r="M128" s="76">
        <f>-cost!$E83/1000</f>
        <v>-8.9</v>
      </c>
      <c r="N128" s="76">
        <f>-cost!$E83/1000</f>
        <v>-8.9</v>
      </c>
      <c r="O128" s="76">
        <f>-cost!$E83/1000</f>
        <v>-8.9</v>
      </c>
      <c r="P128" s="76">
        <f>-cost!$E83/1000</f>
        <v>-8.9</v>
      </c>
      <c r="Q128" s="76">
        <f>-cost!$E83/1000</f>
        <v>-8.9</v>
      </c>
      <c r="R128" s="76">
        <f>-cost!$E83/1000</f>
        <v>-8.9</v>
      </c>
      <c r="S128" s="76">
        <f>-cost!$E83/1000</f>
        <v>-8.9</v>
      </c>
      <c r="T128" s="76">
        <f>-cost!$E83/1000</f>
        <v>-8.9</v>
      </c>
      <c r="U128" s="76">
        <f>-cost!$E83/1000</f>
        <v>-8.9</v>
      </c>
      <c r="V128" s="76">
        <f>-cost!$E83/1000</f>
        <v>-8.9</v>
      </c>
      <c r="W128" s="76">
        <f>-cost!$E83/1000</f>
        <v>-8.9</v>
      </c>
      <c r="X128" s="76">
        <f>-cost!$E83/1000</f>
        <v>-8.9</v>
      </c>
      <c r="Y128" s="76">
        <f>-cost!$E83/1000</f>
        <v>-8.9</v>
      </c>
      <c r="Z128" s="76">
        <f>-cost!$E83/1000</f>
        <v>-8.9</v>
      </c>
      <c r="AA128" s="76">
        <f>-cost!$E83/1000</f>
        <v>-8.9</v>
      </c>
      <c r="AB128" s="76">
        <f>-cost!$E83/1000</f>
        <v>-8.9</v>
      </c>
      <c r="AC128" s="76">
        <f>-cost!$E83/1000</f>
        <v>-8.9</v>
      </c>
      <c r="AD128" s="76">
        <f>-cost!$E83/1000</f>
        <v>-8.9</v>
      </c>
      <c r="AE128" s="76">
        <f>-cost!$E83/1000</f>
        <v>-8.9</v>
      </c>
      <c r="AF128" s="76">
        <f>-cost!$E83/1000</f>
        <v>-8.9</v>
      </c>
      <c r="AG128" s="76">
        <f>-cost!$E83/1000</f>
        <v>-8.9</v>
      </c>
      <c r="AH128" s="76">
        <f>-cost!$E83/1000</f>
        <v>-8.9</v>
      </c>
      <c r="AI128" s="76">
        <f>-cost!$E83/1000</f>
        <v>-8.9</v>
      </c>
      <c r="AJ128" s="76">
        <f>-cost!$E83/1000</f>
        <v>-8.9</v>
      </c>
      <c r="AK128" s="76">
        <f>-cost!$E83/1000</f>
        <v>-8.9</v>
      </c>
      <c r="AL128" s="76">
        <f>-cost!$E83/1000</f>
        <v>-8.9</v>
      </c>
      <c r="AM128" s="76">
        <f>-cost!$E83/1000</f>
        <v>-8.9</v>
      </c>
      <c r="AN128" s="76">
        <f>-cost!$E83/1000</f>
        <v>-8.9</v>
      </c>
      <c r="AO128" s="76">
        <f>-cost!$E83/1000</f>
        <v>-8.9</v>
      </c>
      <c r="AP128" s="76">
        <f>-cost!$E83/1000</f>
        <v>-8.9</v>
      </c>
      <c r="AQ128" s="76">
        <f>-cost!$E83/1000</f>
        <v>-8.9</v>
      </c>
    </row>
    <row r="129" spans="1:43" outlineLevel="1" x14ac:dyDescent="0.2">
      <c r="A129" s="171" t="s">
        <v>165</v>
      </c>
      <c r="C129" s="76">
        <f>-cost!$E84/1000</f>
        <v>-1.2</v>
      </c>
      <c r="D129" s="76">
        <f>-cost!$E84/1000</f>
        <v>-1.2</v>
      </c>
      <c r="E129" s="76">
        <f>-cost!$E84/1000</f>
        <v>-1.2</v>
      </c>
      <c r="F129" s="76">
        <f>-cost!$E84/1000</f>
        <v>-1.2</v>
      </c>
      <c r="G129" s="76">
        <f>-cost!$E84/1000</f>
        <v>-1.2</v>
      </c>
      <c r="H129" s="76">
        <f>-cost!$E84/1000</f>
        <v>-1.2</v>
      </c>
      <c r="I129" s="76">
        <f>-cost!$E84/1000</f>
        <v>-1.2</v>
      </c>
      <c r="J129" s="76">
        <f>-cost!$E84/1000</f>
        <v>-1.2</v>
      </c>
      <c r="K129" s="76">
        <f>-cost!$E84/1000</f>
        <v>-1.2</v>
      </c>
      <c r="L129" s="76">
        <f>-cost!$E84/1000</f>
        <v>-1.2</v>
      </c>
      <c r="M129" s="76">
        <f>-cost!$E84/1000</f>
        <v>-1.2</v>
      </c>
      <c r="N129" s="76">
        <f>-cost!$E84/1000</f>
        <v>-1.2</v>
      </c>
      <c r="O129" s="76">
        <f>-cost!$E84/1000</f>
        <v>-1.2</v>
      </c>
      <c r="P129" s="76">
        <f>-cost!$E84/1000</f>
        <v>-1.2</v>
      </c>
      <c r="Q129" s="76">
        <f>-cost!$E84/1000</f>
        <v>-1.2</v>
      </c>
      <c r="R129" s="76">
        <f>-cost!$E84/1000</f>
        <v>-1.2</v>
      </c>
      <c r="S129" s="76">
        <f>-cost!$E84/1000</f>
        <v>-1.2</v>
      </c>
      <c r="T129" s="76">
        <f>-cost!$E84/1000</f>
        <v>-1.2</v>
      </c>
      <c r="U129" s="76">
        <f>-cost!$E84/1000</f>
        <v>-1.2</v>
      </c>
      <c r="V129" s="76">
        <f>-cost!$E84/1000</f>
        <v>-1.2</v>
      </c>
      <c r="W129" s="76">
        <f>-cost!$E84/1000</f>
        <v>-1.2</v>
      </c>
      <c r="X129" s="76">
        <f>-cost!$E84/1000</f>
        <v>-1.2</v>
      </c>
      <c r="Y129" s="76">
        <f>-cost!$E84/1000</f>
        <v>-1.2</v>
      </c>
      <c r="Z129" s="76">
        <f>-cost!$E84/1000</f>
        <v>-1.2</v>
      </c>
      <c r="AA129" s="76">
        <f>-cost!$E84/1000</f>
        <v>-1.2</v>
      </c>
      <c r="AB129" s="76">
        <f>-cost!$E84/1000</f>
        <v>-1.2</v>
      </c>
      <c r="AC129" s="76">
        <f>-cost!$E84/1000</f>
        <v>-1.2</v>
      </c>
      <c r="AD129" s="76">
        <f>-cost!$E84/1000</f>
        <v>-1.2</v>
      </c>
      <c r="AE129" s="76">
        <f>-cost!$E84/1000</f>
        <v>-1.2</v>
      </c>
      <c r="AF129" s="76">
        <f>-cost!$E84/1000</f>
        <v>-1.2</v>
      </c>
      <c r="AG129" s="76">
        <f>-cost!$E84/1000</f>
        <v>-1.2</v>
      </c>
      <c r="AH129" s="76">
        <f>-cost!$E84/1000</f>
        <v>-1.2</v>
      </c>
      <c r="AI129" s="76">
        <f>-cost!$E84/1000</f>
        <v>-1.2</v>
      </c>
      <c r="AJ129" s="76">
        <f>-cost!$E84/1000</f>
        <v>-1.2</v>
      </c>
      <c r="AK129" s="76">
        <f>-cost!$E84/1000</f>
        <v>-1.2</v>
      </c>
      <c r="AL129" s="76">
        <f>-cost!$E84/1000</f>
        <v>-1.2</v>
      </c>
      <c r="AM129" s="76">
        <f>-cost!$E84/1000</f>
        <v>-1.2</v>
      </c>
      <c r="AN129" s="76">
        <f>-cost!$E84/1000</f>
        <v>-1.2</v>
      </c>
      <c r="AO129" s="76">
        <f>-cost!$E84/1000</f>
        <v>-1.2</v>
      </c>
      <c r="AP129" s="76">
        <f>-cost!$E84/1000</f>
        <v>-1.2</v>
      </c>
      <c r="AQ129" s="76">
        <f>-cost!$E84/1000</f>
        <v>-1.2</v>
      </c>
    </row>
    <row r="130" spans="1:43" x14ac:dyDescent="0.2">
      <c r="A130" s="57" t="s">
        <v>108</v>
      </c>
      <c r="B130" s="57"/>
      <c r="C130" s="72">
        <f t="shared" ref="C130:AQ130" si="62">SUM(C97,C98,C101,C117)</f>
        <v>-362.53</v>
      </c>
      <c r="D130" s="72">
        <f t="shared" si="62"/>
        <v>-362.53</v>
      </c>
      <c r="E130" s="72">
        <f t="shared" si="62"/>
        <v>-415.32999999999993</v>
      </c>
      <c r="F130" s="72">
        <f t="shared" si="62"/>
        <v>-362.53</v>
      </c>
      <c r="G130" s="72">
        <f t="shared" si="62"/>
        <v>-362.53</v>
      </c>
      <c r="H130" s="72">
        <f t="shared" si="62"/>
        <v>516.17000000000007</v>
      </c>
      <c r="I130" s="72">
        <f t="shared" si="62"/>
        <v>-362.53</v>
      </c>
      <c r="J130" s="72">
        <f t="shared" si="62"/>
        <v>-362.53</v>
      </c>
      <c r="K130" s="72">
        <f t="shared" si="62"/>
        <v>-415.32999999999993</v>
      </c>
      <c r="L130" s="72">
        <f t="shared" si="62"/>
        <v>-362.53</v>
      </c>
      <c r="M130" s="72">
        <f t="shared" si="62"/>
        <v>-362.53</v>
      </c>
      <c r="N130" s="72">
        <f t="shared" si="62"/>
        <v>-415.32999999999993</v>
      </c>
      <c r="O130" s="72">
        <f t="shared" si="62"/>
        <v>-362.53</v>
      </c>
      <c r="P130" s="72">
        <f t="shared" si="62"/>
        <v>3394.6476666666676</v>
      </c>
      <c r="Q130" s="72">
        <f t="shared" si="62"/>
        <v>3341.8476666666675</v>
      </c>
      <c r="R130" s="72">
        <f t="shared" si="62"/>
        <v>3394.6476666666676</v>
      </c>
      <c r="S130" s="72">
        <f t="shared" si="62"/>
        <v>3394.6476666666676</v>
      </c>
      <c r="T130" s="72">
        <f t="shared" si="62"/>
        <v>8899.67</v>
      </c>
      <c r="U130" s="72">
        <f t="shared" si="62"/>
        <v>-362.53</v>
      </c>
      <c r="V130" s="72">
        <f t="shared" si="62"/>
        <v>2369.9628484848486</v>
      </c>
      <c r="W130" s="72">
        <f t="shared" si="62"/>
        <v>2317.1628484848484</v>
      </c>
      <c r="X130" s="72">
        <f t="shared" si="62"/>
        <v>2369.9628484848486</v>
      </c>
      <c r="Y130" s="72">
        <f t="shared" si="62"/>
        <v>-362.53</v>
      </c>
      <c r="Z130" s="72">
        <f t="shared" si="62"/>
        <v>-415.32999999999993</v>
      </c>
      <c r="AA130" s="72">
        <f t="shared" si="62"/>
        <v>-362.53</v>
      </c>
      <c r="AB130" s="72">
        <f t="shared" si="62"/>
        <v>5102.4556969696987</v>
      </c>
      <c r="AC130" s="72">
        <f t="shared" si="62"/>
        <v>5049.6556969696985</v>
      </c>
      <c r="AD130" s="72">
        <f t="shared" si="62"/>
        <v>5102.4556969696987</v>
      </c>
      <c r="AE130" s="72">
        <f t="shared" si="62"/>
        <v>5102.4556969696987</v>
      </c>
      <c r="AF130" s="72">
        <f t="shared" si="62"/>
        <v>9334.67</v>
      </c>
      <c r="AG130" s="72">
        <f t="shared" si="62"/>
        <v>-362.53</v>
      </c>
      <c r="AH130" s="72">
        <f t="shared" si="62"/>
        <v>3931.3873333333358</v>
      </c>
      <c r="AI130" s="72">
        <f t="shared" si="62"/>
        <v>3878.5873333333357</v>
      </c>
      <c r="AJ130" s="72">
        <f t="shared" si="62"/>
        <v>3931.3873333333358</v>
      </c>
      <c r="AK130" s="72">
        <f t="shared" si="62"/>
        <v>-362.53</v>
      </c>
      <c r="AL130" s="72">
        <f t="shared" si="62"/>
        <v>-415.32999999999993</v>
      </c>
      <c r="AM130" s="72">
        <f t="shared" si="62"/>
        <v>-362.53</v>
      </c>
      <c r="AN130" s="72">
        <f t="shared" si="62"/>
        <v>3931.3873333333358</v>
      </c>
      <c r="AO130" s="72">
        <f t="shared" si="62"/>
        <v>3878.5873333333357</v>
      </c>
      <c r="AP130" s="72">
        <f t="shared" si="62"/>
        <v>3931.3873333333358</v>
      </c>
      <c r="AQ130" s="72">
        <f t="shared" si="62"/>
        <v>5821.3873333333358</v>
      </c>
    </row>
    <row r="131" spans="1:43" x14ac:dyDescent="0.2">
      <c r="A131" s="100" t="s">
        <v>109</v>
      </c>
      <c r="B131" s="100"/>
      <c r="C131" s="101"/>
      <c r="D131" s="101"/>
      <c r="E131" s="101"/>
      <c r="F131" s="101"/>
      <c r="G131" s="101"/>
      <c r="H131" s="101"/>
      <c r="I131" s="101"/>
      <c r="J131" s="101"/>
      <c r="K131" s="101"/>
      <c r="L131" s="101"/>
      <c r="M131" s="101"/>
      <c r="N131" s="101"/>
      <c r="O131" s="101"/>
      <c r="P131" s="101"/>
      <c r="Q131" s="101"/>
      <c r="R131" s="101"/>
      <c r="S131" s="101"/>
      <c r="T131" s="101"/>
      <c r="U131" s="101"/>
      <c r="V131" s="101"/>
      <c r="W131" s="101"/>
      <c r="X131" s="101"/>
      <c r="Y131" s="101"/>
      <c r="Z131" s="101"/>
      <c r="AA131" s="101"/>
      <c r="AB131" s="101"/>
      <c r="AC131" s="101"/>
      <c r="AD131" s="101"/>
      <c r="AE131" s="101"/>
      <c r="AF131" s="101"/>
      <c r="AG131" s="101"/>
      <c r="AH131" s="101"/>
      <c r="AI131" s="101"/>
      <c r="AJ131" s="101"/>
      <c r="AK131" s="101"/>
      <c r="AL131" s="101"/>
      <c r="AM131" s="101"/>
      <c r="AN131" s="101"/>
      <c r="AO131" s="101"/>
      <c r="AP131" s="101"/>
      <c r="AQ131" s="101"/>
    </row>
    <row r="132" spans="1:43" x14ac:dyDescent="0.2">
      <c r="A132" s="57" t="s">
        <v>70</v>
      </c>
      <c r="B132" s="57"/>
      <c r="C132" s="72">
        <f t="shared" ref="C132:AQ132" si="63">C154</f>
        <v>-146.25</v>
      </c>
      <c r="D132" s="72">
        <f t="shared" si="63"/>
        <v>-171.25</v>
      </c>
      <c r="E132" s="72">
        <f t="shared" si="63"/>
        <v>-196.25</v>
      </c>
      <c r="F132" s="72">
        <f t="shared" si="63"/>
        <v>-220</v>
      </c>
      <c r="G132" s="72">
        <f t="shared" si="63"/>
        <v>-243.75</v>
      </c>
      <c r="H132" s="72">
        <f t="shared" si="63"/>
        <v>-252.5</v>
      </c>
      <c r="I132" s="72">
        <f t="shared" si="63"/>
        <v>-276.25</v>
      </c>
      <c r="J132" s="72">
        <f t="shared" si="63"/>
        <v>-301.25</v>
      </c>
      <c r="K132" s="72">
        <f t="shared" si="63"/>
        <v>-330</v>
      </c>
      <c r="L132" s="72">
        <f t="shared" si="63"/>
        <v>-353.75</v>
      </c>
      <c r="M132" s="72">
        <f t="shared" si="63"/>
        <v>-383.75</v>
      </c>
      <c r="N132" s="72">
        <f t="shared" si="63"/>
        <v>-457.5</v>
      </c>
      <c r="O132" s="72">
        <f t="shared" si="63"/>
        <v>-575</v>
      </c>
      <c r="P132" s="72">
        <f t="shared" si="63"/>
        <v>-586.25</v>
      </c>
      <c r="Q132" s="72">
        <f t="shared" si="63"/>
        <v>-586.25</v>
      </c>
      <c r="R132" s="72">
        <f t="shared" si="63"/>
        <v>-586.25</v>
      </c>
      <c r="S132" s="72">
        <f t="shared" si="63"/>
        <v>-586.25</v>
      </c>
      <c r="T132" s="72">
        <f t="shared" si="63"/>
        <v>-586.25</v>
      </c>
      <c r="U132" s="72">
        <f t="shared" si="63"/>
        <v>-586.25</v>
      </c>
      <c r="V132" s="72">
        <f t="shared" si="63"/>
        <v>-586.25</v>
      </c>
      <c r="W132" s="72">
        <f t="shared" si="63"/>
        <v>-586.25</v>
      </c>
      <c r="X132" s="72">
        <f t="shared" si="63"/>
        <v>-586.25</v>
      </c>
      <c r="Y132" s="72">
        <f t="shared" si="63"/>
        <v>-586.25</v>
      </c>
      <c r="Z132" s="72">
        <f t="shared" si="63"/>
        <v>-586.25</v>
      </c>
      <c r="AA132" s="72">
        <f t="shared" si="63"/>
        <v>-448.75</v>
      </c>
      <c r="AB132" s="72">
        <f t="shared" si="63"/>
        <v>-411.25</v>
      </c>
      <c r="AC132" s="72">
        <f t="shared" si="63"/>
        <v>-341.25</v>
      </c>
      <c r="AD132" s="72">
        <f t="shared" si="63"/>
        <v>-216.25</v>
      </c>
      <c r="AE132" s="72">
        <f t="shared" si="63"/>
        <v>-78.75</v>
      </c>
      <c r="AF132" s="72">
        <f t="shared" si="63"/>
        <v>0</v>
      </c>
      <c r="AG132" s="72">
        <f t="shared" si="63"/>
        <v>0</v>
      </c>
      <c r="AH132" s="72">
        <f t="shared" si="63"/>
        <v>0</v>
      </c>
      <c r="AI132" s="72">
        <f t="shared" si="63"/>
        <v>0</v>
      </c>
      <c r="AJ132" s="72">
        <f t="shared" si="63"/>
        <v>0</v>
      </c>
      <c r="AK132" s="72">
        <f t="shared" si="63"/>
        <v>0</v>
      </c>
      <c r="AL132" s="72">
        <f t="shared" si="63"/>
        <v>0</v>
      </c>
      <c r="AM132" s="72">
        <f t="shared" si="63"/>
        <v>0</v>
      </c>
      <c r="AN132" s="72">
        <f t="shared" si="63"/>
        <v>0</v>
      </c>
      <c r="AO132" s="72">
        <f t="shared" si="63"/>
        <v>0</v>
      </c>
      <c r="AP132" s="72">
        <f t="shared" si="63"/>
        <v>0</v>
      </c>
      <c r="AQ132" s="72">
        <f t="shared" si="63"/>
        <v>0</v>
      </c>
    </row>
    <row r="133" spans="1:43" x14ac:dyDescent="0.2">
      <c r="A133" s="57" t="s">
        <v>107</v>
      </c>
      <c r="B133" s="57"/>
      <c r="C133" s="72">
        <v>0</v>
      </c>
      <c r="D133" s="72">
        <f t="shared" ref="D133:AQ133" si="64">-C174/120</f>
        <v>-83.333333333333329</v>
      </c>
      <c r="E133" s="72">
        <f t="shared" si="64"/>
        <v>-82.638888888888886</v>
      </c>
      <c r="F133" s="72">
        <f t="shared" si="64"/>
        <v>-81.950231481481481</v>
      </c>
      <c r="G133" s="72">
        <f t="shared" si="64"/>
        <v>-81.267312885802468</v>
      </c>
      <c r="H133" s="72">
        <f t="shared" si="64"/>
        <v>-80.590085278420773</v>
      </c>
      <c r="I133" s="72">
        <f t="shared" si="64"/>
        <v>-79.918501234433933</v>
      </c>
      <c r="J133" s="72">
        <f t="shared" si="64"/>
        <v>-79.252513724146993</v>
      </c>
      <c r="K133" s="72">
        <f t="shared" si="64"/>
        <v>-78.5920761097791</v>
      </c>
      <c r="L133" s="72">
        <f t="shared" si="64"/>
        <v>-77.937142142197615</v>
      </c>
      <c r="M133" s="72">
        <f t="shared" si="64"/>
        <v>-77.287665957679295</v>
      </c>
      <c r="N133" s="72">
        <f t="shared" si="64"/>
        <v>-76.643602074698634</v>
      </c>
      <c r="O133" s="72">
        <f t="shared" si="64"/>
        <v>-76.004905390742806</v>
      </c>
      <c r="P133" s="72">
        <f t="shared" si="64"/>
        <v>-75.37153117915328</v>
      </c>
      <c r="Q133" s="72">
        <f t="shared" si="64"/>
        <v>-74.743435085993681</v>
      </c>
      <c r="R133" s="72">
        <f t="shared" si="64"/>
        <v>-74.120573126943739</v>
      </c>
      <c r="S133" s="72">
        <f t="shared" si="64"/>
        <v>-73.502901684219211</v>
      </c>
      <c r="T133" s="72">
        <f t="shared" si="64"/>
        <v>-72.890377503517371</v>
      </c>
      <c r="U133" s="72">
        <f t="shared" si="64"/>
        <v>-72.282957690988056</v>
      </c>
      <c r="V133" s="72">
        <f t="shared" si="64"/>
        <v>-71.680599710229828</v>
      </c>
      <c r="W133" s="72">
        <f t="shared" si="64"/>
        <v>-71.083261379311253</v>
      </c>
      <c r="X133" s="72">
        <f t="shared" si="64"/>
        <v>-70.490900867816976</v>
      </c>
      <c r="Y133" s="72">
        <f t="shared" si="64"/>
        <v>-69.903476693918506</v>
      </c>
      <c r="Z133" s="72">
        <f t="shared" si="64"/>
        <v>-69.320947721469182</v>
      </c>
      <c r="AA133" s="72">
        <f t="shared" si="64"/>
        <v>-68.74327315712361</v>
      </c>
      <c r="AB133" s="72">
        <f t="shared" si="64"/>
        <v>-68.170412547480908</v>
      </c>
      <c r="AC133" s="72">
        <f t="shared" si="64"/>
        <v>-67.602325776251902</v>
      </c>
      <c r="AD133" s="72">
        <f t="shared" si="64"/>
        <v>-67.038973061449809</v>
      </c>
      <c r="AE133" s="72">
        <f t="shared" si="64"/>
        <v>-66.480314952604388</v>
      </c>
      <c r="AF133" s="72">
        <f t="shared" si="64"/>
        <v>-65.926312327999355</v>
      </c>
      <c r="AG133" s="72">
        <f t="shared" si="64"/>
        <v>-65.376926391932699</v>
      </c>
      <c r="AH133" s="72">
        <f t="shared" si="64"/>
        <v>-64.832118671999922</v>
      </c>
      <c r="AI133" s="72">
        <f t="shared" si="64"/>
        <v>-64.291851016399917</v>
      </c>
      <c r="AJ133" s="72">
        <f t="shared" si="64"/>
        <v>-63.756085591263258</v>
      </c>
      <c r="AK133" s="72">
        <f t="shared" si="64"/>
        <v>-63.22478487800273</v>
      </c>
      <c r="AL133" s="72">
        <f t="shared" si="64"/>
        <v>-62.69791167068604</v>
      </c>
      <c r="AM133" s="72">
        <f t="shared" si="64"/>
        <v>-62.175429073430323</v>
      </c>
      <c r="AN133" s="72">
        <f t="shared" si="64"/>
        <v>-61.657300497818397</v>
      </c>
      <c r="AO133" s="72">
        <f t="shared" si="64"/>
        <v>-61.143489660336584</v>
      </c>
      <c r="AP133" s="72">
        <f t="shared" si="64"/>
        <v>-60.633960579833776</v>
      </c>
      <c r="AQ133" s="72">
        <f t="shared" si="64"/>
        <v>-60.128677575001824</v>
      </c>
    </row>
    <row r="134" spans="1:43" x14ac:dyDescent="0.2">
      <c r="A134" s="57" t="s">
        <v>77</v>
      </c>
      <c r="B134" s="57"/>
      <c r="C134" s="72">
        <f t="shared" ref="C134:AQ134" si="65">C130+C132+C133</f>
        <v>-508.78</v>
      </c>
      <c r="D134" s="72">
        <f t="shared" si="65"/>
        <v>-617.11333333333334</v>
      </c>
      <c r="E134" s="72">
        <f t="shared" si="65"/>
        <v>-694.21888888888884</v>
      </c>
      <c r="F134" s="72">
        <f t="shared" si="65"/>
        <v>-664.4802314814815</v>
      </c>
      <c r="G134" s="72">
        <f t="shared" si="65"/>
        <v>-687.5473128858024</v>
      </c>
      <c r="H134" s="72">
        <f t="shared" si="65"/>
        <v>183.07991472157931</v>
      </c>
      <c r="I134" s="72">
        <f t="shared" si="65"/>
        <v>-718.69850123443393</v>
      </c>
      <c r="J134" s="72">
        <f t="shared" si="65"/>
        <v>-743.03251372414695</v>
      </c>
      <c r="K134" s="72">
        <f t="shared" si="65"/>
        <v>-823.92207610977903</v>
      </c>
      <c r="L134" s="72">
        <f t="shared" si="65"/>
        <v>-794.21714214219764</v>
      </c>
      <c r="M134" s="72">
        <f t="shared" si="65"/>
        <v>-823.56766595767931</v>
      </c>
      <c r="N134" s="72">
        <f t="shared" si="65"/>
        <v>-949.47360207469853</v>
      </c>
      <c r="O134" s="72">
        <f t="shared" si="65"/>
        <v>-1013.5349053907428</v>
      </c>
      <c r="P134" s="72">
        <f t="shared" si="65"/>
        <v>2733.0261354875142</v>
      </c>
      <c r="Q134" s="72">
        <f t="shared" si="65"/>
        <v>2680.854231580674</v>
      </c>
      <c r="R134" s="72">
        <f t="shared" si="65"/>
        <v>2734.2770935397239</v>
      </c>
      <c r="S134" s="72">
        <f t="shared" si="65"/>
        <v>2734.8947649824486</v>
      </c>
      <c r="T134" s="72">
        <f t="shared" si="65"/>
        <v>8240.5296224964823</v>
      </c>
      <c r="U134" s="72">
        <f t="shared" si="65"/>
        <v>-1021.062957690988</v>
      </c>
      <c r="V134" s="72">
        <f t="shared" si="65"/>
        <v>1712.0322487746187</v>
      </c>
      <c r="W134" s="72">
        <f t="shared" si="65"/>
        <v>1659.829587105537</v>
      </c>
      <c r="X134" s="72">
        <f t="shared" si="65"/>
        <v>1713.2219476170317</v>
      </c>
      <c r="Y134" s="72">
        <f t="shared" si="65"/>
        <v>-1018.6834766939185</v>
      </c>
      <c r="Z134" s="72">
        <f t="shared" si="65"/>
        <v>-1070.900947721469</v>
      </c>
      <c r="AA134" s="72">
        <f t="shared" si="65"/>
        <v>-880.02327315712364</v>
      </c>
      <c r="AB134" s="72">
        <f t="shared" si="65"/>
        <v>4623.035284422218</v>
      </c>
      <c r="AC134" s="72">
        <f t="shared" si="65"/>
        <v>4640.8033711934468</v>
      </c>
      <c r="AD134" s="72">
        <f t="shared" si="65"/>
        <v>4819.166723908249</v>
      </c>
      <c r="AE134" s="72">
        <f t="shared" si="65"/>
        <v>4957.2253820170945</v>
      </c>
      <c r="AF134" s="72">
        <f t="shared" si="65"/>
        <v>9268.7436876720003</v>
      </c>
      <c r="AG134" s="72">
        <f t="shared" si="65"/>
        <v>-427.90692639193264</v>
      </c>
      <c r="AH134" s="72">
        <f t="shared" si="65"/>
        <v>3866.5552146613359</v>
      </c>
      <c r="AI134" s="72">
        <f t="shared" si="65"/>
        <v>3814.2954823169357</v>
      </c>
      <c r="AJ134" s="72">
        <f t="shared" si="65"/>
        <v>3867.6312477420724</v>
      </c>
      <c r="AK134" s="72">
        <f t="shared" si="65"/>
        <v>-425.75478487800268</v>
      </c>
      <c r="AL134" s="72">
        <f t="shared" si="65"/>
        <v>-478.02791167068597</v>
      </c>
      <c r="AM134" s="72">
        <f t="shared" si="65"/>
        <v>-424.70542907343031</v>
      </c>
      <c r="AN134" s="72">
        <f t="shared" si="65"/>
        <v>3869.7300328355172</v>
      </c>
      <c r="AO134" s="72">
        <f t="shared" si="65"/>
        <v>3817.4438436729993</v>
      </c>
      <c r="AP134" s="72">
        <f t="shared" si="65"/>
        <v>3870.7533727535019</v>
      </c>
      <c r="AQ134" s="72">
        <f t="shared" si="65"/>
        <v>5761.2586557583336</v>
      </c>
    </row>
    <row r="135" spans="1:43" x14ac:dyDescent="0.2">
      <c r="A135" s="175" t="s">
        <v>206</v>
      </c>
      <c r="D135" s="4">
        <f>-IF(SUM(C97:D97)&gt;=0,SUM(C97:D97)*'0'!$C$39,0)</f>
        <v>0</v>
      </c>
      <c r="G135" s="4">
        <f>-IF(SUM(E97:G97)&gt;=0,SUM(E97:G97)*'0'!$C$39,0)</f>
        <v>0</v>
      </c>
      <c r="J135" s="4">
        <f>-IF(SUM(H97:J97)&gt;=0,SUM(H97:J97)*'0'!$C$39,0)</f>
        <v>0</v>
      </c>
      <c r="M135" s="4">
        <f>-IF(SUM(K97:M97)&gt;=0,SUM(K97:M97)*'0'!$C$39,0)</f>
        <v>0</v>
      </c>
      <c r="P135" s="4">
        <f>-IF(SUM(N97:P97)&gt;=0,SUM(N97:P97)*'0'!$C$39,0)</f>
        <v>-225.43066000000005</v>
      </c>
      <c r="S135" s="4">
        <f>-IF(SUM(Q97:S97)&gt;=0,SUM(Q97:S97)*'0'!$C$39,0)</f>
        <v>-676.29198000000019</v>
      </c>
      <c r="V135" s="4">
        <f>-IF(SUM(T97:V97)&gt;=0,SUM(T97:V97)*'0'!$C$39,0)</f>
        <v>-163.94957090909088</v>
      </c>
      <c r="Y135" s="4">
        <f>-IF(SUM(W97:Y97)&gt;=0,SUM(W97:Y97)*'0'!$C$39,0)</f>
        <v>-327.89914181818176</v>
      </c>
      <c r="AB135" s="4">
        <f>-IF(SUM(Z97:AB97)&gt;=0,SUM(Z97:AB97)*'0'!$C$39,0)</f>
        <v>-327.89914181818187</v>
      </c>
      <c r="AE135" s="4">
        <f>-IF(SUM(AC97:AE97)&gt;=0,SUM(AC97:AE97)*'0'!$C$39,0)</f>
        <v>-983.69742545454562</v>
      </c>
      <c r="AH135" s="4">
        <f>-IF(SUM(AF97:AH97)&gt;=0,SUM(AF97:AH97)*'0'!$C$39,0)</f>
        <v>-257.63504000000012</v>
      </c>
      <c r="AK135" s="4">
        <f>-IF(SUM(AI97:AK97)&gt;=0,SUM(AI97:AK97)*'0'!$C$39,0)</f>
        <v>-515.27008000000023</v>
      </c>
      <c r="AN135" s="4">
        <f>-IF(SUM(AL97:AN97)&gt;=0,SUM(AL97:AN97)*'0'!$C$39,0)</f>
        <v>-257.63504000000012</v>
      </c>
      <c r="AQ135" s="4">
        <f>-IF(SUM(AO97:AQ97)&gt;=0,SUM(AO97:AQ97)*'0'!$C$39,0)</f>
        <v>-772.90512000000047</v>
      </c>
    </row>
    <row r="136" spans="1:43" x14ac:dyDescent="0.2">
      <c r="A136" s="57" t="s">
        <v>208</v>
      </c>
      <c r="B136" s="57"/>
      <c r="C136" s="72">
        <f t="shared" ref="C136:AQ136" si="66">SUM(C134:C135)</f>
        <v>-508.78</v>
      </c>
      <c r="D136" s="72">
        <f t="shared" si="66"/>
        <v>-617.11333333333334</v>
      </c>
      <c r="E136" s="72">
        <f t="shared" si="66"/>
        <v>-694.21888888888884</v>
      </c>
      <c r="F136" s="72">
        <f t="shared" si="66"/>
        <v>-664.4802314814815</v>
      </c>
      <c r="G136" s="72">
        <f t="shared" si="66"/>
        <v>-687.5473128858024</v>
      </c>
      <c r="H136" s="72">
        <f t="shared" si="66"/>
        <v>183.07991472157931</v>
      </c>
      <c r="I136" s="72">
        <f t="shared" si="66"/>
        <v>-718.69850123443393</v>
      </c>
      <c r="J136" s="72">
        <f t="shared" si="66"/>
        <v>-743.03251372414695</v>
      </c>
      <c r="K136" s="72">
        <f t="shared" si="66"/>
        <v>-823.92207610977903</v>
      </c>
      <c r="L136" s="72">
        <f t="shared" si="66"/>
        <v>-794.21714214219764</v>
      </c>
      <c r="M136" s="72">
        <f t="shared" si="66"/>
        <v>-823.56766595767931</v>
      </c>
      <c r="N136" s="72">
        <f t="shared" si="66"/>
        <v>-949.47360207469853</v>
      </c>
      <c r="O136" s="72">
        <f t="shared" si="66"/>
        <v>-1013.5349053907428</v>
      </c>
      <c r="P136" s="72">
        <f t="shared" si="66"/>
        <v>2507.5954754875142</v>
      </c>
      <c r="Q136" s="72">
        <f t="shared" si="66"/>
        <v>2680.854231580674</v>
      </c>
      <c r="R136" s="72">
        <f t="shared" si="66"/>
        <v>2734.2770935397239</v>
      </c>
      <c r="S136" s="72">
        <f t="shared" si="66"/>
        <v>2058.6027849824486</v>
      </c>
      <c r="T136" s="72">
        <f t="shared" si="66"/>
        <v>8240.5296224964823</v>
      </c>
      <c r="U136" s="72">
        <f t="shared" si="66"/>
        <v>-1021.062957690988</v>
      </c>
      <c r="V136" s="72">
        <f t="shared" si="66"/>
        <v>1548.0826778655278</v>
      </c>
      <c r="W136" s="72">
        <f t="shared" si="66"/>
        <v>1659.829587105537</v>
      </c>
      <c r="X136" s="72">
        <f t="shared" si="66"/>
        <v>1713.2219476170317</v>
      </c>
      <c r="Y136" s="72">
        <f t="shared" si="66"/>
        <v>-1346.5826185121002</v>
      </c>
      <c r="Z136" s="72">
        <f t="shared" si="66"/>
        <v>-1070.900947721469</v>
      </c>
      <c r="AA136" s="72">
        <f t="shared" si="66"/>
        <v>-880.02327315712364</v>
      </c>
      <c r="AB136" s="72">
        <f t="shared" si="66"/>
        <v>4295.1361426040357</v>
      </c>
      <c r="AC136" s="72">
        <f t="shared" si="66"/>
        <v>4640.8033711934468</v>
      </c>
      <c r="AD136" s="72">
        <f t="shared" si="66"/>
        <v>4819.166723908249</v>
      </c>
      <c r="AE136" s="72">
        <f t="shared" si="66"/>
        <v>3973.5279565625488</v>
      </c>
      <c r="AF136" s="72">
        <f t="shared" si="66"/>
        <v>9268.7436876720003</v>
      </c>
      <c r="AG136" s="72">
        <f t="shared" si="66"/>
        <v>-427.90692639193264</v>
      </c>
      <c r="AH136" s="72">
        <f t="shared" si="66"/>
        <v>3608.9201746613357</v>
      </c>
      <c r="AI136" s="72">
        <f t="shared" si="66"/>
        <v>3814.2954823169357</v>
      </c>
      <c r="AJ136" s="72">
        <f t="shared" si="66"/>
        <v>3867.6312477420724</v>
      </c>
      <c r="AK136" s="72">
        <f t="shared" si="66"/>
        <v>-941.02486487800297</v>
      </c>
      <c r="AL136" s="72">
        <f t="shared" si="66"/>
        <v>-478.02791167068597</v>
      </c>
      <c r="AM136" s="72">
        <f t="shared" si="66"/>
        <v>-424.70542907343031</v>
      </c>
      <c r="AN136" s="72">
        <f t="shared" si="66"/>
        <v>3612.0949928355171</v>
      </c>
      <c r="AO136" s="72">
        <f t="shared" si="66"/>
        <v>3817.4438436729993</v>
      </c>
      <c r="AP136" s="72">
        <f t="shared" si="66"/>
        <v>3870.7533727535019</v>
      </c>
      <c r="AQ136" s="72">
        <f t="shared" si="66"/>
        <v>4988.3535357583332</v>
      </c>
    </row>
    <row r="140" spans="1:43" ht="16.5" thickBot="1" x14ac:dyDescent="0.3">
      <c r="A140" s="90" t="s">
        <v>111</v>
      </c>
    </row>
    <row r="141" spans="1:43" ht="13.5" thickBot="1" x14ac:dyDescent="0.25">
      <c r="A141" s="33" t="s">
        <v>63</v>
      </c>
      <c r="B141" s="33"/>
      <c r="C141" s="34">
        <f t="shared" ref="C141:AP141" si="67">SUM(C142:C145,C152:C155)</f>
        <v>-1677.0266666666666</v>
      </c>
      <c r="D141" s="34">
        <f t="shared" si="67"/>
        <v>-1918.6933333333332</v>
      </c>
      <c r="E141" s="34">
        <f t="shared" si="67"/>
        <v>-1996.4933333333331</v>
      </c>
      <c r="F141" s="34">
        <f t="shared" si="67"/>
        <v>-1967.4433333333332</v>
      </c>
      <c r="G141" s="34">
        <f t="shared" si="67"/>
        <v>-1849.5266666666666</v>
      </c>
      <c r="H141" s="34">
        <f t="shared" si="67"/>
        <v>-687.91</v>
      </c>
      <c r="I141" s="34">
        <f t="shared" si="67"/>
        <v>-1952.4812121212121</v>
      </c>
      <c r="J141" s="34">
        <f t="shared" si="67"/>
        <v>-2039.6024242424241</v>
      </c>
      <c r="K141" s="34">
        <f t="shared" si="67"/>
        <v>-2271.1524242424239</v>
      </c>
      <c r="L141" s="34">
        <f t="shared" si="67"/>
        <v>-1879.9812121212121</v>
      </c>
      <c r="M141" s="34">
        <f t="shared" si="67"/>
        <v>-2447.86</v>
      </c>
      <c r="N141" s="34">
        <f t="shared" si="67"/>
        <v>-5874.41</v>
      </c>
      <c r="O141" s="34">
        <f t="shared" si="67"/>
        <v>-8763.3524242424246</v>
      </c>
      <c r="P141" s="34">
        <f t="shared" si="67"/>
        <v>-1486.3448484848479</v>
      </c>
      <c r="Q141" s="34">
        <f t="shared" si="67"/>
        <v>1085.4244915151521</v>
      </c>
      <c r="R141" s="34">
        <f t="shared" si="67"/>
        <v>5263.6551515151523</v>
      </c>
      <c r="S141" s="34">
        <f t="shared" si="67"/>
        <v>6737.8975757575763</v>
      </c>
      <c r="T141" s="34">
        <f>SUM(T142:T145,T152:T155)</f>
        <v>6385.5480200000002</v>
      </c>
      <c r="U141" s="34">
        <f t="shared" si="67"/>
        <v>-2533.6933333333332</v>
      </c>
      <c r="V141" s="34">
        <f t="shared" si="67"/>
        <v>3723.8824242424243</v>
      </c>
      <c r="W141" s="34">
        <f t="shared" si="67"/>
        <v>3507.1328533333335</v>
      </c>
      <c r="X141" s="34">
        <f t="shared" si="67"/>
        <v>4057.2157575757574</v>
      </c>
      <c r="Y141" s="34">
        <f t="shared" si="67"/>
        <v>-2650.36</v>
      </c>
      <c r="Z141" s="34">
        <f t="shared" si="67"/>
        <v>-6031.0591418181812</v>
      </c>
      <c r="AA141" s="34">
        <f t="shared" si="67"/>
        <v>-8546.1933333333327</v>
      </c>
      <c r="AB141" s="34">
        <f t="shared" si="67"/>
        <v>2989.7915151515181</v>
      </c>
      <c r="AC141" s="34">
        <f t="shared" si="67"/>
        <v>5679.0923733333348</v>
      </c>
      <c r="AD141" s="34">
        <f t="shared" si="67"/>
        <v>9934.7915151515172</v>
      </c>
      <c r="AE141" s="34">
        <f t="shared" si="67"/>
        <v>11005.624848484849</v>
      </c>
      <c r="AF141" s="34">
        <f t="shared" si="67"/>
        <v>7699.3925745454544</v>
      </c>
      <c r="AG141" s="34">
        <f t="shared" si="67"/>
        <v>-1314.11</v>
      </c>
      <c r="AH141" s="34">
        <f t="shared" si="67"/>
        <v>9043.0328571428581</v>
      </c>
      <c r="AI141" s="34">
        <f t="shared" si="67"/>
        <v>8582.5978171428578</v>
      </c>
      <c r="AJ141" s="34">
        <f t="shared" si="67"/>
        <v>9343.0328571428581</v>
      </c>
      <c r="AK141" s="34">
        <f t="shared" si="67"/>
        <v>-1464.11</v>
      </c>
      <c r="AL141" s="34">
        <f t="shared" si="67"/>
        <v>-2632.1800800000001</v>
      </c>
      <c r="AM141" s="34">
        <f t="shared" si="67"/>
        <v>-3114.1099999999997</v>
      </c>
      <c r="AN141" s="34">
        <f t="shared" si="67"/>
        <v>7243.032857142859</v>
      </c>
      <c r="AO141" s="34">
        <f t="shared" si="67"/>
        <v>7832.5978171428596</v>
      </c>
      <c r="AP141" s="34">
        <f t="shared" si="67"/>
        <v>9493.0328571428581</v>
      </c>
      <c r="AQ141" s="34">
        <f>SUM(AQ142:AQ145,AQ152:AQ155)</f>
        <v>10610.127737142857</v>
      </c>
    </row>
    <row r="142" spans="1:43" x14ac:dyDescent="0.2">
      <c r="A142" t="s">
        <v>64</v>
      </c>
      <c r="C142" s="4">
        <f>C65</f>
        <v>0</v>
      </c>
      <c r="D142" s="4">
        <f t="shared" ref="D142:AQ142" si="68">D65</f>
        <v>0</v>
      </c>
      <c r="E142" s="4">
        <f t="shared" si="68"/>
        <v>0</v>
      </c>
      <c r="F142" s="4">
        <f t="shared" si="68"/>
        <v>0</v>
      </c>
      <c r="G142" s="4">
        <f t="shared" si="68"/>
        <v>0</v>
      </c>
      <c r="H142" s="4">
        <f t="shared" si="68"/>
        <v>0</v>
      </c>
      <c r="I142" s="4">
        <f t="shared" si="68"/>
        <v>0</v>
      </c>
      <c r="J142" s="4">
        <f t="shared" si="68"/>
        <v>0</v>
      </c>
      <c r="K142" s="4">
        <f t="shared" si="68"/>
        <v>0</v>
      </c>
      <c r="L142" s="4">
        <f t="shared" si="68"/>
        <v>0</v>
      </c>
      <c r="M142" s="4">
        <f t="shared" si="68"/>
        <v>0</v>
      </c>
      <c r="N142" s="4">
        <f t="shared" si="68"/>
        <v>0</v>
      </c>
      <c r="O142" s="4">
        <f t="shared" si="68"/>
        <v>0</v>
      </c>
      <c r="P142" s="4">
        <f t="shared" si="68"/>
        <v>9062.5</v>
      </c>
      <c r="Q142" s="4">
        <f t="shared" si="68"/>
        <v>9062.5</v>
      </c>
      <c r="R142" s="4">
        <f t="shared" si="68"/>
        <v>9062.5</v>
      </c>
      <c r="S142" s="4">
        <f t="shared" si="68"/>
        <v>9062.5</v>
      </c>
      <c r="T142" s="4">
        <f t="shared" si="68"/>
        <v>0</v>
      </c>
      <c r="U142" s="4">
        <f t="shared" si="68"/>
        <v>0</v>
      </c>
      <c r="V142" s="4">
        <f t="shared" si="68"/>
        <v>6590.9090909090901</v>
      </c>
      <c r="W142" s="4">
        <f t="shared" si="68"/>
        <v>6590.9090909090901</v>
      </c>
      <c r="X142" s="4">
        <f t="shared" si="68"/>
        <v>6590.9090909090901</v>
      </c>
      <c r="Y142" s="4">
        <f t="shared" si="68"/>
        <v>0</v>
      </c>
      <c r="Z142" s="4">
        <f t="shared" si="68"/>
        <v>0</v>
      </c>
      <c r="AA142" s="4">
        <f t="shared" si="68"/>
        <v>0</v>
      </c>
      <c r="AB142" s="4">
        <f t="shared" si="68"/>
        <v>13181.818181818184</v>
      </c>
      <c r="AC142" s="4">
        <f t="shared" si="68"/>
        <v>13181.818181818184</v>
      </c>
      <c r="AD142" s="4">
        <f t="shared" si="68"/>
        <v>13181.818181818184</v>
      </c>
      <c r="AE142" s="4">
        <f t="shared" si="68"/>
        <v>13181.818181818184</v>
      </c>
      <c r="AF142" s="4">
        <f t="shared" si="68"/>
        <v>0</v>
      </c>
      <c r="AG142" s="4">
        <f t="shared" si="68"/>
        <v>0</v>
      </c>
      <c r="AH142" s="4">
        <f t="shared" si="68"/>
        <v>10357.142857142859</v>
      </c>
      <c r="AI142" s="4">
        <f t="shared" si="68"/>
        <v>10357.142857142859</v>
      </c>
      <c r="AJ142" s="4">
        <f t="shared" si="68"/>
        <v>10357.142857142859</v>
      </c>
      <c r="AK142" s="4">
        <f t="shared" si="68"/>
        <v>0</v>
      </c>
      <c r="AL142" s="4">
        <f t="shared" si="68"/>
        <v>0</v>
      </c>
      <c r="AM142" s="4">
        <f t="shared" si="68"/>
        <v>0</v>
      </c>
      <c r="AN142" s="4">
        <f t="shared" si="68"/>
        <v>10357.142857142859</v>
      </c>
      <c r="AO142" s="4">
        <f t="shared" si="68"/>
        <v>10357.142857142859</v>
      </c>
      <c r="AP142" s="4">
        <f t="shared" si="68"/>
        <v>10357.142857142859</v>
      </c>
      <c r="AQ142" s="4">
        <f t="shared" si="68"/>
        <v>10357.142857142859</v>
      </c>
    </row>
    <row r="143" spans="1:43" x14ac:dyDescent="0.2">
      <c r="A143" t="s">
        <v>205</v>
      </c>
      <c r="C143" s="4">
        <f t="shared" ref="C143:AQ143" si="69">C98</f>
        <v>0</v>
      </c>
      <c r="D143" s="4">
        <f t="shared" si="69"/>
        <v>0</v>
      </c>
      <c r="E143" s="4">
        <f t="shared" si="69"/>
        <v>0</v>
      </c>
      <c r="F143" s="4">
        <f t="shared" si="69"/>
        <v>0</v>
      </c>
      <c r="G143" s="4">
        <f t="shared" si="69"/>
        <v>0</v>
      </c>
      <c r="H143" s="4">
        <f t="shared" si="69"/>
        <v>931.5</v>
      </c>
      <c r="I143" s="4">
        <f t="shared" si="69"/>
        <v>0</v>
      </c>
      <c r="J143" s="4">
        <f t="shared" si="69"/>
        <v>0</v>
      </c>
      <c r="K143" s="4">
        <f t="shared" si="69"/>
        <v>0</v>
      </c>
      <c r="L143" s="4">
        <f t="shared" si="69"/>
        <v>0</v>
      </c>
      <c r="M143" s="4">
        <f t="shared" si="69"/>
        <v>0</v>
      </c>
      <c r="N143" s="4">
        <f t="shared" si="69"/>
        <v>0</v>
      </c>
      <c r="O143" s="4">
        <f t="shared" si="69"/>
        <v>0</v>
      </c>
      <c r="P143" s="4">
        <f t="shared" si="69"/>
        <v>0</v>
      </c>
      <c r="Q143" s="4">
        <f t="shared" si="69"/>
        <v>0</v>
      </c>
      <c r="R143" s="4">
        <f t="shared" si="69"/>
        <v>0</v>
      </c>
      <c r="S143" s="4">
        <f t="shared" si="69"/>
        <v>0</v>
      </c>
      <c r="T143" s="4">
        <f t="shared" si="69"/>
        <v>9315</v>
      </c>
      <c r="U143" s="4">
        <f t="shared" si="69"/>
        <v>0</v>
      </c>
      <c r="V143" s="4">
        <f t="shared" si="69"/>
        <v>0</v>
      </c>
      <c r="W143" s="4">
        <f t="shared" si="69"/>
        <v>0</v>
      </c>
      <c r="X143" s="4">
        <f t="shared" si="69"/>
        <v>0</v>
      </c>
      <c r="Y143" s="4">
        <f t="shared" si="69"/>
        <v>0</v>
      </c>
      <c r="Z143" s="4">
        <f t="shared" si="69"/>
        <v>0</v>
      </c>
      <c r="AA143" s="4">
        <f t="shared" si="69"/>
        <v>0</v>
      </c>
      <c r="AB143" s="4">
        <f t="shared" si="69"/>
        <v>0</v>
      </c>
      <c r="AC143" s="4">
        <f t="shared" si="69"/>
        <v>0</v>
      </c>
      <c r="AD143" s="4">
        <f t="shared" si="69"/>
        <v>0</v>
      </c>
      <c r="AE143" s="4">
        <f t="shared" si="69"/>
        <v>0</v>
      </c>
      <c r="AF143" s="4">
        <f t="shared" si="69"/>
        <v>9750</v>
      </c>
      <c r="AG143" s="4">
        <f t="shared" si="69"/>
        <v>0</v>
      </c>
      <c r="AH143" s="4">
        <f t="shared" si="69"/>
        <v>0</v>
      </c>
      <c r="AI143" s="4">
        <f t="shared" si="69"/>
        <v>0</v>
      </c>
      <c r="AJ143" s="4">
        <f t="shared" si="69"/>
        <v>0</v>
      </c>
      <c r="AK143" s="4">
        <f t="shared" si="69"/>
        <v>0</v>
      </c>
      <c r="AL143" s="4">
        <f t="shared" si="69"/>
        <v>0</v>
      </c>
      <c r="AM143" s="4">
        <f t="shared" si="69"/>
        <v>0</v>
      </c>
      <c r="AN143" s="4">
        <f t="shared" si="69"/>
        <v>0</v>
      </c>
      <c r="AO143" s="4">
        <f t="shared" si="69"/>
        <v>0</v>
      </c>
      <c r="AP143" s="4">
        <f t="shared" si="69"/>
        <v>0</v>
      </c>
      <c r="AQ143" s="4">
        <f t="shared" si="69"/>
        <v>1890</v>
      </c>
    </row>
    <row r="144" spans="1:43" x14ac:dyDescent="0.2">
      <c r="A144" t="s">
        <v>65</v>
      </c>
      <c r="C144" s="4">
        <f t="shared" ref="C144:AQ144" si="70">-(C74+C83)</f>
        <v>-666.66666666666663</v>
      </c>
      <c r="D144" s="4">
        <f t="shared" si="70"/>
        <v>-883.33333333333326</v>
      </c>
      <c r="E144" s="4">
        <f t="shared" si="70"/>
        <v>-883.33333333333326</v>
      </c>
      <c r="F144" s="4">
        <f t="shared" si="70"/>
        <v>-883.33333333333326</v>
      </c>
      <c r="G144" s="4">
        <f t="shared" si="70"/>
        <v>-741.66666666666663</v>
      </c>
      <c r="H144" s="4">
        <f t="shared" si="70"/>
        <v>-450</v>
      </c>
      <c r="I144" s="4">
        <f t="shared" si="70"/>
        <v>-812.12121212121212</v>
      </c>
      <c r="J144" s="4">
        <f t="shared" si="70"/>
        <v>-874.24242424242425</v>
      </c>
      <c r="K144" s="4">
        <f t="shared" si="70"/>
        <v>-1024.2424242424242</v>
      </c>
      <c r="L144" s="4">
        <f t="shared" si="70"/>
        <v>-662.12121212121212</v>
      </c>
      <c r="M144" s="4">
        <f t="shared" si="70"/>
        <v>-1200</v>
      </c>
      <c r="N144" s="4">
        <f t="shared" si="70"/>
        <v>-4500</v>
      </c>
      <c r="O144" s="4">
        <f t="shared" si="70"/>
        <v>-7324.242424242424</v>
      </c>
      <c r="P144" s="4">
        <f t="shared" si="70"/>
        <v>-9098.484848484848</v>
      </c>
      <c r="Q144" s="4">
        <f t="shared" si="70"/>
        <v>-6248.484848484848</v>
      </c>
      <c r="R144" s="4">
        <f t="shared" si="70"/>
        <v>-2348.4848484848485</v>
      </c>
      <c r="S144" s="4">
        <f t="shared" si="70"/>
        <v>-874.24242424242425</v>
      </c>
      <c r="T144" s="4">
        <f t="shared" si="70"/>
        <v>-750</v>
      </c>
      <c r="U144" s="4">
        <f t="shared" si="70"/>
        <v>-1083.3333333333333</v>
      </c>
      <c r="V144" s="4">
        <f t="shared" si="70"/>
        <v>-1416.6666666666665</v>
      </c>
      <c r="W144" s="4">
        <f t="shared" si="70"/>
        <v>-1416.6666666666665</v>
      </c>
      <c r="X144" s="4">
        <f t="shared" si="70"/>
        <v>-1083.3333333333333</v>
      </c>
      <c r="Y144" s="4">
        <f t="shared" si="70"/>
        <v>-1200</v>
      </c>
      <c r="Z144" s="4">
        <f t="shared" si="70"/>
        <v>-4200</v>
      </c>
      <c r="AA144" s="4">
        <f t="shared" si="70"/>
        <v>-7233.333333333333</v>
      </c>
      <c r="AB144" s="4">
        <f t="shared" si="70"/>
        <v>-8916.6666666666661</v>
      </c>
      <c r="AC144" s="4">
        <f t="shared" si="70"/>
        <v>-5916.666666666667</v>
      </c>
      <c r="AD144" s="4">
        <f t="shared" si="70"/>
        <v>-2166.6666666666665</v>
      </c>
      <c r="AE144" s="4">
        <f t="shared" si="70"/>
        <v>-1233.3333333333333</v>
      </c>
      <c r="AF144" s="4">
        <f t="shared" si="70"/>
        <v>-150</v>
      </c>
      <c r="AG144" s="4">
        <f t="shared" si="70"/>
        <v>-450</v>
      </c>
      <c r="AH144" s="4">
        <f t="shared" si="70"/>
        <v>-450</v>
      </c>
      <c r="AI144" s="4">
        <f t="shared" si="70"/>
        <v>-600</v>
      </c>
      <c r="AJ144" s="4">
        <f t="shared" si="70"/>
        <v>-150</v>
      </c>
      <c r="AK144" s="4">
        <f t="shared" si="70"/>
        <v>-600</v>
      </c>
      <c r="AL144" s="4">
        <f t="shared" si="70"/>
        <v>-1200</v>
      </c>
      <c r="AM144" s="4">
        <f t="shared" si="70"/>
        <v>-2250</v>
      </c>
      <c r="AN144" s="4">
        <f t="shared" si="70"/>
        <v>-2250</v>
      </c>
      <c r="AO144" s="4">
        <f t="shared" si="70"/>
        <v>-1350</v>
      </c>
      <c r="AP144" s="4">
        <f t="shared" si="70"/>
        <v>0</v>
      </c>
      <c r="AQ144" s="4">
        <f t="shared" si="70"/>
        <v>0</v>
      </c>
    </row>
    <row r="145" spans="1:55" x14ac:dyDescent="0.2">
      <c r="A145" t="s">
        <v>75</v>
      </c>
      <c r="C145" s="4">
        <f>SUM(C146:C151)</f>
        <v>-501.58</v>
      </c>
      <c r="D145" s="65">
        <f t="shared" ref="D145:AQ145" si="71">SUM(D146:D151)</f>
        <v>-501.58</v>
      </c>
      <c r="E145" s="65">
        <f t="shared" si="71"/>
        <v>-501.58</v>
      </c>
      <c r="F145" s="65">
        <f t="shared" si="71"/>
        <v>-501.58</v>
      </c>
      <c r="G145" s="65">
        <f t="shared" si="71"/>
        <v>-501.58</v>
      </c>
      <c r="H145" s="65">
        <f t="shared" si="71"/>
        <v>-501.58</v>
      </c>
      <c r="I145" s="65">
        <f t="shared" si="71"/>
        <v>-501.58</v>
      </c>
      <c r="J145" s="65">
        <f t="shared" si="71"/>
        <v>-501.58</v>
      </c>
      <c r="K145" s="65">
        <f t="shared" si="71"/>
        <v>-501.58</v>
      </c>
      <c r="L145" s="65">
        <f t="shared" si="71"/>
        <v>-501.58</v>
      </c>
      <c r="M145" s="65">
        <f t="shared" si="71"/>
        <v>-501.58</v>
      </c>
      <c r="N145" s="65">
        <f t="shared" si="71"/>
        <v>-501.58</v>
      </c>
      <c r="O145" s="65">
        <f t="shared" si="71"/>
        <v>-501.58</v>
      </c>
      <c r="P145" s="65">
        <f t="shared" si="71"/>
        <v>-501.58</v>
      </c>
      <c r="Q145" s="65">
        <f t="shared" si="71"/>
        <v>-501.58</v>
      </c>
      <c r="R145" s="65">
        <f t="shared" si="71"/>
        <v>-501.58</v>
      </c>
      <c r="S145" s="65">
        <f t="shared" si="71"/>
        <v>-501.58</v>
      </c>
      <c r="T145" s="65">
        <f t="shared" si="71"/>
        <v>-501.58</v>
      </c>
      <c r="U145" s="65">
        <f t="shared" si="71"/>
        <v>-501.58</v>
      </c>
      <c r="V145" s="65">
        <f t="shared" si="71"/>
        <v>-501.58</v>
      </c>
      <c r="W145" s="65">
        <f t="shared" si="71"/>
        <v>-501.58</v>
      </c>
      <c r="X145" s="65">
        <f t="shared" si="71"/>
        <v>-501.58</v>
      </c>
      <c r="Y145" s="65">
        <f t="shared" si="71"/>
        <v>-501.58</v>
      </c>
      <c r="Z145" s="65">
        <f t="shared" si="71"/>
        <v>-501.58</v>
      </c>
      <c r="AA145" s="65">
        <f t="shared" si="71"/>
        <v>-501.58</v>
      </c>
      <c r="AB145" s="65">
        <f t="shared" si="71"/>
        <v>-501.58</v>
      </c>
      <c r="AC145" s="65">
        <f t="shared" si="71"/>
        <v>-501.58</v>
      </c>
      <c r="AD145" s="65">
        <f t="shared" si="71"/>
        <v>-501.58</v>
      </c>
      <c r="AE145" s="65">
        <f t="shared" si="71"/>
        <v>-501.58</v>
      </c>
      <c r="AF145" s="65">
        <f t="shared" si="71"/>
        <v>-501.58</v>
      </c>
      <c r="AG145" s="65">
        <f t="shared" si="71"/>
        <v>-501.58</v>
      </c>
      <c r="AH145" s="65">
        <f t="shared" si="71"/>
        <v>-501.58</v>
      </c>
      <c r="AI145" s="65">
        <f t="shared" si="71"/>
        <v>-501.58</v>
      </c>
      <c r="AJ145" s="65">
        <f t="shared" si="71"/>
        <v>-501.58</v>
      </c>
      <c r="AK145" s="65">
        <f t="shared" si="71"/>
        <v>-501.58</v>
      </c>
      <c r="AL145" s="65">
        <f t="shared" si="71"/>
        <v>-501.58</v>
      </c>
      <c r="AM145" s="65">
        <f t="shared" si="71"/>
        <v>-501.58</v>
      </c>
      <c r="AN145" s="65">
        <f t="shared" si="71"/>
        <v>-501.58</v>
      </c>
      <c r="AO145" s="65">
        <f t="shared" si="71"/>
        <v>-501.58</v>
      </c>
      <c r="AP145" s="65">
        <f t="shared" si="71"/>
        <v>-501.58</v>
      </c>
      <c r="AQ145" s="65">
        <f t="shared" si="71"/>
        <v>-501.58</v>
      </c>
    </row>
    <row r="146" spans="1:55" s="75" customFormat="1" outlineLevel="1" x14ac:dyDescent="0.2">
      <c r="A146" s="74" t="s">
        <v>192</v>
      </c>
      <c r="C146" s="76">
        <f>-(cost!$E$45+cost!$E$46)/1000</f>
        <v>-364.28</v>
      </c>
      <c r="D146" s="174">
        <f>-(cost!$E$45+cost!$E$46)/1000</f>
        <v>-364.28</v>
      </c>
      <c r="E146" s="174">
        <f>-(cost!$E$45+cost!$E$46)/1000</f>
        <v>-364.28</v>
      </c>
      <c r="F146" s="174">
        <f>-(cost!$E$45+cost!$E$46)/1000</f>
        <v>-364.28</v>
      </c>
      <c r="G146" s="174">
        <f>-(cost!$E$45+cost!$E$46)/1000</f>
        <v>-364.28</v>
      </c>
      <c r="H146" s="174">
        <f>-(cost!$E$45+cost!$E$46)/1000</f>
        <v>-364.28</v>
      </c>
      <c r="I146" s="174">
        <f>-(cost!$E$45+cost!$E$46)/1000</f>
        <v>-364.28</v>
      </c>
      <c r="J146" s="174">
        <f>-(cost!$E$45+cost!$E$46)/1000</f>
        <v>-364.28</v>
      </c>
      <c r="K146" s="174">
        <f>-(cost!$E$45+cost!$E$46)/1000</f>
        <v>-364.28</v>
      </c>
      <c r="L146" s="174">
        <f>-(cost!$E$45+cost!$E$46)/1000</f>
        <v>-364.28</v>
      </c>
      <c r="M146" s="174">
        <f>-(cost!$E$45+cost!$E$46)/1000</f>
        <v>-364.28</v>
      </c>
      <c r="N146" s="174">
        <f>-(cost!$E$45+cost!$E$46)/1000</f>
        <v>-364.28</v>
      </c>
      <c r="O146" s="174">
        <f>-(cost!$E$45+cost!$E$46)/1000</f>
        <v>-364.28</v>
      </c>
      <c r="P146" s="174">
        <f>-(cost!$E$45+cost!$E$46)/1000</f>
        <v>-364.28</v>
      </c>
      <c r="Q146" s="174">
        <f>-(cost!$E$45+cost!$E$46)/1000</f>
        <v>-364.28</v>
      </c>
      <c r="R146" s="174">
        <f>-(cost!$E$45+cost!$E$46)/1000</f>
        <v>-364.28</v>
      </c>
      <c r="S146" s="174">
        <f>-(cost!$E$45+cost!$E$46)/1000</f>
        <v>-364.28</v>
      </c>
      <c r="T146" s="174">
        <f>-(cost!$E$45+cost!$E$46)/1000</f>
        <v>-364.28</v>
      </c>
      <c r="U146" s="174">
        <f>-(cost!$E$45+cost!$E$46)/1000</f>
        <v>-364.28</v>
      </c>
      <c r="V146" s="174">
        <f>-(cost!$E$45+cost!$E$46)/1000</f>
        <v>-364.28</v>
      </c>
      <c r="W146" s="174">
        <f>-(cost!$E$45+cost!$E$46)/1000</f>
        <v>-364.28</v>
      </c>
      <c r="X146" s="174">
        <f>-(cost!$E$45+cost!$E$46)/1000</f>
        <v>-364.28</v>
      </c>
      <c r="Y146" s="174">
        <f>-(cost!$E$45+cost!$E$46)/1000</f>
        <v>-364.28</v>
      </c>
      <c r="Z146" s="174">
        <f>-(cost!$E$45+cost!$E$46)/1000</f>
        <v>-364.28</v>
      </c>
      <c r="AA146" s="174">
        <f>-(cost!$E$45+cost!$E$46)/1000</f>
        <v>-364.28</v>
      </c>
      <c r="AB146" s="174">
        <f>-(cost!$E$45+cost!$E$46)/1000</f>
        <v>-364.28</v>
      </c>
      <c r="AC146" s="174">
        <f>-(cost!$E$45+cost!$E$46)/1000</f>
        <v>-364.28</v>
      </c>
      <c r="AD146" s="174">
        <f>-(cost!$E$45+cost!$E$46)/1000</f>
        <v>-364.28</v>
      </c>
      <c r="AE146" s="174">
        <f>-(cost!$E$45+cost!$E$46)/1000</f>
        <v>-364.28</v>
      </c>
      <c r="AF146" s="174">
        <f>-(cost!$E$45+cost!$E$46)/1000</f>
        <v>-364.28</v>
      </c>
      <c r="AG146" s="174">
        <f>-(cost!$E$45+cost!$E$46)/1000</f>
        <v>-364.28</v>
      </c>
      <c r="AH146" s="174">
        <f>-(cost!$E$45+cost!$E$46)/1000</f>
        <v>-364.28</v>
      </c>
      <c r="AI146" s="174">
        <f>-(cost!$E$45+cost!$E$46)/1000</f>
        <v>-364.28</v>
      </c>
      <c r="AJ146" s="174">
        <f>-(cost!$E$45+cost!$E$46)/1000</f>
        <v>-364.28</v>
      </c>
      <c r="AK146" s="174">
        <f>-(cost!$E$45+cost!$E$46)/1000</f>
        <v>-364.28</v>
      </c>
      <c r="AL146" s="174">
        <f>-(cost!$E$45+cost!$E$46)/1000</f>
        <v>-364.28</v>
      </c>
      <c r="AM146" s="174">
        <f>-(cost!$E$45+cost!$E$46)/1000</f>
        <v>-364.28</v>
      </c>
      <c r="AN146" s="174">
        <f>-(cost!$E$45+cost!$E$46)/1000</f>
        <v>-364.28</v>
      </c>
      <c r="AO146" s="174">
        <f>-(cost!$E$45+cost!$E$46)/1000</f>
        <v>-364.28</v>
      </c>
      <c r="AP146" s="174">
        <f>-(cost!$E$45+cost!$E$46)/1000</f>
        <v>-364.28</v>
      </c>
      <c r="AQ146" s="174">
        <f>-(cost!$E$45+cost!$E$46)/1000</f>
        <v>-364.28</v>
      </c>
      <c r="AR146"/>
      <c r="AS146"/>
      <c r="AT146"/>
      <c r="AU146"/>
      <c r="AV146"/>
      <c r="AW146"/>
      <c r="AX146"/>
      <c r="AY146"/>
      <c r="AZ146"/>
      <c r="BA146"/>
      <c r="BB146"/>
      <c r="BC146"/>
    </row>
    <row r="147" spans="1:55" s="75" customFormat="1" outlineLevel="1" x14ac:dyDescent="0.2">
      <c r="A147" s="74" t="s">
        <v>174</v>
      </c>
      <c r="C147" s="76">
        <f>-cost!$E$53/1000</f>
        <v>-60</v>
      </c>
      <c r="D147" s="174">
        <f>-cost!$E$53/1000</f>
        <v>-60</v>
      </c>
      <c r="E147" s="174">
        <f>-cost!$E$53/1000</f>
        <v>-60</v>
      </c>
      <c r="F147" s="174">
        <f>-cost!$E$53/1000</f>
        <v>-60</v>
      </c>
      <c r="G147" s="174">
        <f>-cost!$E$53/1000</f>
        <v>-60</v>
      </c>
      <c r="H147" s="174">
        <f>-cost!$E$53/1000</f>
        <v>-60</v>
      </c>
      <c r="I147" s="174">
        <f>-cost!$E$53/1000</f>
        <v>-60</v>
      </c>
      <c r="J147" s="174">
        <f>-cost!$E$53/1000</f>
        <v>-60</v>
      </c>
      <c r="K147" s="174">
        <f>-cost!$E$53/1000</f>
        <v>-60</v>
      </c>
      <c r="L147" s="174">
        <f>-cost!$E$53/1000</f>
        <v>-60</v>
      </c>
      <c r="M147" s="174">
        <f>-cost!$E$53/1000</f>
        <v>-60</v>
      </c>
      <c r="N147" s="174">
        <f>-cost!$E$53/1000</f>
        <v>-60</v>
      </c>
      <c r="O147" s="174">
        <f>-cost!$E$53/1000</f>
        <v>-60</v>
      </c>
      <c r="P147" s="174">
        <f>-cost!$E$53/1000</f>
        <v>-60</v>
      </c>
      <c r="Q147" s="174">
        <f>-cost!$E$53/1000</f>
        <v>-60</v>
      </c>
      <c r="R147" s="174">
        <f>-cost!$E$53/1000</f>
        <v>-60</v>
      </c>
      <c r="S147" s="174">
        <f>-cost!$E$53/1000</f>
        <v>-60</v>
      </c>
      <c r="T147" s="174">
        <f>-cost!$E$53/1000</f>
        <v>-60</v>
      </c>
      <c r="U147" s="174">
        <f>-cost!$E$53/1000</f>
        <v>-60</v>
      </c>
      <c r="V147" s="174">
        <f>-cost!$E$53/1000</f>
        <v>-60</v>
      </c>
      <c r="W147" s="174">
        <f>-cost!$E$53/1000</f>
        <v>-60</v>
      </c>
      <c r="X147" s="174">
        <f>-cost!$E$53/1000</f>
        <v>-60</v>
      </c>
      <c r="Y147" s="174">
        <f>-cost!$E$53/1000</f>
        <v>-60</v>
      </c>
      <c r="Z147" s="174">
        <f>-cost!$E$53/1000</f>
        <v>-60</v>
      </c>
      <c r="AA147" s="174">
        <f>-cost!$E$53/1000</f>
        <v>-60</v>
      </c>
      <c r="AB147" s="174">
        <f>-cost!$E$53/1000</f>
        <v>-60</v>
      </c>
      <c r="AC147" s="174">
        <f>-cost!$E$53/1000</f>
        <v>-60</v>
      </c>
      <c r="AD147" s="174">
        <f>-cost!$E$53/1000</f>
        <v>-60</v>
      </c>
      <c r="AE147" s="174">
        <f>-cost!$E$53/1000</f>
        <v>-60</v>
      </c>
      <c r="AF147" s="174">
        <f>-cost!$E$53/1000</f>
        <v>-60</v>
      </c>
      <c r="AG147" s="174">
        <f>-cost!$E$53/1000</f>
        <v>-60</v>
      </c>
      <c r="AH147" s="174">
        <f>-cost!$E$53/1000</f>
        <v>-60</v>
      </c>
      <c r="AI147" s="174">
        <f>-cost!$E$53/1000</f>
        <v>-60</v>
      </c>
      <c r="AJ147" s="174">
        <f>-cost!$E$53/1000</f>
        <v>-60</v>
      </c>
      <c r="AK147" s="174">
        <f>-cost!$E$53/1000</f>
        <v>-60</v>
      </c>
      <c r="AL147" s="174">
        <f>-cost!$E$53/1000</f>
        <v>-60</v>
      </c>
      <c r="AM147" s="174">
        <f>-cost!$E$53/1000</f>
        <v>-60</v>
      </c>
      <c r="AN147" s="174">
        <f>-cost!$E$53/1000</f>
        <v>-60</v>
      </c>
      <c r="AO147" s="174">
        <f>-cost!$E$53/1000</f>
        <v>-60</v>
      </c>
      <c r="AP147" s="174">
        <f>-cost!$E$53/1000</f>
        <v>-60</v>
      </c>
      <c r="AQ147" s="174">
        <f>-cost!$E$53/1000</f>
        <v>-60</v>
      </c>
      <c r="AR147"/>
      <c r="AS147"/>
      <c r="AT147"/>
      <c r="AU147"/>
      <c r="AV147"/>
      <c r="AW147"/>
      <c r="AX147"/>
      <c r="AY147"/>
      <c r="AZ147"/>
      <c r="BA147"/>
      <c r="BB147"/>
      <c r="BC147"/>
    </row>
    <row r="148" spans="1:55" s="75" customFormat="1" outlineLevel="1" x14ac:dyDescent="0.2">
      <c r="A148" s="74" t="s">
        <v>79</v>
      </c>
      <c r="C148" s="76">
        <f>-cost!$E$52/1000</f>
        <v>-30</v>
      </c>
      <c r="D148" s="174">
        <f>-cost!$E$52/1000</f>
        <v>-30</v>
      </c>
      <c r="E148" s="174">
        <f>-cost!$E$52/1000</f>
        <v>-30</v>
      </c>
      <c r="F148" s="174">
        <f>-cost!$E$52/1000</f>
        <v>-30</v>
      </c>
      <c r="G148" s="174">
        <f>-cost!$E$52/1000</f>
        <v>-30</v>
      </c>
      <c r="H148" s="174">
        <f>-cost!$E$52/1000</f>
        <v>-30</v>
      </c>
      <c r="I148" s="174">
        <f>-cost!$E$52/1000</f>
        <v>-30</v>
      </c>
      <c r="J148" s="174">
        <f>-cost!$E$52/1000</f>
        <v>-30</v>
      </c>
      <c r="K148" s="174">
        <f>-cost!$E$52/1000</f>
        <v>-30</v>
      </c>
      <c r="L148" s="174">
        <f>-cost!$E$52/1000</f>
        <v>-30</v>
      </c>
      <c r="M148" s="174">
        <f>-cost!$E$52/1000</f>
        <v>-30</v>
      </c>
      <c r="N148" s="174">
        <f>-cost!$E$52/1000</f>
        <v>-30</v>
      </c>
      <c r="O148" s="174">
        <f>-cost!$E$52/1000</f>
        <v>-30</v>
      </c>
      <c r="P148" s="174">
        <f>-cost!$E$52/1000</f>
        <v>-30</v>
      </c>
      <c r="Q148" s="174">
        <f>-cost!$E$52/1000</f>
        <v>-30</v>
      </c>
      <c r="R148" s="174">
        <f>-cost!$E$52/1000</f>
        <v>-30</v>
      </c>
      <c r="S148" s="174">
        <f>-cost!$E$52/1000</f>
        <v>-30</v>
      </c>
      <c r="T148" s="174">
        <f>-cost!$E$52/1000</f>
        <v>-30</v>
      </c>
      <c r="U148" s="174">
        <f>-cost!$E$52/1000</f>
        <v>-30</v>
      </c>
      <c r="V148" s="174">
        <f>-cost!$E$52/1000</f>
        <v>-30</v>
      </c>
      <c r="W148" s="174">
        <f>-cost!$E$52/1000</f>
        <v>-30</v>
      </c>
      <c r="X148" s="174">
        <f>-cost!$E$52/1000</f>
        <v>-30</v>
      </c>
      <c r="Y148" s="174">
        <f>-cost!$E$52/1000</f>
        <v>-30</v>
      </c>
      <c r="Z148" s="174">
        <f>-cost!$E$52/1000</f>
        <v>-30</v>
      </c>
      <c r="AA148" s="174">
        <f>-cost!$E$52/1000</f>
        <v>-30</v>
      </c>
      <c r="AB148" s="174">
        <f>-cost!$E$52/1000</f>
        <v>-30</v>
      </c>
      <c r="AC148" s="174">
        <f>-cost!$E$52/1000</f>
        <v>-30</v>
      </c>
      <c r="AD148" s="174">
        <f>-cost!$E$52/1000</f>
        <v>-30</v>
      </c>
      <c r="AE148" s="174">
        <f>-cost!$E$52/1000</f>
        <v>-30</v>
      </c>
      <c r="AF148" s="174">
        <f>-cost!$E$52/1000</f>
        <v>-30</v>
      </c>
      <c r="AG148" s="174">
        <f>-cost!$E$52/1000</f>
        <v>-30</v>
      </c>
      <c r="AH148" s="174">
        <f>-cost!$E$52/1000</f>
        <v>-30</v>
      </c>
      <c r="AI148" s="174">
        <f>-cost!$E$52/1000</f>
        <v>-30</v>
      </c>
      <c r="AJ148" s="174">
        <f>-cost!$E$52/1000</f>
        <v>-30</v>
      </c>
      <c r="AK148" s="174">
        <f>-cost!$E$52/1000</f>
        <v>-30</v>
      </c>
      <c r="AL148" s="174">
        <f>-cost!$E$52/1000</f>
        <v>-30</v>
      </c>
      <c r="AM148" s="174">
        <f>-cost!$E$52/1000</f>
        <v>-30</v>
      </c>
      <c r="AN148" s="174">
        <f>-cost!$E$52/1000</f>
        <v>-30</v>
      </c>
      <c r="AO148" s="174">
        <f>-cost!$E$52/1000</f>
        <v>-30</v>
      </c>
      <c r="AP148" s="174">
        <f>-cost!$E$52/1000</f>
        <v>-30</v>
      </c>
      <c r="AQ148" s="174">
        <f>-cost!$E$52/1000</f>
        <v>-30</v>
      </c>
      <c r="AR148"/>
      <c r="AS148"/>
      <c r="AT148"/>
      <c r="AU148"/>
      <c r="AV148"/>
      <c r="AW148"/>
      <c r="AX148"/>
      <c r="AY148"/>
      <c r="AZ148"/>
      <c r="BA148"/>
      <c r="BB148"/>
      <c r="BC148"/>
    </row>
    <row r="149" spans="1:55" s="75" customFormat="1" outlineLevel="1" x14ac:dyDescent="0.2">
      <c r="A149" s="74" t="s">
        <v>136</v>
      </c>
      <c r="C149" s="76">
        <f>-cost!$E$54/1000</f>
        <v>-30</v>
      </c>
      <c r="D149" s="174">
        <f>-cost!$E$54/1000</f>
        <v>-30</v>
      </c>
      <c r="E149" s="174">
        <f>-cost!$E$54/1000</f>
        <v>-30</v>
      </c>
      <c r="F149" s="174">
        <f>-cost!$E$54/1000</f>
        <v>-30</v>
      </c>
      <c r="G149" s="174">
        <f>-cost!$E$54/1000</f>
        <v>-30</v>
      </c>
      <c r="H149" s="174">
        <f>-cost!$E$54/1000</f>
        <v>-30</v>
      </c>
      <c r="I149" s="174">
        <f>-cost!$E$54/1000</f>
        <v>-30</v>
      </c>
      <c r="J149" s="174">
        <f>-cost!$E$54/1000</f>
        <v>-30</v>
      </c>
      <c r="K149" s="174">
        <f>-cost!$E$54/1000</f>
        <v>-30</v>
      </c>
      <c r="L149" s="174">
        <f>-cost!$E$54/1000</f>
        <v>-30</v>
      </c>
      <c r="M149" s="174">
        <f>-cost!$E$54/1000</f>
        <v>-30</v>
      </c>
      <c r="N149" s="174">
        <f>-cost!$E$54/1000</f>
        <v>-30</v>
      </c>
      <c r="O149" s="174">
        <f>-cost!$E$54/1000</f>
        <v>-30</v>
      </c>
      <c r="P149" s="174">
        <f>-cost!$E$54/1000</f>
        <v>-30</v>
      </c>
      <c r="Q149" s="174">
        <f>-cost!$E$54/1000</f>
        <v>-30</v>
      </c>
      <c r="R149" s="174">
        <f>-cost!$E$54/1000</f>
        <v>-30</v>
      </c>
      <c r="S149" s="174">
        <f>-cost!$E$54/1000</f>
        <v>-30</v>
      </c>
      <c r="T149" s="174">
        <f>-cost!$E$54/1000</f>
        <v>-30</v>
      </c>
      <c r="U149" s="174">
        <f>-cost!$E$54/1000</f>
        <v>-30</v>
      </c>
      <c r="V149" s="174">
        <f>-cost!$E$54/1000</f>
        <v>-30</v>
      </c>
      <c r="W149" s="174">
        <f>-cost!$E$54/1000</f>
        <v>-30</v>
      </c>
      <c r="X149" s="174">
        <f>-cost!$E$54/1000</f>
        <v>-30</v>
      </c>
      <c r="Y149" s="174">
        <f>-cost!$E$54/1000</f>
        <v>-30</v>
      </c>
      <c r="Z149" s="174">
        <f>-cost!$E$54/1000</f>
        <v>-30</v>
      </c>
      <c r="AA149" s="174">
        <f>-cost!$E$54/1000</f>
        <v>-30</v>
      </c>
      <c r="AB149" s="174">
        <f>-cost!$E$54/1000</f>
        <v>-30</v>
      </c>
      <c r="AC149" s="174">
        <f>-cost!$E$54/1000</f>
        <v>-30</v>
      </c>
      <c r="AD149" s="174">
        <f>-cost!$E$54/1000</f>
        <v>-30</v>
      </c>
      <c r="AE149" s="174">
        <f>-cost!$E$54/1000</f>
        <v>-30</v>
      </c>
      <c r="AF149" s="174">
        <f>-cost!$E$54/1000</f>
        <v>-30</v>
      </c>
      <c r="AG149" s="174">
        <f>-cost!$E$54/1000</f>
        <v>-30</v>
      </c>
      <c r="AH149" s="174">
        <f>-cost!$E$54/1000</f>
        <v>-30</v>
      </c>
      <c r="AI149" s="174">
        <f>-cost!$E$54/1000</f>
        <v>-30</v>
      </c>
      <c r="AJ149" s="174">
        <f>-cost!$E$54/1000</f>
        <v>-30</v>
      </c>
      <c r="AK149" s="174">
        <f>-cost!$E$54/1000</f>
        <v>-30</v>
      </c>
      <c r="AL149" s="174">
        <f>-cost!$E$54/1000</f>
        <v>-30</v>
      </c>
      <c r="AM149" s="174">
        <f>-cost!$E$54/1000</f>
        <v>-30</v>
      </c>
      <c r="AN149" s="174">
        <f>-cost!$E$54/1000</f>
        <v>-30</v>
      </c>
      <c r="AO149" s="174">
        <f>-cost!$E$54/1000</f>
        <v>-30</v>
      </c>
      <c r="AP149" s="174">
        <f>-cost!$E$54/1000</f>
        <v>-30</v>
      </c>
      <c r="AQ149" s="174">
        <f>-cost!$E$54/1000</f>
        <v>-30</v>
      </c>
      <c r="AR149"/>
      <c r="AS149"/>
      <c r="AT149"/>
      <c r="AU149"/>
      <c r="AV149"/>
      <c r="AW149"/>
      <c r="AX149"/>
      <c r="AY149"/>
      <c r="AZ149"/>
      <c r="BA149"/>
      <c r="BB149"/>
      <c r="BC149"/>
    </row>
    <row r="150" spans="1:55" s="75" customFormat="1" outlineLevel="1" x14ac:dyDescent="0.2">
      <c r="A150" s="74" t="s">
        <v>80</v>
      </c>
      <c r="C150" s="76">
        <f>-cost!$E$50/1000</f>
        <v>-9.6</v>
      </c>
      <c r="D150" s="174">
        <f>-cost!$E$50/1000</f>
        <v>-9.6</v>
      </c>
      <c r="E150" s="174">
        <f>-cost!$E$50/1000</f>
        <v>-9.6</v>
      </c>
      <c r="F150" s="174">
        <f>-cost!$E$50/1000</f>
        <v>-9.6</v>
      </c>
      <c r="G150" s="174">
        <f>-cost!$E$50/1000</f>
        <v>-9.6</v>
      </c>
      <c r="H150" s="174">
        <f>-cost!$E$50/1000</f>
        <v>-9.6</v>
      </c>
      <c r="I150" s="174">
        <f>-cost!$E$50/1000</f>
        <v>-9.6</v>
      </c>
      <c r="J150" s="174">
        <f>-cost!$E$50/1000</f>
        <v>-9.6</v>
      </c>
      <c r="K150" s="174">
        <f>-cost!$E$50/1000</f>
        <v>-9.6</v>
      </c>
      <c r="L150" s="174">
        <f>-cost!$E$50/1000</f>
        <v>-9.6</v>
      </c>
      <c r="M150" s="174">
        <f>-cost!$E$50/1000</f>
        <v>-9.6</v>
      </c>
      <c r="N150" s="174">
        <f>-cost!$E$50/1000</f>
        <v>-9.6</v>
      </c>
      <c r="O150" s="174">
        <f>-cost!$E$50/1000</f>
        <v>-9.6</v>
      </c>
      <c r="P150" s="174">
        <f>-cost!$E$50/1000</f>
        <v>-9.6</v>
      </c>
      <c r="Q150" s="174">
        <f>-cost!$E$50/1000</f>
        <v>-9.6</v>
      </c>
      <c r="R150" s="174">
        <f>-cost!$E$50/1000</f>
        <v>-9.6</v>
      </c>
      <c r="S150" s="174">
        <f>-cost!$E$50/1000</f>
        <v>-9.6</v>
      </c>
      <c r="T150" s="174">
        <f>-cost!$E$50/1000</f>
        <v>-9.6</v>
      </c>
      <c r="U150" s="174">
        <f>-cost!$E$50/1000</f>
        <v>-9.6</v>
      </c>
      <c r="V150" s="174">
        <f>-cost!$E$50/1000</f>
        <v>-9.6</v>
      </c>
      <c r="W150" s="174">
        <f>-cost!$E$50/1000</f>
        <v>-9.6</v>
      </c>
      <c r="X150" s="174">
        <f>-cost!$E$50/1000</f>
        <v>-9.6</v>
      </c>
      <c r="Y150" s="174">
        <f>-cost!$E$50/1000</f>
        <v>-9.6</v>
      </c>
      <c r="Z150" s="174">
        <f>-cost!$E$50/1000</f>
        <v>-9.6</v>
      </c>
      <c r="AA150" s="174">
        <f>-cost!$E$50/1000</f>
        <v>-9.6</v>
      </c>
      <c r="AB150" s="174">
        <f>-cost!$E$50/1000</f>
        <v>-9.6</v>
      </c>
      <c r="AC150" s="174">
        <f>-cost!$E$50/1000</f>
        <v>-9.6</v>
      </c>
      <c r="AD150" s="174">
        <f>-cost!$E$50/1000</f>
        <v>-9.6</v>
      </c>
      <c r="AE150" s="174">
        <f>-cost!$E$50/1000</f>
        <v>-9.6</v>
      </c>
      <c r="AF150" s="174">
        <f>-cost!$E$50/1000</f>
        <v>-9.6</v>
      </c>
      <c r="AG150" s="174">
        <f>-cost!$E$50/1000</f>
        <v>-9.6</v>
      </c>
      <c r="AH150" s="174">
        <f>-cost!$E$50/1000</f>
        <v>-9.6</v>
      </c>
      <c r="AI150" s="174">
        <f>-cost!$E$50/1000</f>
        <v>-9.6</v>
      </c>
      <c r="AJ150" s="174">
        <f>-cost!$E$50/1000</f>
        <v>-9.6</v>
      </c>
      <c r="AK150" s="174">
        <f>-cost!$E$50/1000</f>
        <v>-9.6</v>
      </c>
      <c r="AL150" s="174">
        <f>-cost!$E$50/1000</f>
        <v>-9.6</v>
      </c>
      <c r="AM150" s="174">
        <f>-cost!$E$50/1000</f>
        <v>-9.6</v>
      </c>
      <c r="AN150" s="174">
        <f>-cost!$E$50/1000</f>
        <v>-9.6</v>
      </c>
      <c r="AO150" s="174">
        <f>-cost!$E$50/1000</f>
        <v>-9.6</v>
      </c>
      <c r="AP150" s="174">
        <f>-cost!$E$50/1000</f>
        <v>-9.6</v>
      </c>
      <c r="AQ150" s="174">
        <f>-cost!$E$50/1000</f>
        <v>-9.6</v>
      </c>
      <c r="AR150"/>
      <c r="AS150"/>
      <c r="AT150"/>
      <c r="AU150"/>
      <c r="AV150"/>
      <c r="AW150"/>
      <c r="AX150"/>
      <c r="AY150"/>
      <c r="AZ150"/>
      <c r="BA150"/>
      <c r="BB150"/>
      <c r="BC150"/>
    </row>
    <row r="151" spans="1:55" s="75" customFormat="1" outlineLevel="1" x14ac:dyDescent="0.2">
      <c r="A151" s="74" t="s">
        <v>164</v>
      </c>
      <c r="C151" s="76">
        <f>-cost!$E$55/1000</f>
        <v>-7.7</v>
      </c>
      <c r="D151" s="174">
        <f>-cost!$E$55/1000</f>
        <v>-7.7</v>
      </c>
      <c r="E151" s="174">
        <f>-cost!$E$55/1000</f>
        <v>-7.7</v>
      </c>
      <c r="F151" s="174">
        <f>-cost!$E$55/1000</f>
        <v>-7.7</v>
      </c>
      <c r="G151" s="174">
        <f>-cost!$E$55/1000</f>
        <v>-7.7</v>
      </c>
      <c r="H151" s="174">
        <f>-cost!$E$55/1000</f>
        <v>-7.7</v>
      </c>
      <c r="I151" s="174">
        <f>-cost!$E$55/1000</f>
        <v>-7.7</v>
      </c>
      <c r="J151" s="174">
        <f>-cost!$E$55/1000</f>
        <v>-7.7</v>
      </c>
      <c r="K151" s="174">
        <f>-cost!$E$55/1000</f>
        <v>-7.7</v>
      </c>
      <c r="L151" s="174">
        <f>-cost!$E$55/1000</f>
        <v>-7.7</v>
      </c>
      <c r="M151" s="174">
        <f>-cost!$E$55/1000</f>
        <v>-7.7</v>
      </c>
      <c r="N151" s="174">
        <f>-cost!$E$55/1000</f>
        <v>-7.7</v>
      </c>
      <c r="O151" s="174">
        <f>-cost!$E$55/1000</f>
        <v>-7.7</v>
      </c>
      <c r="P151" s="174">
        <f>-cost!$E$55/1000</f>
        <v>-7.7</v>
      </c>
      <c r="Q151" s="174">
        <f>-cost!$E$55/1000</f>
        <v>-7.7</v>
      </c>
      <c r="R151" s="174">
        <f>-cost!$E$55/1000</f>
        <v>-7.7</v>
      </c>
      <c r="S151" s="174">
        <f>-cost!$E$55/1000</f>
        <v>-7.7</v>
      </c>
      <c r="T151" s="174">
        <f>-cost!$E$55/1000</f>
        <v>-7.7</v>
      </c>
      <c r="U151" s="174">
        <f>-cost!$E$55/1000</f>
        <v>-7.7</v>
      </c>
      <c r="V151" s="174">
        <f>-cost!$E$55/1000</f>
        <v>-7.7</v>
      </c>
      <c r="W151" s="174">
        <f>-cost!$E$55/1000</f>
        <v>-7.7</v>
      </c>
      <c r="X151" s="174">
        <f>-cost!$E$55/1000</f>
        <v>-7.7</v>
      </c>
      <c r="Y151" s="174">
        <f>-cost!$E$55/1000</f>
        <v>-7.7</v>
      </c>
      <c r="Z151" s="174">
        <f>-cost!$E$55/1000</f>
        <v>-7.7</v>
      </c>
      <c r="AA151" s="174">
        <f>-cost!$E$55/1000</f>
        <v>-7.7</v>
      </c>
      <c r="AB151" s="174">
        <f>-cost!$E$55/1000</f>
        <v>-7.7</v>
      </c>
      <c r="AC151" s="174">
        <f>-cost!$E$55/1000</f>
        <v>-7.7</v>
      </c>
      <c r="AD151" s="174">
        <f>-cost!$E$55/1000</f>
        <v>-7.7</v>
      </c>
      <c r="AE151" s="174">
        <f>-cost!$E$55/1000</f>
        <v>-7.7</v>
      </c>
      <c r="AF151" s="174">
        <f>-cost!$E$55/1000</f>
        <v>-7.7</v>
      </c>
      <c r="AG151" s="174">
        <f>-cost!$E$55/1000</f>
        <v>-7.7</v>
      </c>
      <c r="AH151" s="174">
        <f>-cost!$E$55/1000</f>
        <v>-7.7</v>
      </c>
      <c r="AI151" s="174">
        <f>-cost!$E$55/1000</f>
        <v>-7.7</v>
      </c>
      <c r="AJ151" s="174">
        <f>-cost!$E$55/1000</f>
        <v>-7.7</v>
      </c>
      <c r="AK151" s="174">
        <f>-cost!$E$55/1000</f>
        <v>-7.7</v>
      </c>
      <c r="AL151" s="174">
        <f>-cost!$E$55/1000</f>
        <v>-7.7</v>
      </c>
      <c r="AM151" s="174">
        <f>-cost!$E$55/1000</f>
        <v>-7.7</v>
      </c>
      <c r="AN151" s="174">
        <f>-cost!$E$55/1000</f>
        <v>-7.7</v>
      </c>
      <c r="AO151" s="174">
        <f>-cost!$E$55/1000</f>
        <v>-7.7</v>
      </c>
      <c r="AP151" s="174">
        <f>-cost!$E$55/1000</f>
        <v>-7.7</v>
      </c>
      <c r="AQ151" s="174">
        <f>-cost!$E$55/1000</f>
        <v>-7.7</v>
      </c>
      <c r="AR151"/>
      <c r="AS151"/>
      <c r="AT151"/>
      <c r="AU151"/>
      <c r="AV151"/>
      <c r="AW151"/>
      <c r="AX151"/>
      <c r="AY151"/>
      <c r="AZ151"/>
      <c r="BA151"/>
      <c r="BB151"/>
      <c r="BC151"/>
    </row>
    <row r="152" spans="1:55" x14ac:dyDescent="0.2">
      <c r="A152" t="s">
        <v>175</v>
      </c>
      <c r="C152" s="4">
        <f t="shared" ref="C152:AQ152" si="72">C101</f>
        <v>-109.75259999999999</v>
      </c>
      <c r="D152" s="65">
        <f t="shared" si="72"/>
        <v>-109.75259999999999</v>
      </c>
      <c r="E152" s="65">
        <f t="shared" si="72"/>
        <v>-162.55259999999996</v>
      </c>
      <c r="F152" s="65">
        <f t="shared" si="72"/>
        <v>-109.75259999999999</v>
      </c>
      <c r="G152" s="65">
        <f t="shared" si="72"/>
        <v>-109.75259999999999</v>
      </c>
      <c r="H152" s="65">
        <f t="shared" si="72"/>
        <v>-162.55259999999996</v>
      </c>
      <c r="I152" s="65">
        <f t="shared" si="72"/>
        <v>-109.75259999999999</v>
      </c>
      <c r="J152" s="65">
        <f t="shared" si="72"/>
        <v>-109.75259999999999</v>
      </c>
      <c r="K152" s="65">
        <f t="shared" si="72"/>
        <v>-162.55259999999996</v>
      </c>
      <c r="L152" s="65">
        <f t="shared" si="72"/>
        <v>-109.75259999999999</v>
      </c>
      <c r="M152" s="65">
        <f t="shared" si="72"/>
        <v>-109.75259999999999</v>
      </c>
      <c r="N152" s="65">
        <f t="shared" si="72"/>
        <v>-162.55259999999996</v>
      </c>
      <c r="O152" s="65">
        <f t="shared" si="72"/>
        <v>-109.75259999999999</v>
      </c>
      <c r="P152" s="65">
        <f t="shared" si="72"/>
        <v>-109.75259999999999</v>
      </c>
      <c r="Q152" s="65">
        <f t="shared" si="72"/>
        <v>-162.55259999999996</v>
      </c>
      <c r="R152" s="65">
        <f t="shared" si="72"/>
        <v>-109.75259999999999</v>
      </c>
      <c r="S152" s="65">
        <f t="shared" si="72"/>
        <v>-109.75259999999999</v>
      </c>
      <c r="T152" s="65">
        <f t="shared" si="72"/>
        <v>-162.55259999999996</v>
      </c>
      <c r="U152" s="65">
        <f t="shared" si="72"/>
        <v>-109.75259999999999</v>
      </c>
      <c r="V152" s="65">
        <f t="shared" si="72"/>
        <v>-109.75259999999999</v>
      </c>
      <c r="W152" s="65">
        <f t="shared" si="72"/>
        <v>-162.55259999999996</v>
      </c>
      <c r="X152" s="65">
        <f t="shared" si="72"/>
        <v>-109.75259999999999</v>
      </c>
      <c r="Y152" s="65">
        <f t="shared" si="72"/>
        <v>-109.75259999999999</v>
      </c>
      <c r="Z152" s="65">
        <f t="shared" si="72"/>
        <v>-162.55259999999996</v>
      </c>
      <c r="AA152" s="65">
        <f t="shared" si="72"/>
        <v>-109.75259999999999</v>
      </c>
      <c r="AB152" s="65">
        <f t="shared" si="72"/>
        <v>-109.75259999999999</v>
      </c>
      <c r="AC152" s="65">
        <f t="shared" si="72"/>
        <v>-162.55259999999996</v>
      </c>
      <c r="AD152" s="65">
        <f t="shared" si="72"/>
        <v>-109.75259999999999</v>
      </c>
      <c r="AE152" s="65">
        <f t="shared" si="72"/>
        <v>-109.75259999999999</v>
      </c>
      <c r="AF152" s="65">
        <f t="shared" si="72"/>
        <v>-162.55259999999996</v>
      </c>
      <c r="AG152" s="65">
        <f t="shared" si="72"/>
        <v>-109.75259999999999</v>
      </c>
      <c r="AH152" s="65">
        <f t="shared" si="72"/>
        <v>-109.75259999999999</v>
      </c>
      <c r="AI152" s="65">
        <f t="shared" si="72"/>
        <v>-162.55259999999996</v>
      </c>
      <c r="AJ152" s="65">
        <f t="shared" si="72"/>
        <v>-109.75259999999999</v>
      </c>
      <c r="AK152" s="65">
        <f t="shared" si="72"/>
        <v>-109.75259999999999</v>
      </c>
      <c r="AL152" s="65">
        <f t="shared" si="72"/>
        <v>-162.55259999999996</v>
      </c>
      <c r="AM152" s="65">
        <f t="shared" si="72"/>
        <v>-109.75259999999999</v>
      </c>
      <c r="AN152" s="65">
        <f t="shared" si="72"/>
        <v>-109.75259999999999</v>
      </c>
      <c r="AO152" s="65">
        <f t="shared" si="72"/>
        <v>-162.55259999999996</v>
      </c>
      <c r="AP152" s="65">
        <f t="shared" si="72"/>
        <v>-109.75259999999999</v>
      </c>
      <c r="AQ152" s="65">
        <f t="shared" si="72"/>
        <v>-109.75259999999999</v>
      </c>
    </row>
    <row r="153" spans="1:55" x14ac:dyDescent="0.2">
      <c r="A153" t="s">
        <v>179</v>
      </c>
      <c r="C153" s="4">
        <f t="shared" ref="C153:AQ153" si="73">C117</f>
        <v>-252.7774</v>
      </c>
      <c r="D153" s="65">
        <f t="shared" si="73"/>
        <v>-252.7774</v>
      </c>
      <c r="E153" s="65">
        <f t="shared" si="73"/>
        <v>-252.7774</v>
      </c>
      <c r="F153" s="65">
        <f t="shared" si="73"/>
        <v>-252.7774</v>
      </c>
      <c r="G153" s="65">
        <f t="shared" si="73"/>
        <v>-252.7774</v>
      </c>
      <c r="H153" s="65">
        <f t="shared" si="73"/>
        <v>-252.7774</v>
      </c>
      <c r="I153" s="65">
        <f t="shared" si="73"/>
        <v>-252.7774</v>
      </c>
      <c r="J153" s="65">
        <f t="shared" si="73"/>
        <v>-252.7774</v>
      </c>
      <c r="K153" s="65">
        <f t="shared" si="73"/>
        <v>-252.7774</v>
      </c>
      <c r="L153" s="65">
        <f t="shared" si="73"/>
        <v>-252.7774</v>
      </c>
      <c r="M153" s="65">
        <f t="shared" si="73"/>
        <v>-252.7774</v>
      </c>
      <c r="N153" s="65">
        <f t="shared" si="73"/>
        <v>-252.7774</v>
      </c>
      <c r="O153" s="65">
        <f t="shared" si="73"/>
        <v>-252.7774</v>
      </c>
      <c r="P153" s="65">
        <f t="shared" si="73"/>
        <v>-252.7774</v>
      </c>
      <c r="Q153" s="65">
        <f t="shared" si="73"/>
        <v>-252.7774</v>
      </c>
      <c r="R153" s="65">
        <f t="shared" si="73"/>
        <v>-252.7774</v>
      </c>
      <c r="S153" s="65">
        <f t="shared" si="73"/>
        <v>-252.7774</v>
      </c>
      <c r="T153" s="65">
        <f t="shared" si="73"/>
        <v>-252.7774</v>
      </c>
      <c r="U153" s="65">
        <f t="shared" si="73"/>
        <v>-252.7774</v>
      </c>
      <c r="V153" s="65">
        <f t="shared" si="73"/>
        <v>-252.7774</v>
      </c>
      <c r="W153" s="65">
        <f t="shared" si="73"/>
        <v>-252.7774</v>
      </c>
      <c r="X153" s="65">
        <f t="shared" si="73"/>
        <v>-252.7774</v>
      </c>
      <c r="Y153" s="65">
        <f t="shared" si="73"/>
        <v>-252.7774</v>
      </c>
      <c r="Z153" s="65">
        <f t="shared" si="73"/>
        <v>-252.7774</v>
      </c>
      <c r="AA153" s="65">
        <f t="shared" si="73"/>
        <v>-252.7774</v>
      </c>
      <c r="AB153" s="65">
        <f t="shared" si="73"/>
        <v>-252.7774</v>
      </c>
      <c r="AC153" s="65">
        <f t="shared" si="73"/>
        <v>-252.7774</v>
      </c>
      <c r="AD153" s="65">
        <f t="shared" si="73"/>
        <v>-252.7774</v>
      </c>
      <c r="AE153" s="65">
        <f t="shared" si="73"/>
        <v>-252.7774</v>
      </c>
      <c r="AF153" s="65">
        <f t="shared" si="73"/>
        <v>-252.7774</v>
      </c>
      <c r="AG153" s="65">
        <f t="shared" si="73"/>
        <v>-252.7774</v>
      </c>
      <c r="AH153" s="65">
        <f t="shared" si="73"/>
        <v>-252.7774</v>
      </c>
      <c r="AI153" s="65">
        <f t="shared" si="73"/>
        <v>-252.7774</v>
      </c>
      <c r="AJ153" s="65">
        <f t="shared" si="73"/>
        <v>-252.7774</v>
      </c>
      <c r="AK153" s="65">
        <f t="shared" si="73"/>
        <v>-252.7774</v>
      </c>
      <c r="AL153" s="65">
        <f t="shared" si="73"/>
        <v>-252.7774</v>
      </c>
      <c r="AM153" s="65">
        <f t="shared" si="73"/>
        <v>-252.7774</v>
      </c>
      <c r="AN153" s="65">
        <f t="shared" si="73"/>
        <v>-252.7774</v>
      </c>
      <c r="AO153" s="65">
        <f t="shared" si="73"/>
        <v>-252.7774</v>
      </c>
      <c r="AP153" s="65">
        <f t="shared" si="73"/>
        <v>-252.7774</v>
      </c>
      <c r="AQ153" s="65">
        <f t="shared" si="73"/>
        <v>-252.7774</v>
      </c>
    </row>
    <row r="154" spans="1:55" x14ac:dyDescent="0.2">
      <c r="A154" t="s">
        <v>70</v>
      </c>
      <c r="C154" s="4">
        <f>-C165*'0'!$D$18/12</f>
        <v>-146.25</v>
      </c>
      <c r="D154" s="4">
        <f>-D165*'0'!$D$18/12</f>
        <v>-171.25</v>
      </c>
      <c r="E154" s="4">
        <f>-E165*'0'!$D$18/12</f>
        <v>-196.25</v>
      </c>
      <c r="F154" s="4">
        <f>-F165*'0'!$D$18/12</f>
        <v>-220</v>
      </c>
      <c r="G154" s="4">
        <f>-G165*'0'!$D$18/12</f>
        <v>-243.75</v>
      </c>
      <c r="H154" s="4">
        <f>-H165*'0'!$D$18/12</f>
        <v>-252.5</v>
      </c>
      <c r="I154" s="4">
        <f>-I165*'0'!$D$18/12</f>
        <v>-276.25</v>
      </c>
      <c r="J154" s="4">
        <f>-J165*'0'!$D$18/12</f>
        <v>-301.25</v>
      </c>
      <c r="K154" s="4">
        <f>-K165*'0'!$D$18/12</f>
        <v>-330</v>
      </c>
      <c r="L154" s="4">
        <f>-L165*'0'!$D$18/12</f>
        <v>-353.75</v>
      </c>
      <c r="M154" s="4">
        <f>-M165*'0'!$D$18/12</f>
        <v>-383.75</v>
      </c>
      <c r="N154" s="4">
        <f>-N165*'0'!$D$18/12</f>
        <v>-457.5</v>
      </c>
      <c r="O154" s="4">
        <f>-O165*'0'!$D$18/12</f>
        <v>-575</v>
      </c>
      <c r="P154" s="4">
        <f>-P165*'0'!$D$18/12</f>
        <v>-586.25</v>
      </c>
      <c r="Q154" s="4">
        <f>-Q165*'0'!$D$18/12</f>
        <v>-586.25</v>
      </c>
      <c r="R154" s="4">
        <f>-R165*'0'!$D$18/12</f>
        <v>-586.25</v>
      </c>
      <c r="S154" s="4">
        <f>-S165*'0'!$D$18/12</f>
        <v>-586.25</v>
      </c>
      <c r="T154" s="4">
        <f>-T165*'0'!$D$18/12</f>
        <v>-586.25</v>
      </c>
      <c r="U154" s="4">
        <f>-U165*'0'!$D$18/12</f>
        <v>-586.25</v>
      </c>
      <c r="V154" s="4">
        <f>-V165*'0'!$D$18/12</f>
        <v>-586.25</v>
      </c>
      <c r="W154" s="4">
        <f>-W165*'0'!$D$18/12</f>
        <v>-586.25</v>
      </c>
      <c r="X154" s="4">
        <f>-X165*'0'!$D$18/12</f>
        <v>-586.25</v>
      </c>
      <c r="Y154" s="4">
        <f>-Y165*'0'!$D$18/12</f>
        <v>-586.25</v>
      </c>
      <c r="Z154" s="4">
        <f>-Z165*'0'!$D$18/12</f>
        <v>-586.25</v>
      </c>
      <c r="AA154" s="4">
        <f>-AA165*'0'!$D$18/12</f>
        <v>-448.75</v>
      </c>
      <c r="AB154" s="4">
        <f>-AB165*'0'!$D$18/12</f>
        <v>-411.25</v>
      </c>
      <c r="AC154" s="4">
        <f>-AC165*'0'!$D$18/12</f>
        <v>-341.25</v>
      </c>
      <c r="AD154" s="4">
        <f>-AD165*'0'!$D$18/12</f>
        <v>-216.25</v>
      </c>
      <c r="AE154" s="4">
        <f>-AE165*'0'!$D$18/12</f>
        <v>-78.75</v>
      </c>
      <c r="AF154" s="4">
        <f>-AF165*'0'!$D$18/12</f>
        <v>0</v>
      </c>
      <c r="AG154" s="4">
        <f>-AG165*'0'!$D$18/12</f>
        <v>0</v>
      </c>
      <c r="AH154" s="4">
        <f>-AH165*'0'!$D$18/12</f>
        <v>0</v>
      </c>
      <c r="AI154" s="4">
        <f>-AI165*'0'!$D$18/12</f>
        <v>0</v>
      </c>
      <c r="AJ154" s="4">
        <f>-AJ165*'0'!$D$18/12</f>
        <v>0</v>
      </c>
      <c r="AK154" s="4">
        <f>-AK165*'0'!$D$18/12</f>
        <v>0</v>
      </c>
      <c r="AL154" s="4">
        <f>-AL165*'0'!$D$18/12</f>
        <v>0</v>
      </c>
      <c r="AM154" s="4">
        <f>-AM165*'0'!$D$18/12</f>
        <v>0</v>
      </c>
      <c r="AN154" s="4">
        <f>-AN165*'0'!$D$18/12</f>
        <v>0</v>
      </c>
      <c r="AO154" s="4">
        <f>-AO165*'0'!$D$18/12</f>
        <v>0</v>
      </c>
      <c r="AP154" s="4">
        <f>-AP165*'0'!$D$18/12</f>
        <v>0</v>
      </c>
      <c r="AQ154" s="4">
        <f>-AQ165*'0'!$D$18/12</f>
        <v>0</v>
      </c>
    </row>
    <row r="155" spans="1:55" ht="13.5" thickBot="1" x14ac:dyDescent="0.25">
      <c r="A155" t="s">
        <v>207</v>
      </c>
      <c r="C155" s="4"/>
      <c r="D155" s="4"/>
      <c r="E155" s="4">
        <f>D135</f>
        <v>0</v>
      </c>
      <c r="F155" s="4"/>
      <c r="G155" s="4"/>
      <c r="H155" s="4">
        <f>G135</f>
        <v>0</v>
      </c>
      <c r="I155" s="4"/>
      <c r="J155" s="4"/>
      <c r="K155" s="4">
        <f>J135</f>
        <v>0</v>
      </c>
      <c r="L155" s="4"/>
      <c r="M155" s="4"/>
      <c r="N155" s="4">
        <f>M135</f>
        <v>0</v>
      </c>
      <c r="O155" s="4"/>
      <c r="P155" s="4"/>
      <c r="Q155" s="4">
        <f>P135</f>
        <v>-225.43066000000005</v>
      </c>
      <c r="R155" s="4"/>
      <c r="S155" s="4"/>
      <c r="T155" s="4">
        <f>S135</f>
        <v>-676.29198000000019</v>
      </c>
      <c r="U155" s="4"/>
      <c r="V155" s="4"/>
      <c r="W155" s="4">
        <f>V135</f>
        <v>-163.94957090909088</v>
      </c>
      <c r="X155" s="4"/>
      <c r="Y155" s="4"/>
      <c r="Z155" s="4">
        <f>Y135</f>
        <v>-327.89914181818176</v>
      </c>
      <c r="AA155" s="4"/>
      <c r="AB155" s="4"/>
      <c r="AC155" s="4">
        <f>AB135</f>
        <v>-327.89914181818187</v>
      </c>
      <c r="AD155" s="4"/>
      <c r="AE155" s="4"/>
      <c r="AF155" s="4">
        <f>AE135</f>
        <v>-983.69742545454562</v>
      </c>
      <c r="AG155" s="4"/>
      <c r="AH155" s="4"/>
      <c r="AI155" s="4">
        <f>AH135</f>
        <v>-257.63504000000012</v>
      </c>
      <c r="AJ155" s="4"/>
      <c r="AK155" s="4"/>
      <c r="AL155" s="4">
        <f>AK135</f>
        <v>-515.27008000000023</v>
      </c>
      <c r="AM155" s="4"/>
      <c r="AN155" s="4"/>
      <c r="AO155" s="4">
        <f>AN135</f>
        <v>-257.63504000000012</v>
      </c>
      <c r="AP155" s="4"/>
      <c r="AQ155" s="4">
        <f>AQ135</f>
        <v>-772.90512000000047</v>
      </c>
    </row>
    <row r="156" spans="1:55" ht="13.5" thickBot="1" x14ac:dyDescent="0.25">
      <c r="A156" s="33" t="s">
        <v>66</v>
      </c>
      <c r="B156" s="33"/>
      <c r="C156" s="34">
        <f t="shared" ref="C156:AQ156" si="74">SUM(C157:C157)</f>
        <v>-10000</v>
      </c>
      <c r="D156" s="34">
        <f t="shared" si="74"/>
        <v>0</v>
      </c>
      <c r="E156" s="34">
        <f t="shared" si="74"/>
        <v>0</v>
      </c>
      <c r="F156" s="34">
        <f t="shared" si="74"/>
        <v>0</v>
      </c>
      <c r="G156" s="34">
        <f t="shared" si="74"/>
        <v>0</v>
      </c>
      <c r="H156" s="34">
        <f t="shared" si="74"/>
        <v>0</v>
      </c>
      <c r="I156" s="34">
        <f t="shared" si="74"/>
        <v>0</v>
      </c>
      <c r="J156" s="34">
        <f t="shared" si="74"/>
        <v>0</v>
      </c>
      <c r="K156" s="34">
        <f t="shared" si="74"/>
        <v>0</v>
      </c>
      <c r="L156" s="34">
        <f t="shared" si="74"/>
        <v>0</v>
      </c>
      <c r="M156" s="34">
        <f t="shared" si="74"/>
        <v>0</v>
      </c>
      <c r="N156" s="34">
        <f t="shared" si="74"/>
        <v>0</v>
      </c>
      <c r="O156" s="34">
        <f t="shared" si="74"/>
        <v>0</v>
      </c>
      <c r="P156" s="34">
        <f t="shared" si="74"/>
        <v>0</v>
      </c>
      <c r="Q156" s="34">
        <f t="shared" si="74"/>
        <v>0</v>
      </c>
      <c r="R156" s="34">
        <f t="shared" si="74"/>
        <v>0</v>
      </c>
      <c r="S156" s="34">
        <f t="shared" si="74"/>
        <v>0</v>
      </c>
      <c r="T156" s="34">
        <f t="shared" si="74"/>
        <v>0</v>
      </c>
      <c r="U156" s="34">
        <f t="shared" si="74"/>
        <v>0</v>
      </c>
      <c r="V156" s="34">
        <f t="shared" si="74"/>
        <v>0</v>
      </c>
      <c r="W156" s="34">
        <f t="shared" si="74"/>
        <v>0</v>
      </c>
      <c r="X156" s="34">
        <f t="shared" si="74"/>
        <v>0</v>
      </c>
      <c r="Y156" s="34">
        <f t="shared" si="74"/>
        <v>0</v>
      </c>
      <c r="Z156" s="34">
        <f t="shared" si="74"/>
        <v>0</v>
      </c>
      <c r="AA156" s="34">
        <f t="shared" si="74"/>
        <v>0</v>
      </c>
      <c r="AB156" s="34">
        <f t="shared" si="74"/>
        <v>0</v>
      </c>
      <c r="AC156" s="34">
        <f t="shared" si="74"/>
        <v>0</v>
      </c>
      <c r="AD156" s="34">
        <f t="shared" si="74"/>
        <v>0</v>
      </c>
      <c r="AE156" s="34">
        <f t="shared" si="74"/>
        <v>0</v>
      </c>
      <c r="AF156" s="34">
        <f t="shared" si="74"/>
        <v>0</v>
      </c>
      <c r="AG156" s="34">
        <f t="shared" si="74"/>
        <v>0</v>
      </c>
      <c r="AH156" s="34">
        <f t="shared" si="74"/>
        <v>0</v>
      </c>
      <c r="AI156" s="34">
        <f t="shared" si="74"/>
        <v>0</v>
      </c>
      <c r="AJ156" s="34">
        <f t="shared" si="74"/>
        <v>0</v>
      </c>
      <c r="AK156" s="34">
        <f t="shared" si="74"/>
        <v>0</v>
      </c>
      <c r="AL156" s="34">
        <f t="shared" si="74"/>
        <v>0</v>
      </c>
      <c r="AM156" s="34">
        <f t="shared" si="74"/>
        <v>0</v>
      </c>
      <c r="AN156" s="34">
        <f t="shared" si="74"/>
        <v>0</v>
      </c>
      <c r="AO156" s="34">
        <f t="shared" si="74"/>
        <v>0</v>
      </c>
      <c r="AP156" s="34">
        <f t="shared" si="74"/>
        <v>0</v>
      </c>
      <c r="AQ156" s="34">
        <f t="shared" si="74"/>
        <v>0</v>
      </c>
    </row>
    <row r="157" spans="1:55" ht="13.5" thickBot="1" x14ac:dyDescent="0.25">
      <c r="A157" t="s">
        <v>106</v>
      </c>
      <c r="C157" s="109">
        <v>-10000</v>
      </c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</row>
    <row r="158" spans="1:55" ht="13.5" thickBot="1" x14ac:dyDescent="0.25">
      <c r="A158" s="33" t="s">
        <v>67</v>
      </c>
      <c r="B158" s="33"/>
      <c r="C158" s="34">
        <f t="shared" ref="C158:AQ158" si="75">SUM(C159:C160)</f>
        <v>11700</v>
      </c>
      <c r="D158" s="34">
        <f t="shared" si="75"/>
        <v>2000</v>
      </c>
      <c r="E158" s="34">
        <f t="shared" si="75"/>
        <v>2000</v>
      </c>
      <c r="F158" s="34">
        <f t="shared" si="75"/>
        <v>1900</v>
      </c>
      <c r="G158" s="34">
        <f t="shared" si="75"/>
        <v>1900</v>
      </c>
      <c r="H158" s="34">
        <f t="shared" si="75"/>
        <v>700</v>
      </c>
      <c r="I158" s="34">
        <f t="shared" si="75"/>
        <v>1900</v>
      </c>
      <c r="J158" s="34">
        <f t="shared" si="75"/>
        <v>2000</v>
      </c>
      <c r="K158" s="34">
        <f t="shared" si="75"/>
        <v>2300</v>
      </c>
      <c r="L158" s="34">
        <f t="shared" si="75"/>
        <v>1900</v>
      </c>
      <c r="M158" s="34">
        <f t="shared" si="75"/>
        <v>2400</v>
      </c>
      <c r="N158" s="34">
        <f t="shared" si="75"/>
        <v>5900</v>
      </c>
      <c r="O158" s="34">
        <f t="shared" si="75"/>
        <v>9400</v>
      </c>
      <c r="P158" s="34">
        <f t="shared" si="75"/>
        <v>900</v>
      </c>
      <c r="Q158" s="34">
        <f t="shared" si="75"/>
        <v>0</v>
      </c>
      <c r="R158" s="34">
        <f t="shared" si="75"/>
        <v>0</v>
      </c>
      <c r="S158" s="34">
        <f t="shared" si="75"/>
        <v>0</v>
      </c>
      <c r="T158" s="34">
        <f t="shared" si="75"/>
        <v>0</v>
      </c>
      <c r="U158" s="34">
        <f t="shared" si="75"/>
        <v>0</v>
      </c>
      <c r="V158" s="34">
        <f t="shared" si="75"/>
        <v>0</v>
      </c>
      <c r="W158" s="34">
        <f t="shared" si="75"/>
        <v>0</v>
      </c>
      <c r="X158" s="34">
        <f t="shared" si="75"/>
        <v>0</v>
      </c>
      <c r="Y158" s="34">
        <f t="shared" si="75"/>
        <v>0</v>
      </c>
      <c r="Z158" s="34">
        <f t="shared" si="75"/>
        <v>0</v>
      </c>
      <c r="AA158" s="34">
        <f t="shared" si="75"/>
        <v>-11000</v>
      </c>
      <c r="AB158" s="34">
        <f t="shared" si="75"/>
        <v>-3000</v>
      </c>
      <c r="AC158" s="34">
        <f t="shared" si="75"/>
        <v>-5600</v>
      </c>
      <c r="AD158" s="34">
        <f t="shared" si="75"/>
        <v>-10000</v>
      </c>
      <c r="AE158" s="34">
        <f t="shared" si="75"/>
        <v>-11000</v>
      </c>
      <c r="AF158" s="34">
        <f t="shared" si="75"/>
        <v>-6300</v>
      </c>
      <c r="AG158" s="34">
        <f t="shared" si="75"/>
        <v>0</v>
      </c>
      <c r="AH158" s="34">
        <f t="shared" si="75"/>
        <v>0</v>
      </c>
      <c r="AI158" s="34">
        <f t="shared" si="75"/>
        <v>0</v>
      </c>
      <c r="AJ158" s="34">
        <f t="shared" si="75"/>
        <v>0</v>
      </c>
      <c r="AK158" s="34">
        <f t="shared" si="75"/>
        <v>0</v>
      </c>
      <c r="AL158" s="34">
        <f t="shared" si="75"/>
        <v>0</v>
      </c>
      <c r="AM158" s="34">
        <f t="shared" si="75"/>
        <v>0</v>
      </c>
      <c r="AN158" s="34">
        <f t="shared" si="75"/>
        <v>0</v>
      </c>
      <c r="AO158" s="34">
        <f t="shared" si="75"/>
        <v>0</v>
      </c>
      <c r="AP158" s="34">
        <f t="shared" si="75"/>
        <v>0</v>
      </c>
      <c r="AQ158" s="34">
        <f t="shared" si="75"/>
        <v>0</v>
      </c>
    </row>
    <row r="159" spans="1:55" x14ac:dyDescent="0.2">
      <c r="A159" t="s">
        <v>68</v>
      </c>
      <c r="C159" s="99">
        <v>11700</v>
      </c>
      <c r="D159" s="99">
        <v>2000</v>
      </c>
      <c r="E159" s="99">
        <v>2000</v>
      </c>
      <c r="F159" s="99">
        <v>1900</v>
      </c>
      <c r="G159" s="99">
        <v>1900</v>
      </c>
      <c r="H159" s="99">
        <v>700</v>
      </c>
      <c r="I159" s="99">
        <v>1900</v>
      </c>
      <c r="J159" s="99">
        <v>2000</v>
      </c>
      <c r="K159" s="99">
        <v>2300</v>
      </c>
      <c r="L159" s="99">
        <v>1900</v>
      </c>
      <c r="M159" s="99">
        <v>2400</v>
      </c>
      <c r="N159" s="99">
        <v>5900</v>
      </c>
      <c r="O159" s="99">
        <v>9400</v>
      </c>
      <c r="P159" s="99">
        <v>900</v>
      </c>
      <c r="Q159" s="99"/>
      <c r="R159" s="99"/>
      <c r="S159" s="99"/>
      <c r="T159" s="99"/>
      <c r="U159" s="99"/>
      <c r="V159" s="99"/>
      <c r="W159" s="99"/>
      <c r="X159" s="99"/>
      <c r="Y159" s="99"/>
      <c r="Z159" s="99"/>
      <c r="AA159" s="99"/>
      <c r="AB159" s="99"/>
      <c r="AC159" s="99"/>
      <c r="AD159" s="99"/>
      <c r="AE159" s="99"/>
      <c r="AF159" s="99"/>
      <c r="AG159" s="99"/>
      <c r="AH159" s="99"/>
      <c r="AI159" s="99"/>
      <c r="AJ159" s="99"/>
      <c r="AK159" s="99"/>
      <c r="AL159" s="99"/>
      <c r="AM159" s="99"/>
      <c r="AN159" s="99"/>
      <c r="AO159" s="99"/>
      <c r="AP159" s="99"/>
      <c r="AQ159" s="99"/>
    </row>
    <row r="160" spans="1:55" ht="13.5" thickBot="1" x14ac:dyDescent="0.25">
      <c r="A160" t="s">
        <v>69</v>
      </c>
      <c r="C160" s="99"/>
      <c r="D160" s="99"/>
      <c r="E160" s="99"/>
      <c r="F160" s="99"/>
      <c r="G160" s="99"/>
      <c r="H160" s="99"/>
      <c r="I160" s="99"/>
      <c r="J160" s="99"/>
      <c r="K160" s="99"/>
      <c r="L160" s="99"/>
      <c r="M160" s="99"/>
      <c r="N160" s="99"/>
      <c r="O160" s="99"/>
      <c r="P160" s="99"/>
      <c r="Q160" s="99"/>
      <c r="R160" s="99"/>
      <c r="S160" s="99"/>
      <c r="T160" s="99"/>
      <c r="U160" s="99"/>
      <c r="V160" s="99"/>
      <c r="W160" s="99"/>
      <c r="X160" s="99"/>
      <c r="Y160" s="99"/>
      <c r="Z160" s="99"/>
      <c r="AA160" s="99">
        <v>-11000</v>
      </c>
      <c r="AB160" s="99">
        <v>-3000</v>
      </c>
      <c r="AC160" s="99">
        <v>-5600</v>
      </c>
      <c r="AD160" s="99">
        <v>-10000</v>
      </c>
      <c r="AE160" s="99">
        <v>-11000</v>
      </c>
      <c r="AF160" s="99">
        <v>-6300</v>
      </c>
      <c r="AG160" s="99"/>
      <c r="AH160" s="99"/>
      <c r="AI160" s="99"/>
      <c r="AJ160" s="99"/>
      <c r="AK160" s="99"/>
      <c r="AL160" s="99"/>
      <c r="AM160" s="99"/>
      <c r="AN160" s="99"/>
      <c r="AO160" s="99"/>
      <c r="AP160" s="99"/>
      <c r="AQ160" s="99"/>
    </row>
    <row r="161" spans="1:55" ht="13.5" thickBot="1" x14ac:dyDescent="0.25">
      <c r="A161" s="78" t="s">
        <v>71</v>
      </c>
      <c r="B161" s="78"/>
      <c r="C161" s="79">
        <f t="shared" ref="C161:AQ161" si="76">C141+C156+C158</f>
        <v>22.973333333333358</v>
      </c>
      <c r="D161" s="79">
        <f t="shared" si="76"/>
        <v>81.306666666666843</v>
      </c>
      <c r="E161" s="79">
        <f t="shared" si="76"/>
        <v>3.506666666666888</v>
      </c>
      <c r="F161" s="79">
        <f t="shared" si="76"/>
        <v>-67.443333333333157</v>
      </c>
      <c r="G161" s="79">
        <f t="shared" si="76"/>
        <v>50.473333333333358</v>
      </c>
      <c r="H161" s="79">
        <f t="shared" si="76"/>
        <v>12.090000000000032</v>
      </c>
      <c r="I161" s="79">
        <f t="shared" si="76"/>
        <v>-52.481212121212138</v>
      </c>
      <c r="J161" s="79">
        <f t="shared" si="76"/>
        <v>-39.602424242424149</v>
      </c>
      <c r="K161" s="79">
        <f t="shared" si="76"/>
        <v>28.847575757576124</v>
      </c>
      <c r="L161" s="79">
        <f t="shared" si="76"/>
        <v>20.018787878787862</v>
      </c>
      <c r="M161" s="79">
        <f t="shared" si="76"/>
        <v>-47.860000000000127</v>
      </c>
      <c r="N161" s="79">
        <f t="shared" si="76"/>
        <v>25.590000000000146</v>
      </c>
      <c r="O161" s="79">
        <f t="shared" si="76"/>
        <v>636.6475757575754</v>
      </c>
      <c r="P161" s="79">
        <f t="shared" si="76"/>
        <v>-586.34484848484794</v>
      </c>
      <c r="Q161" s="79">
        <f t="shared" si="76"/>
        <v>1085.4244915151521</v>
      </c>
      <c r="R161" s="79">
        <f t="shared" si="76"/>
        <v>5263.6551515151523</v>
      </c>
      <c r="S161" s="79">
        <f t="shared" si="76"/>
        <v>6737.8975757575763</v>
      </c>
      <c r="T161" s="79">
        <f t="shared" si="76"/>
        <v>6385.5480200000002</v>
      </c>
      <c r="U161" s="79">
        <f t="shared" si="76"/>
        <v>-2533.6933333333332</v>
      </c>
      <c r="V161" s="79">
        <f t="shared" si="76"/>
        <v>3723.8824242424243</v>
      </c>
      <c r="W161" s="79">
        <f t="shared" si="76"/>
        <v>3507.1328533333335</v>
      </c>
      <c r="X161" s="79">
        <f t="shared" si="76"/>
        <v>4057.2157575757574</v>
      </c>
      <c r="Y161" s="79">
        <f t="shared" si="76"/>
        <v>-2650.36</v>
      </c>
      <c r="Z161" s="79">
        <f t="shared" si="76"/>
        <v>-6031.0591418181812</v>
      </c>
      <c r="AA161" s="79">
        <f t="shared" si="76"/>
        <v>-19546.193333333333</v>
      </c>
      <c r="AB161" s="79">
        <f t="shared" si="76"/>
        <v>-10.20848484848193</v>
      </c>
      <c r="AC161" s="79">
        <f t="shared" si="76"/>
        <v>79.092373333334763</v>
      </c>
      <c r="AD161" s="79">
        <f t="shared" si="76"/>
        <v>-65.20848484848284</v>
      </c>
      <c r="AE161" s="79">
        <f t="shared" si="76"/>
        <v>5.6248484848492808</v>
      </c>
      <c r="AF161" s="79">
        <f t="shared" si="76"/>
        <v>1399.3925745454544</v>
      </c>
      <c r="AG161" s="79">
        <f t="shared" si="76"/>
        <v>-1314.11</v>
      </c>
      <c r="AH161" s="79">
        <f t="shared" si="76"/>
        <v>9043.0328571428581</v>
      </c>
      <c r="AI161" s="79">
        <f t="shared" si="76"/>
        <v>8582.5978171428578</v>
      </c>
      <c r="AJ161" s="79">
        <f t="shared" si="76"/>
        <v>9343.0328571428581</v>
      </c>
      <c r="AK161" s="79">
        <f t="shared" si="76"/>
        <v>-1464.11</v>
      </c>
      <c r="AL161" s="79">
        <f t="shared" si="76"/>
        <v>-2632.1800800000001</v>
      </c>
      <c r="AM161" s="79">
        <f t="shared" si="76"/>
        <v>-3114.1099999999997</v>
      </c>
      <c r="AN161" s="79">
        <f t="shared" si="76"/>
        <v>7243.032857142859</v>
      </c>
      <c r="AO161" s="79">
        <f t="shared" si="76"/>
        <v>7832.5978171428596</v>
      </c>
      <c r="AP161" s="79">
        <f t="shared" si="76"/>
        <v>9493.0328571428581</v>
      </c>
      <c r="AQ161" s="79">
        <f t="shared" si="76"/>
        <v>10610.127737142857</v>
      </c>
    </row>
    <row r="162" spans="1:55" x14ac:dyDescent="0.2">
      <c r="A162" t="s">
        <v>72</v>
      </c>
      <c r="C162" s="4">
        <v>0</v>
      </c>
      <c r="D162" s="4">
        <f t="shared" ref="D162:AQ162" si="77">C163</f>
        <v>22.973333333333358</v>
      </c>
      <c r="E162" s="4">
        <f t="shared" si="77"/>
        <v>104.2800000000002</v>
      </c>
      <c r="F162" s="4">
        <f t="shared" si="77"/>
        <v>107.78666666666709</v>
      </c>
      <c r="G162" s="4">
        <f t="shared" si="77"/>
        <v>40.343333333333931</v>
      </c>
      <c r="H162" s="4">
        <f t="shared" si="77"/>
        <v>90.816666666667288</v>
      </c>
      <c r="I162" s="4">
        <f t="shared" si="77"/>
        <v>102.90666666666732</v>
      </c>
      <c r="J162" s="4">
        <f t="shared" si="77"/>
        <v>50.425454545455182</v>
      </c>
      <c r="K162" s="4">
        <f t="shared" si="77"/>
        <v>10.823030303031032</v>
      </c>
      <c r="L162" s="4">
        <f t="shared" si="77"/>
        <v>39.670606060607156</v>
      </c>
      <c r="M162" s="4">
        <f t="shared" si="77"/>
        <v>59.689393939395018</v>
      </c>
      <c r="N162" s="4">
        <f t="shared" si="77"/>
        <v>11.82939393939489</v>
      </c>
      <c r="O162" s="4">
        <f t="shared" si="77"/>
        <v>37.419393939395036</v>
      </c>
      <c r="P162" s="4">
        <f t="shared" si="77"/>
        <v>674.06696969697043</v>
      </c>
      <c r="Q162" s="4">
        <f t="shared" si="77"/>
        <v>87.722121212122488</v>
      </c>
      <c r="R162" s="4">
        <f t="shared" si="77"/>
        <v>1173.1466127272747</v>
      </c>
      <c r="S162" s="4">
        <f t="shared" si="77"/>
        <v>6436.8017642424275</v>
      </c>
      <c r="T162" s="4">
        <f t="shared" si="77"/>
        <v>13174.699340000003</v>
      </c>
      <c r="U162" s="4">
        <f t="shared" si="77"/>
        <v>19560.247360000001</v>
      </c>
      <c r="V162" s="4">
        <f t="shared" si="77"/>
        <v>17026.554026666669</v>
      </c>
      <c r="W162" s="4">
        <f t="shared" si="77"/>
        <v>20750.436450909092</v>
      </c>
      <c r="X162" s="4">
        <f t="shared" si="77"/>
        <v>24257.569304242425</v>
      </c>
      <c r="Y162" s="4">
        <f t="shared" si="77"/>
        <v>28314.785061818184</v>
      </c>
      <c r="Z162" s="4">
        <f t="shared" si="77"/>
        <v>25664.425061818183</v>
      </c>
      <c r="AA162" s="4">
        <f t="shared" si="77"/>
        <v>19633.365920000004</v>
      </c>
      <c r="AB162" s="4">
        <f t="shared" si="77"/>
        <v>87.172586666671123</v>
      </c>
      <c r="AC162" s="4">
        <f t="shared" si="77"/>
        <v>76.964101818189192</v>
      </c>
      <c r="AD162" s="4">
        <f t="shared" si="77"/>
        <v>156.05647515152395</v>
      </c>
      <c r="AE162" s="4">
        <f t="shared" si="77"/>
        <v>90.847990303041115</v>
      </c>
      <c r="AF162" s="4">
        <f t="shared" si="77"/>
        <v>96.472838787890396</v>
      </c>
      <c r="AG162" s="4">
        <f t="shared" si="77"/>
        <v>1495.8654133333448</v>
      </c>
      <c r="AH162" s="4">
        <f t="shared" si="77"/>
        <v>181.7554133333449</v>
      </c>
      <c r="AI162" s="4">
        <f t="shared" si="77"/>
        <v>9224.7882704762033</v>
      </c>
      <c r="AJ162" s="4">
        <f t="shared" si="77"/>
        <v>17807.386087619059</v>
      </c>
      <c r="AK162" s="4">
        <f t="shared" si="77"/>
        <v>27150.418944761917</v>
      </c>
      <c r="AL162" s="4">
        <f t="shared" si="77"/>
        <v>25686.308944761917</v>
      </c>
      <c r="AM162" s="4">
        <f t="shared" si="77"/>
        <v>23054.128864761915</v>
      </c>
      <c r="AN162" s="4">
        <f t="shared" si="77"/>
        <v>19940.018864761914</v>
      </c>
      <c r="AO162" s="4">
        <f t="shared" si="77"/>
        <v>27183.051721904772</v>
      </c>
      <c r="AP162" s="4">
        <f t="shared" si="77"/>
        <v>35015.649539047634</v>
      </c>
      <c r="AQ162" s="4">
        <f t="shared" si="77"/>
        <v>44508.682396190488</v>
      </c>
    </row>
    <row r="163" spans="1:55" x14ac:dyDescent="0.2">
      <c r="A163" t="s">
        <v>73</v>
      </c>
      <c r="C163" s="4">
        <f>C162+C161</f>
        <v>22.973333333333358</v>
      </c>
      <c r="D163" s="4">
        <f t="shared" ref="D163:AQ163" si="78">D162+D161</f>
        <v>104.2800000000002</v>
      </c>
      <c r="E163" s="4">
        <f t="shared" si="78"/>
        <v>107.78666666666709</v>
      </c>
      <c r="F163" s="4">
        <f t="shared" si="78"/>
        <v>40.343333333333931</v>
      </c>
      <c r="G163" s="4">
        <f t="shared" si="78"/>
        <v>90.816666666667288</v>
      </c>
      <c r="H163" s="4">
        <f t="shared" si="78"/>
        <v>102.90666666666732</v>
      </c>
      <c r="I163" s="4">
        <f t="shared" si="78"/>
        <v>50.425454545455182</v>
      </c>
      <c r="J163" s="4">
        <f t="shared" si="78"/>
        <v>10.823030303031032</v>
      </c>
      <c r="K163" s="4">
        <f t="shared" si="78"/>
        <v>39.670606060607156</v>
      </c>
      <c r="L163" s="4">
        <f t="shared" si="78"/>
        <v>59.689393939395018</v>
      </c>
      <c r="M163" s="4">
        <f t="shared" si="78"/>
        <v>11.82939393939489</v>
      </c>
      <c r="N163" s="4">
        <f t="shared" si="78"/>
        <v>37.419393939395036</v>
      </c>
      <c r="O163" s="4">
        <f t="shared" si="78"/>
        <v>674.06696969697043</v>
      </c>
      <c r="P163" s="4">
        <f t="shared" si="78"/>
        <v>87.722121212122488</v>
      </c>
      <c r="Q163" s="4">
        <f t="shared" si="78"/>
        <v>1173.1466127272747</v>
      </c>
      <c r="R163" s="4">
        <f t="shared" si="78"/>
        <v>6436.8017642424275</v>
      </c>
      <c r="S163" s="4">
        <f t="shared" si="78"/>
        <v>13174.699340000003</v>
      </c>
      <c r="T163" s="4">
        <f t="shared" si="78"/>
        <v>19560.247360000001</v>
      </c>
      <c r="U163" s="4">
        <f t="shared" si="78"/>
        <v>17026.554026666669</v>
      </c>
      <c r="V163" s="4">
        <f t="shared" si="78"/>
        <v>20750.436450909092</v>
      </c>
      <c r="W163" s="4">
        <f t="shared" si="78"/>
        <v>24257.569304242425</v>
      </c>
      <c r="X163" s="4">
        <f t="shared" si="78"/>
        <v>28314.785061818184</v>
      </c>
      <c r="Y163" s="4">
        <f t="shared" si="78"/>
        <v>25664.425061818183</v>
      </c>
      <c r="Z163" s="4">
        <f t="shared" si="78"/>
        <v>19633.365920000004</v>
      </c>
      <c r="AA163" s="4">
        <f t="shared" si="78"/>
        <v>87.172586666671123</v>
      </c>
      <c r="AB163" s="4">
        <f t="shared" si="78"/>
        <v>76.964101818189192</v>
      </c>
      <c r="AC163" s="4">
        <f t="shared" si="78"/>
        <v>156.05647515152395</v>
      </c>
      <c r="AD163" s="4">
        <f t="shared" si="78"/>
        <v>90.847990303041115</v>
      </c>
      <c r="AE163" s="4">
        <f t="shared" si="78"/>
        <v>96.472838787890396</v>
      </c>
      <c r="AF163" s="4">
        <f t="shared" si="78"/>
        <v>1495.8654133333448</v>
      </c>
      <c r="AG163" s="4">
        <f t="shared" si="78"/>
        <v>181.7554133333449</v>
      </c>
      <c r="AH163" s="4">
        <f t="shared" si="78"/>
        <v>9224.7882704762033</v>
      </c>
      <c r="AI163" s="4">
        <f t="shared" si="78"/>
        <v>17807.386087619059</v>
      </c>
      <c r="AJ163" s="4">
        <f t="shared" si="78"/>
        <v>27150.418944761917</v>
      </c>
      <c r="AK163" s="4">
        <f t="shared" si="78"/>
        <v>25686.308944761917</v>
      </c>
      <c r="AL163" s="4">
        <f t="shared" si="78"/>
        <v>23054.128864761915</v>
      </c>
      <c r="AM163" s="4">
        <f t="shared" si="78"/>
        <v>19940.018864761914</v>
      </c>
      <c r="AN163" s="4">
        <f t="shared" si="78"/>
        <v>27183.051721904772</v>
      </c>
      <c r="AO163" s="4">
        <f t="shared" si="78"/>
        <v>35015.649539047634</v>
      </c>
      <c r="AP163" s="4">
        <f t="shared" si="78"/>
        <v>44508.682396190488</v>
      </c>
      <c r="AQ163" s="4">
        <f t="shared" si="78"/>
        <v>55118.810133333347</v>
      </c>
    </row>
    <row r="165" spans="1:55" x14ac:dyDescent="0.2">
      <c r="A165" s="80" t="s">
        <v>74</v>
      </c>
      <c r="B165" s="80"/>
      <c r="C165" s="81">
        <f>C159+C160</f>
        <v>11700</v>
      </c>
      <c r="D165" s="81">
        <f t="shared" ref="D165:AQ165" si="79">C165+D159+D160</f>
        <v>13700</v>
      </c>
      <c r="E165" s="81">
        <f t="shared" si="79"/>
        <v>15700</v>
      </c>
      <c r="F165" s="81">
        <f t="shared" si="79"/>
        <v>17600</v>
      </c>
      <c r="G165" s="81">
        <f t="shared" si="79"/>
        <v>19500</v>
      </c>
      <c r="H165" s="81">
        <f t="shared" si="79"/>
        <v>20200</v>
      </c>
      <c r="I165" s="81">
        <f t="shared" si="79"/>
        <v>22100</v>
      </c>
      <c r="J165" s="81">
        <f t="shared" si="79"/>
        <v>24100</v>
      </c>
      <c r="K165" s="81">
        <f t="shared" si="79"/>
        <v>26400</v>
      </c>
      <c r="L165" s="81">
        <f t="shared" si="79"/>
        <v>28300</v>
      </c>
      <c r="M165" s="81">
        <f t="shared" si="79"/>
        <v>30700</v>
      </c>
      <c r="N165" s="81">
        <f t="shared" si="79"/>
        <v>36600</v>
      </c>
      <c r="O165" s="81">
        <f t="shared" si="79"/>
        <v>46000</v>
      </c>
      <c r="P165" s="81">
        <f t="shared" si="79"/>
        <v>46900</v>
      </c>
      <c r="Q165" s="81">
        <f t="shared" si="79"/>
        <v>46900</v>
      </c>
      <c r="R165" s="81">
        <f t="shared" si="79"/>
        <v>46900</v>
      </c>
      <c r="S165" s="81">
        <f t="shared" si="79"/>
        <v>46900</v>
      </c>
      <c r="T165" s="81">
        <f t="shared" si="79"/>
        <v>46900</v>
      </c>
      <c r="U165" s="81">
        <f t="shared" si="79"/>
        <v>46900</v>
      </c>
      <c r="V165" s="81">
        <f t="shared" si="79"/>
        <v>46900</v>
      </c>
      <c r="W165" s="81">
        <f t="shared" si="79"/>
        <v>46900</v>
      </c>
      <c r="X165" s="81">
        <f t="shared" si="79"/>
        <v>46900</v>
      </c>
      <c r="Y165" s="81">
        <f t="shared" si="79"/>
        <v>46900</v>
      </c>
      <c r="Z165" s="81">
        <f t="shared" si="79"/>
        <v>46900</v>
      </c>
      <c r="AA165" s="81">
        <f t="shared" si="79"/>
        <v>35900</v>
      </c>
      <c r="AB165" s="81">
        <f t="shared" si="79"/>
        <v>32900</v>
      </c>
      <c r="AC165" s="81">
        <f t="shared" si="79"/>
        <v>27300</v>
      </c>
      <c r="AD165" s="81">
        <f t="shared" si="79"/>
        <v>17300</v>
      </c>
      <c r="AE165" s="81">
        <f t="shared" si="79"/>
        <v>6300</v>
      </c>
      <c r="AF165" s="81">
        <f t="shared" si="79"/>
        <v>0</v>
      </c>
      <c r="AG165" s="81">
        <f t="shared" si="79"/>
        <v>0</v>
      </c>
      <c r="AH165" s="81">
        <f t="shared" si="79"/>
        <v>0</v>
      </c>
      <c r="AI165" s="81">
        <f t="shared" si="79"/>
        <v>0</v>
      </c>
      <c r="AJ165" s="81">
        <f t="shared" si="79"/>
        <v>0</v>
      </c>
      <c r="AK165" s="81">
        <f t="shared" si="79"/>
        <v>0</v>
      </c>
      <c r="AL165" s="81">
        <f t="shared" si="79"/>
        <v>0</v>
      </c>
      <c r="AM165" s="81">
        <f t="shared" si="79"/>
        <v>0</v>
      </c>
      <c r="AN165" s="81">
        <f t="shared" si="79"/>
        <v>0</v>
      </c>
      <c r="AO165" s="81">
        <f t="shared" si="79"/>
        <v>0</v>
      </c>
      <c r="AP165" s="81">
        <f t="shared" si="79"/>
        <v>0</v>
      </c>
      <c r="AQ165" s="81">
        <f t="shared" si="79"/>
        <v>0</v>
      </c>
    </row>
    <row r="166" spans="1:55" x14ac:dyDescent="0.2">
      <c r="A166" s="265" t="s">
        <v>239</v>
      </c>
      <c r="B166" s="11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</row>
    <row r="168" spans="1:55" ht="15.75" x14ac:dyDescent="0.25">
      <c r="A168" s="90" t="s">
        <v>89</v>
      </c>
    </row>
    <row r="169" spans="1:55" x14ac:dyDescent="0.2">
      <c r="A169" t="s">
        <v>111</v>
      </c>
      <c r="C169" s="4">
        <f t="shared" ref="C169:AQ169" si="80">C163</f>
        <v>22.973333333333358</v>
      </c>
      <c r="D169" s="4">
        <f t="shared" si="80"/>
        <v>104.2800000000002</v>
      </c>
      <c r="E169" s="4">
        <f t="shared" si="80"/>
        <v>107.78666666666709</v>
      </c>
      <c r="F169" s="4">
        <f t="shared" si="80"/>
        <v>40.343333333333931</v>
      </c>
      <c r="G169" s="4">
        <f t="shared" si="80"/>
        <v>90.816666666667288</v>
      </c>
      <c r="H169" s="4">
        <f t="shared" si="80"/>
        <v>102.90666666666732</v>
      </c>
      <c r="I169" s="4">
        <f t="shared" si="80"/>
        <v>50.425454545455182</v>
      </c>
      <c r="J169" s="4">
        <f t="shared" si="80"/>
        <v>10.823030303031032</v>
      </c>
      <c r="K169" s="4">
        <f t="shared" si="80"/>
        <v>39.670606060607156</v>
      </c>
      <c r="L169" s="4">
        <f t="shared" si="80"/>
        <v>59.689393939395018</v>
      </c>
      <c r="M169" s="4">
        <f t="shared" si="80"/>
        <v>11.82939393939489</v>
      </c>
      <c r="N169" s="4">
        <f t="shared" si="80"/>
        <v>37.419393939395036</v>
      </c>
      <c r="O169" s="4">
        <f t="shared" si="80"/>
        <v>674.06696969697043</v>
      </c>
      <c r="P169" s="4">
        <f t="shared" si="80"/>
        <v>87.722121212122488</v>
      </c>
      <c r="Q169" s="4">
        <f t="shared" si="80"/>
        <v>1173.1466127272747</v>
      </c>
      <c r="R169" s="4">
        <f t="shared" si="80"/>
        <v>6436.8017642424275</v>
      </c>
      <c r="S169" s="4">
        <f t="shared" si="80"/>
        <v>13174.699340000003</v>
      </c>
      <c r="T169" s="4">
        <f t="shared" si="80"/>
        <v>19560.247360000001</v>
      </c>
      <c r="U169" s="4">
        <f t="shared" si="80"/>
        <v>17026.554026666669</v>
      </c>
      <c r="V169" s="4">
        <f t="shared" si="80"/>
        <v>20750.436450909092</v>
      </c>
      <c r="W169" s="4">
        <f t="shared" si="80"/>
        <v>24257.569304242425</v>
      </c>
      <c r="X169" s="4">
        <f t="shared" si="80"/>
        <v>28314.785061818184</v>
      </c>
      <c r="Y169" s="4">
        <f t="shared" si="80"/>
        <v>25664.425061818183</v>
      </c>
      <c r="Z169" s="4">
        <f t="shared" si="80"/>
        <v>19633.365920000004</v>
      </c>
      <c r="AA169" s="4">
        <f t="shared" si="80"/>
        <v>87.172586666671123</v>
      </c>
      <c r="AB169" s="4">
        <f t="shared" si="80"/>
        <v>76.964101818189192</v>
      </c>
      <c r="AC169" s="4">
        <f t="shared" si="80"/>
        <v>156.05647515152395</v>
      </c>
      <c r="AD169" s="4">
        <f t="shared" si="80"/>
        <v>90.847990303041115</v>
      </c>
      <c r="AE169" s="4">
        <f t="shared" si="80"/>
        <v>96.472838787890396</v>
      </c>
      <c r="AF169" s="4">
        <f t="shared" si="80"/>
        <v>1495.8654133333448</v>
      </c>
      <c r="AG169" s="4">
        <f t="shared" si="80"/>
        <v>181.7554133333449</v>
      </c>
      <c r="AH169" s="4">
        <f t="shared" si="80"/>
        <v>9224.7882704762033</v>
      </c>
      <c r="AI169" s="4">
        <f t="shared" si="80"/>
        <v>17807.386087619059</v>
      </c>
      <c r="AJ169" s="4">
        <f t="shared" si="80"/>
        <v>27150.418944761917</v>
      </c>
      <c r="AK169" s="4">
        <f t="shared" si="80"/>
        <v>25686.308944761917</v>
      </c>
      <c r="AL169" s="4">
        <f t="shared" si="80"/>
        <v>23054.128864761915</v>
      </c>
      <c r="AM169" s="4">
        <f t="shared" si="80"/>
        <v>19940.018864761914</v>
      </c>
      <c r="AN169" s="4">
        <f t="shared" si="80"/>
        <v>27183.051721904772</v>
      </c>
      <c r="AO169" s="4">
        <f t="shared" si="80"/>
        <v>35015.649539047634</v>
      </c>
      <c r="AP169" s="4">
        <f t="shared" si="80"/>
        <v>44508.682396190488</v>
      </c>
      <c r="AQ169" s="4">
        <f t="shared" si="80"/>
        <v>55118.810133333347</v>
      </c>
    </row>
    <row r="170" spans="1:55" x14ac:dyDescent="0.2">
      <c r="A170" t="s">
        <v>112</v>
      </c>
      <c r="C170" s="4">
        <f t="shared" ref="C170:AQ170" si="81">C71</f>
        <v>0</v>
      </c>
      <c r="D170" s="4">
        <f t="shared" si="81"/>
        <v>0</v>
      </c>
      <c r="E170" s="4">
        <f t="shared" si="81"/>
        <v>0</v>
      </c>
      <c r="F170" s="4">
        <f t="shared" si="81"/>
        <v>0</v>
      </c>
      <c r="G170" s="4">
        <f t="shared" si="81"/>
        <v>0</v>
      </c>
      <c r="H170" s="4">
        <f t="shared" si="81"/>
        <v>0</v>
      </c>
      <c r="I170" s="4">
        <f t="shared" si="81"/>
        <v>0</v>
      </c>
      <c r="J170" s="4">
        <f t="shared" si="81"/>
        <v>0</v>
      </c>
      <c r="K170" s="4">
        <f t="shared" si="81"/>
        <v>0</v>
      </c>
      <c r="L170" s="4">
        <f t="shared" si="81"/>
        <v>0</v>
      </c>
      <c r="M170" s="4">
        <f t="shared" si="81"/>
        <v>0</v>
      </c>
      <c r="N170" s="4">
        <f t="shared" si="81"/>
        <v>0</v>
      </c>
      <c r="O170" s="4">
        <f t="shared" si="81"/>
        <v>0</v>
      </c>
      <c r="P170" s="4">
        <f t="shared" si="81"/>
        <v>0</v>
      </c>
      <c r="Q170" s="4">
        <f t="shared" si="81"/>
        <v>0</v>
      </c>
      <c r="R170" s="4">
        <f t="shared" si="81"/>
        <v>0</v>
      </c>
      <c r="S170" s="4">
        <f t="shared" si="81"/>
        <v>0</v>
      </c>
      <c r="T170" s="4">
        <f t="shared" si="81"/>
        <v>0</v>
      </c>
      <c r="U170" s="4">
        <f t="shared" si="81"/>
        <v>0</v>
      </c>
      <c r="V170" s="4">
        <f t="shared" si="81"/>
        <v>0</v>
      </c>
      <c r="W170" s="4">
        <f t="shared" si="81"/>
        <v>0</v>
      </c>
      <c r="X170" s="4">
        <f t="shared" si="81"/>
        <v>0</v>
      </c>
      <c r="Y170" s="4">
        <f t="shared" si="81"/>
        <v>0</v>
      </c>
      <c r="Z170" s="4">
        <f t="shared" si="81"/>
        <v>0</v>
      </c>
      <c r="AA170" s="4">
        <f t="shared" si="81"/>
        <v>0</v>
      </c>
      <c r="AB170" s="4">
        <f t="shared" si="81"/>
        <v>0</v>
      </c>
      <c r="AC170" s="4">
        <f t="shared" si="81"/>
        <v>0</v>
      </c>
      <c r="AD170" s="4">
        <f t="shared" si="81"/>
        <v>0</v>
      </c>
      <c r="AE170" s="4">
        <f t="shared" si="81"/>
        <v>0</v>
      </c>
      <c r="AF170" s="4">
        <f t="shared" si="81"/>
        <v>0</v>
      </c>
      <c r="AG170" s="4">
        <f t="shared" si="81"/>
        <v>0</v>
      </c>
      <c r="AH170" s="4">
        <f t="shared" si="81"/>
        <v>0</v>
      </c>
      <c r="AI170" s="4">
        <f t="shared" si="81"/>
        <v>0</v>
      </c>
      <c r="AJ170" s="4">
        <f t="shared" si="81"/>
        <v>0</v>
      </c>
      <c r="AK170" s="4">
        <f t="shared" si="81"/>
        <v>0</v>
      </c>
      <c r="AL170" s="4">
        <f t="shared" si="81"/>
        <v>0</v>
      </c>
      <c r="AM170" s="4">
        <f t="shared" si="81"/>
        <v>0</v>
      </c>
      <c r="AN170" s="4">
        <f t="shared" si="81"/>
        <v>0</v>
      </c>
      <c r="AO170" s="4">
        <f t="shared" si="81"/>
        <v>0</v>
      </c>
      <c r="AP170" s="4">
        <f t="shared" si="81"/>
        <v>0</v>
      </c>
      <c r="AQ170" s="4">
        <f t="shared" si="81"/>
        <v>0</v>
      </c>
    </row>
    <row r="171" spans="1:55" x14ac:dyDescent="0.2">
      <c r="A171" t="s">
        <v>113</v>
      </c>
      <c r="C171" s="4">
        <f t="shared" ref="C171:G171" si="82">SUM(C172:C173)</f>
        <v>1459.9133333333332</v>
      </c>
      <c r="D171" s="4">
        <f t="shared" si="82"/>
        <v>2844.8266666666664</v>
      </c>
      <c r="E171" s="4">
        <f t="shared" si="82"/>
        <v>4229.74</v>
      </c>
      <c r="F171" s="4">
        <f t="shared" si="82"/>
        <v>5614.6533333333327</v>
      </c>
      <c r="G171" s="4">
        <f t="shared" si="82"/>
        <v>6566.2333333333327</v>
      </c>
      <c r="H171" s="4">
        <f t="shared" ref="H171:AQ171" ca="1" si="83">SUM(H172:H173)</f>
        <v>7517.8133333333326</v>
      </c>
      <c r="I171" s="4">
        <f t="shared" ca="1" si="83"/>
        <v>9043.6357575757575</v>
      </c>
      <c r="J171" s="4">
        <f t="shared" ca="1" si="83"/>
        <v>10419.458181818181</v>
      </c>
      <c r="K171" s="4">
        <f t="shared" ca="1" si="83"/>
        <v>11945.280606060607</v>
      </c>
      <c r="L171" s="4">
        <f t="shared" ca="1" si="83"/>
        <v>12896.860606060607</v>
      </c>
      <c r="M171" s="4">
        <f t="shared" ca="1" si="83"/>
        <v>14598.440606060607</v>
      </c>
      <c r="N171" s="4">
        <f t="shared" ca="1" si="83"/>
        <v>19600.020606060607</v>
      </c>
      <c r="O171" s="4">
        <f t="shared" ca="1" si="83"/>
        <v>27850.085454545457</v>
      </c>
      <c r="P171" s="4">
        <f t="shared" ca="1" si="83"/>
        <v>32144.827969696977</v>
      </c>
      <c r="Q171" s="4">
        <f t="shared" ca="1" si="83"/>
        <v>33589.570484848504</v>
      </c>
      <c r="R171" s="4">
        <f t="shared" ca="1" si="83"/>
        <v>31134.31300000002</v>
      </c>
      <c r="S171" s="4">
        <f t="shared" ca="1" si="83"/>
        <v>26780.570666666688</v>
      </c>
      <c r="T171" s="4">
        <f t="shared" ca="1" si="83"/>
        <v>28032.150666666694</v>
      </c>
      <c r="U171" s="4">
        <f t="shared" ca="1" si="83"/>
        <v>29950.397333333363</v>
      </c>
      <c r="V171" s="4">
        <f t="shared" ca="1" si="83"/>
        <v>28010.227757575791</v>
      </c>
      <c r="W171" s="4">
        <f t="shared" ca="1" si="83"/>
        <v>26070.058181818222</v>
      </c>
      <c r="X171" s="4">
        <f t="shared" ca="1" si="83"/>
        <v>23463.221939393981</v>
      </c>
      <c r="Y171" s="4">
        <f t="shared" ca="1" si="83"/>
        <v>25164.801939393983</v>
      </c>
      <c r="Z171" s="4">
        <f t="shared" ca="1" si="83"/>
        <v>29866.381939393985</v>
      </c>
      <c r="AA171" s="4">
        <f t="shared" ca="1" si="83"/>
        <v>37934.628606060651</v>
      </c>
      <c r="AB171" s="4">
        <f t="shared" ca="1" si="83"/>
        <v>39636.04278787884</v>
      </c>
      <c r="AC171" s="4">
        <f t="shared" ca="1" si="83"/>
        <v>38337.456969697021</v>
      </c>
      <c r="AD171" s="4">
        <f t="shared" ca="1" si="83"/>
        <v>33288.871151515203</v>
      </c>
      <c r="AE171" s="4">
        <f t="shared" ca="1" si="83"/>
        <v>26973.618666666724</v>
      </c>
      <c r="AF171" s="4">
        <f t="shared" ca="1" si="83"/>
        <v>27625.198666666725</v>
      </c>
      <c r="AG171" s="4">
        <f t="shared" ca="1" si="83"/>
        <v>28576.778666666727</v>
      </c>
      <c r="AH171" s="4">
        <f t="shared" ca="1" si="83"/>
        <v>23465.133142857205</v>
      </c>
      <c r="AI171" s="4">
        <f t="shared" ca="1" si="83"/>
        <v>18503.487619047679</v>
      </c>
      <c r="AJ171" s="4">
        <f t="shared" ca="1" si="83"/>
        <v>13091.842095238157</v>
      </c>
      <c r="AK171" s="4">
        <f t="shared" ca="1" si="83"/>
        <v>14193.422095238157</v>
      </c>
      <c r="AL171" s="4">
        <f t="shared" ca="1" si="83"/>
        <v>15895.002095238156</v>
      </c>
      <c r="AM171" s="4">
        <f t="shared" ca="1" si="83"/>
        <v>18646.582095238162</v>
      </c>
      <c r="AN171" s="4">
        <f t="shared" ca="1" si="83"/>
        <v>15334.936571428636</v>
      </c>
      <c r="AO171" s="4">
        <f t="shared" ca="1" si="83"/>
        <v>11123.291047619115</v>
      </c>
      <c r="AP171" s="4">
        <f t="shared" ca="1" si="83"/>
        <v>5561.6455238095923</v>
      </c>
      <c r="AQ171" s="4">
        <f t="shared" ca="1" si="83"/>
        <v>6.8894223659299314E-11</v>
      </c>
    </row>
    <row r="172" spans="1:55" s="75" customFormat="1" outlineLevel="1" x14ac:dyDescent="0.2">
      <c r="A172" s="74" t="s">
        <v>127</v>
      </c>
      <c r="C172" s="76">
        <f t="shared" ref="C172:AQ172" si="84">C52</f>
        <v>1397.4133333333332</v>
      </c>
      <c r="D172" s="76">
        <f t="shared" si="84"/>
        <v>2794.8266666666664</v>
      </c>
      <c r="E172" s="76">
        <f t="shared" si="84"/>
        <v>4192.24</v>
      </c>
      <c r="F172" s="76">
        <f t="shared" si="84"/>
        <v>5589.6533333333327</v>
      </c>
      <c r="G172" s="76">
        <f t="shared" si="84"/>
        <v>6441.6219343696021</v>
      </c>
      <c r="H172" s="76">
        <f t="shared" ca="1" si="84"/>
        <v>7470.3249851666369</v>
      </c>
      <c r="I172" s="76">
        <f t="shared" ca="1" si="84"/>
        <v>8923.2704602060967</v>
      </c>
      <c r="J172" s="76">
        <f t="shared" ca="1" si="84"/>
        <v>10376.215935245556</v>
      </c>
      <c r="K172" s="76">
        <f t="shared" ca="1" si="84"/>
        <v>11829.161410285016</v>
      </c>
      <c r="L172" s="76">
        <f t="shared" ca="1" si="84"/>
        <v>12857.864461082052</v>
      </c>
      <c r="M172" s="76">
        <f t="shared" ca="1" si="84"/>
        <v>14571.827477915233</v>
      </c>
      <c r="N172" s="76">
        <f t="shared" ca="1" si="84"/>
        <v>19451.329580127254</v>
      </c>
      <c r="O172" s="76">
        <f t="shared" ca="1" si="84"/>
        <v>27739.987949099082</v>
      </c>
      <c r="P172" s="76">
        <f t="shared" ca="1" si="84"/>
        <v>32044.960845782716</v>
      </c>
      <c r="Q172" s="76">
        <f t="shared" ca="1" si="84"/>
        <v>33541.455412745439</v>
      </c>
      <c r="R172" s="76">
        <f t="shared" ca="1" si="84"/>
        <v>31013.101239247782</v>
      </c>
      <c r="S172" s="76">
        <f t="shared" ca="1" si="84"/>
        <v>26684.993343031394</v>
      </c>
      <c r="T172" s="76">
        <f t="shared" ca="1" si="84"/>
        <v>27939.933344058114</v>
      </c>
      <c r="U172" s="76">
        <f t="shared" ca="1" si="84"/>
        <v>29861.540011751502</v>
      </c>
      <c r="V172" s="76">
        <f t="shared" ca="1" si="84"/>
        <v>27924.730437020648</v>
      </c>
      <c r="W172" s="76">
        <f t="shared" ca="1" si="84"/>
        <v>25987.920862289793</v>
      </c>
      <c r="X172" s="76">
        <f t="shared" ca="1" si="84"/>
        <v>23207.710171131504</v>
      </c>
      <c r="Y172" s="76">
        <f t="shared" ca="1" si="84"/>
        <v>25035.528939043194</v>
      </c>
      <c r="Z172" s="76">
        <f t="shared" ca="1" si="84"/>
        <v>29837.929308100243</v>
      </c>
      <c r="AA172" s="76">
        <f t="shared" ca="1" si="84"/>
        <v>37822.570521951668</v>
      </c>
      <c r="AB172" s="76">
        <f t="shared" ca="1" si="84"/>
        <v>39388.740117085035</v>
      </c>
      <c r="AC172" s="76">
        <f t="shared" ca="1" si="84"/>
        <v>38195.892871691241</v>
      </c>
      <c r="AD172" s="76">
        <f t="shared" ca="1" si="84"/>
        <v>33185.033715435449</v>
      </c>
      <c r="AE172" s="76">
        <f t="shared" ca="1" si="84"/>
        <v>26482.356784562311</v>
      </c>
      <c r="AF172" s="76">
        <f t="shared" ca="1" si="84"/>
        <v>27496.512338537654</v>
      </c>
      <c r="AG172" s="76">
        <f t="shared" ca="1" si="84"/>
        <v>28510.667892512996</v>
      </c>
      <c r="AH172" s="76">
        <f t="shared" ca="1" si="84"/>
        <v>23461.597922678815</v>
      </c>
      <c r="AI172" s="76">
        <f t="shared" ca="1" si="84"/>
        <v>18412.527952844634</v>
      </c>
      <c r="AJ172" s="76">
        <f t="shared" ca="1" si="84"/>
        <v>13085.732419100677</v>
      </c>
      <c r="AK172" s="76">
        <f t="shared" ca="1" si="84"/>
        <v>14127.467396251483</v>
      </c>
      <c r="AL172" s="76">
        <f t="shared" ca="1" si="84"/>
        <v>15873.75234359899</v>
      </c>
      <c r="AM172" s="76">
        <f t="shared" ca="1" si="84"/>
        <v>18348.072260149758</v>
      </c>
      <c r="AN172" s="76">
        <f t="shared" ca="1" si="84"/>
        <v>15134.926636995908</v>
      </c>
      <c r="AO172" s="76">
        <f t="shared" ca="1" si="84"/>
        <v>11123.291047619132</v>
      </c>
      <c r="AP172" s="76">
        <f t="shared" ca="1" si="84"/>
        <v>5561.6455238096087</v>
      </c>
      <c r="AQ172" s="76">
        <f t="shared" ca="1" si="84"/>
        <v>8.5492501966655254E-11</v>
      </c>
      <c r="AR172"/>
      <c r="AS172"/>
      <c r="AT172"/>
      <c r="AU172"/>
      <c r="AV172"/>
      <c r="AW172"/>
      <c r="AX172"/>
      <c r="AY172"/>
      <c r="AZ172"/>
      <c r="BA172"/>
      <c r="BB172"/>
      <c r="BC172"/>
    </row>
    <row r="173" spans="1:55" s="75" customFormat="1" outlineLevel="1" x14ac:dyDescent="0.2">
      <c r="A173" s="74" t="s">
        <v>128</v>
      </c>
      <c r="C173" s="76">
        <f t="shared" ref="C173:AQ173" si="85">C36</f>
        <v>62.5</v>
      </c>
      <c r="D173" s="76">
        <f t="shared" si="85"/>
        <v>50</v>
      </c>
      <c r="E173" s="76">
        <f t="shared" si="85"/>
        <v>37.5</v>
      </c>
      <c r="F173" s="76">
        <f t="shared" si="85"/>
        <v>25</v>
      </c>
      <c r="G173" s="76">
        <f t="shared" si="85"/>
        <v>124.61139896373055</v>
      </c>
      <c r="H173" s="76">
        <f t="shared" ca="1" si="85"/>
        <v>47.488348166695573</v>
      </c>
      <c r="I173" s="76">
        <f t="shared" ca="1" si="85"/>
        <v>120.36529736966054</v>
      </c>
      <c r="J173" s="76">
        <f t="shared" ca="1" si="85"/>
        <v>43.242246572625504</v>
      </c>
      <c r="K173" s="76">
        <f t="shared" ca="1" si="85"/>
        <v>116.11919577559047</v>
      </c>
      <c r="L173" s="76">
        <f t="shared" ca="1" si="85"/>
        <v>38.996144978555435</v>
      </c>
      <c r="M173" s="76">
        <f t="shared" ca="1" si="85"/>
        <v>26.613128145375185</v>
      </c>
      <c r="N173" s="76">
        <f t="shared" ca="1" si="85"/>
        <v>148.69102593335447</v>
      </c>
      <c r="O173" s="76">
        <f t="shared" ca="1" si="85"/>
        <v>110.09750544637609</v>
      </c>
      <c r="P173" s="76">
        <f t="shared" ca="1" si="85"/>
        <v>99.867123914260446</v>
      </c>
      <c r="Q173" s="76">
        <f t="shared" ca="1" si="85"/>
        <v>48.11507210306354</v>
      </c>
      <c r="R173" s="76">
        <f t="shared" ca="1" si="85"/>
        <v>121.21176075223707</v>
      </c>
      <c r="S173" s="76">
        <f t="shared" ca="1" si="85"/>
        <v>95.577323635294874</v>
      </c>
      <c r="T173" s="76">
        <f t="shared" ca="1" si="85"/>
        <v>92.217322608578229</v>
      </c>
      <c r="U173" s="76">
        <f t="shared" ca="1" si="85"/>
        <v>88.857321581861584</v>
      </c>
      <c r="V173" s="76">
        <f t="shared" ca="1" si="85"/>
        <v>85.497320555144938</v>
      </c>
      <c r="W173" s="76">
        <f t="shared" ca="1" si="85"/>
        <v>82.137319528428293</v>
      </c>
      <c r="X173" s="76">
        <f t="shared" ca="1" si="85"/>
        <v>255.51176826247729</v>
      </c>
      <c r="Y173" s="76">
        <f t="shared" ca="1" si="85"/>
        <v>129.27300035078997</v>
      </c>
      <c r="Z173" s="76">
        <f t="shared" ca="1" si="85"/>
        <v>28.452631293742343</v>
      </c>
      <c r="AA173" s="76">
        <f t="shared" ca="1" si="85"/>
        <v>112.05808410898589</v>
      </c>
      <c r="AB173" s="76">
        <f t="shared" ca="1" si="85"/>
        <v>247.30267079380246</v>
      </c>
      <c r="AC173" s="76">
        <f t="shared" ca="1" si="85"/>
        <v>141.56409800578058</v>
      </c>
      <c r="AD173" s="76">
        <f t="shared" ca="1" si="85"/>
        <v>103.83743607975521</v>
      </c>
      <c r="AE173" s="76">
        <f t="shared" ca="1" si="85"/>
        <v>491.26188210441353</v>
      </c>
      <c r="AF173" s="76">
        <f t="shared" ca="1" si="85"/>
        <v>128.68632812907185</v>
      </c>
      <c r="AG173" s="76">
        <f t="shared" ca="1" si="85"/>
        <v>66.110774153730176</v>
      </c>
      <c r="AH173" s="76">
        <f t="shared" ca="1" si="85"/>
        <v>3.5352201783884993</v>
      </c>
      <c r="AI173" s="76">
        <f t="shared" ca="1" si="85"/>
        <v>90.959666203046822</v>
      </c>
      <c r="AJ173" s="76">
        <f t="shared" ca="1" si="85"/>
        <v>6.1096761374794823</v>
      </c>
      <c r="AK173" s="76">
        <f t="shared" ca="1" si="85"/>
        <v>65.954698986674657</v>
      </c>
      <c r="AL173" s="76">
        <f t="shared" ca="1" si="85"/>
        <v>21.249751639167698</v>
      </c>
      <c r="AM173" s="76">
        <f t="shared" ca="1" si="85"/>
        <v>298.50983508840204</v>
      </c>
      <c r="AN173" s="76">
        <f t="shared" ca="1" si="85"/>
        <v>200.00993443272819</v>
      </c>
      <c r="AO173" s="76">
        <f t="shared" ca="1" si="85"/>
        <v>-1.659827830735594E-11</v>
      </c>
      <c r="AP173" s="76">
        <f t="shared" ca="1" si="85"/>
        <v>-1.659827830735594E-11</v>
      </c>
      <c r="AQ173" s="76">
        <f t="shared" ca="1" si="85"/>
        <v>-1.659827830735594E-11</v>
      </c>
      <c r="AR173"/>
      <c r="AS173"/>
      <c r="AT173"/>
      <c r="AU173"/>
      <c r="AV173"/>
      <c r="AW173"/>
      <c r="AX173"/>
      <c r="AY173"/>
      <c r="AZ173"/>
      <c r="BA173"/>
      <c r="BB173"/>
      <c r="BC173"/>
    </row>
    <row r="174" spans="1:55" x14ac:dyDescent="0.2">
      <c r="A174" t="s">
        <v>114</v>
      </c>
      <c r="C174" s="4">
        <f>-C157</f>
        <v>10000</v>
      </c>
      <c r="D174" s="4">
        <f t="shared" ref="D174:AQ174" si="86">C174+D133</f>
        <v>9916.6666666666661</v>
      </c>
      <c r="E174" s="4">
        <f t="shared" si="86"/>
        <v>9834.0277777777774</v>
      </c>
      <c r="F174" s="4">
        <f t="shared" si="86"/>
        <v>9752.0775462962956</v>
      </c>
      <c r="G174" s="4">
        <f t="shared" si="86"/>
        <v>9670.8102334104933</v>
      </c>
      <c r="H174" s="4">
        <f t="shared" si="86"/>
        <v>9590.2201481320717</v>
      </c>
      <c r="I174" s="4">
        <f t="shared" si="86"/>
        <v>9510.3016468976384</v>
      </c>
      <c r="J174" s="4">
        <f t="shared" si="86"/>
        <v>9431.049133173492</v>
      </c>
      <c r="K174" s="4">
        <f t="shared" si="86"/>
        <v>9352.4570570637134</v>
      </c>
      <c r="L174" s="4">
        <f t="shared" si="86"/>
        <v>9274.519914921515</v>
      </c>
      <c r="M174" s="4">
        <f t="shared" si="86"/>
        <v>9197.2322489638354</v>
      </c>
      <c r="N174" s="4">
        <f t="shared" si="86"/>
        <v>9120.5886468891367</v>
      </c>
      <c r="O174" s="4">
        <f t="shared" si="86"/>
        <v>9044.5837414983944</v>
      </c>
      <c r="P174" s="4">
        <f t="shared" si="86"/>
        <v>8969.2122103192414</v>
      </c>
      <c r="Q174" s="4">
        <f t="shared" si="86"/>
        <v>8894.4687752332484</v>
      </c>
      <c r="R174" s="4">
        <f t="shared" si="86"/>
        <v>8820.3482021063046</v>
      </c>
      <c r="S174" s="4">
        <f t="shared" si="86"/>
        <v>8746.8453004220846</v>
      </c>
      <c r="T174" s="4">
        <f t="shared" si="86"/>
        <v>8673.9549229185668</v>
      </c>
      <c r="U174" s="4">
        <f t="shared" si="86"/>
        <v>8601.6719652275788</v>
      </c>
      <c r="V174" s="4">
        <f t="shared" si="86"/>
        <v>8529.9913655173495</v>
      </c>
      <c r="W174" s="4">
        <f t="shared" si="86"/>
        <v>8458.9081041380377</v>
      </c>
      <c r="X174" s="4">
        <f t="shared" si="86"/>
        <v>8388.4172032702209</v>
      </c>
      <c r="Y174" s="4">
        <f t="shared" si="86"/>
        <v>8318.5137265763024</v>
      </c>
      <c r="Z174" s="4">
        <f t="shared" si="86"/>
        <v>8249.1927788548328</v>
      </c>
      <c r="AA174" s="4">
        <f t="shared" si="86"/>
        <v>8180.4495056977094</v>
      </c>
      <c r="AB174" s="4">
        <f t="shared" si="86"/>
        <v>8112.2790931502286</v>
      </c>
      <c r="AC174" s="4">
        <f t="shared" si="86"/>
        <v>8044.6767673739769</v>
      </c>
      <c r="AD174" s="4">
        <f t="shared" si="86"/>
        <v>7977.6377943125271</v>
      </c>
      <c r="AE174" s="4">
        <f t="shared" si="86"/>
        <v>7911.1574793599229</v>
      </c>
      <c r="AF174" s="4">
        <f t="shared" si="86"/>
        <v>7845.2311670319232</v>
      </c>
      <c r="AG174" s="4">
        <f t="shared" si="86"/>
        <v>7779.8542406399902</v>
      </c>
      <c r="AH174" s="4">
        <f t="shared" si="86"/>
        <v>7715.0221219679906</v>
      </c>
      <c r="AI174" s="4">
        <f t="shared" si="86"/>
        <v>7650.7302709515907</v>
      </c>
      <c r="AJ174" s="4">
        <f t="shared" si="86"/>
        <v>7586.9741853603273</v>
      </c>
      <c r="AK174" s="4">
        <f t="shared" si="86"/>
        <v>7523.7494004823247</v>
      </c>
      <c r="AL174" s="4">
        <f t="shared" si="86"/>
        <v>7461.0514888116386</v>
      </c>
      <c r="AM174" s="4">
        <f t="shared" si="86"/>
        <v>7398.8760597382079</v>
      </c>
      <c r="AN174" s="4">
        <f t="shared" si="86"/>
        <v>7337.2187592403898</v>
      </c>
      <c r="AO174" s="4">
        <f t="shared" si="86"/>
        <v>7276.0752695800529</v>
      </c>
      <c r="AP174" s="4">
        <f t="shared" si="86"/>
        <v>7215.441309000219</v>
      </c>
      <c r="AQ174" s="4">
        <f t="shared" si="86"/>
        <v>7155.3126314252168</v>
      </c>
    </row>
    <row r="175" spans="1:55" s="1" customFormat="1" x14ac:dyDescent="0.2">
      <c r="A175" s="57" t="s">
        <v>115</v>
      </c>
      <c r="B175" s="57"/>
      <c r="C175" s="72">
        <f t="shared" ref="C175:AQ175" si="87">SUM(C169:C171,C174)</f>
        <v>11482.886666666667</v>
      </c>
      <c r="D175" s="72">
        <f t="shared" si="87"/>
        <v>12865.773333333333</v>
      </c>
      <c r="E175" s="72">
        <f t="shared" si="87"/>
        <v>14171.554444444444</v>
      </c>
      <c r="F175" s="72">
        <f t="shared" si="87"/>
        <v>15407.074212962962</v>
      </c>
      <c r="G175" s="72">
        <f t="shared" si="87"/>
        <v>16327.860233410494</v>
      </c>
      <c r="H175" s="72">
        <f t="shared" ca="1" si="87"/>
        <v>17210.940148132071</v>
      </c>
      <c r="I175" s="72">
        <f t="shared" ca="1" si="87"/>
        <v>18604.362859018853</v>
      </c>
      <c r="J175" s="72">
        <f t="shared" ca="1" si="87"/>
        <v>19861.330345294704</v>
      </c>
      <c r="K175" s="72">
        <f t="shared" ca="1" si="87"/>
        <v>21337.408269184925</v>
      </c>
      <c r="L175" s="72">
        <f t="shared" ca="1" si="87"/>
        <v>22231.069914921518</v>
      </c>
      <c r="M175" s="72">
        <f t="shared" ca="1" si="87"/>
        <v>23807.502248963836</v>
      </c>
      <c r="N175" s="72">
        <f t="shared" ca="1" si="87"/>
        <v>28758.028646889139</v>
      </c>
      <c r="O175" s="72">
        <f t="shared" ca="1" si="87"/>
        <v>37568.736165740818</v>
      </c>
      <c r="P175" s="72">
        <f t="shared" ca="1" si="87"/>
        <v>41201.762301228344</v>
      </c>
      <c r="Q175" s="72">
        <f t="shared" ca="1" si="87"/>
        <v>43657.185872809023</v>
      </c>
      <c r="R175" s="72">
        <f t="shared" ca="1" si="87"/>
        <v>46391.46296634875</v>
      </c>
      <c r="S175" s="72">
        <f t="shared" ca="1" si="87"/>
        <v>48702.115307088774</v>
      </c>
      <c r="T175" s="72">
        <f t="shared" ca="1" si="87"/>
        <v>56266.352949585256</v>
      </c>
      <c r="U175" s="72">
        <f t="shared" ca="1" si="87"/>
        <v>55578.623325227614</v>
      </c>
      <c r="V175" s="72">
        <f t="shared" ca="1" si="87"/>
        <v>57290.655574002238</v>
      </c>
      <c r="W175" s="72">
        <f t="shared" ca="1" si="87"/>
        <v>58786.535590198691</v>
      </c>
      <c r="X175" s="72">
        <f t="shared" ca="1" si="87"/>
        <v>60166.424204482384</v>
      </c>
      <c r="Y175" s="72">
        <f t="shared" ca="1" si="87"/>
        <v>59147.74072778847</v>
      </c>
      <c r="Z175" s="72">
        <f t="shared" ca="1" si="87"/>
        <v>57748.940638248823</v>
      </c>
      <c r="AA175" s="72">
        <f t="shared" ca="1" si="87"/>
        <v>46202.250698425029</v>
      </c>
      <c r="AB175" s="72">
        <f t="shared" ca="1" si="87"/>
        <v>47825.285982847257</v>
      </c>
      <c r="AC175" s="72">
        <f t="shared" ca="1" si="87"/>
        <v>46538.190212222522</v>
      </c>
      <c r="AD175" s="72">
        <f t="shared" ca="1" si="87"/>
        <v>41357.356936130767</v>
      </c>
      <c r="AE175" s="72">
        <f t="shared" ca="1" si="87"/>
        <v>34981.248984814534</v>
      </c>
      <c r="AF175" s="72">
        <f t="shared" ca="1" si="87"/>
        <v>36966.295247031994</v>
      </c>
      <c r="AG175" s="72">
        <f t="shared" ca="1" si="87"/>
        <v>36538.388320640064</v>
      </c>
      <c r="AH175" s="72">
        <f t="shared" ca="1" si="87"/>
        <v>40404.943535301398</v>
      </c>
      <c r="AI175" s="72">
        <f t="shared" ca="1" si="87"/>
        <v>43961.603977618332</v>
      </c>
      <c r="AJ175" s="72">
        <f t="shared" ca="1" si="87"/>
        <v>47829.235225360397</v>
      </c>
      <c r="AK175" s="72">
        <f t="shared" ca="1" si="87"/>
        <v>47403.480440482395</v>
      </c>
      <c r="AL175" s="72">
        <f t="shared" ca="1" si="87"/>
        <v>46410.182448811705</v>
      </c>
      <c r="AM175" s="72">
        <f t="shared" ca="1" si="87"/>
        <v>45985.477019738282</v>
      </c>
      <c r="AN175" s="72">
        <f t="shared" ca="1" si="87"/>
        <v>49855.207052573794</v>
      </c>
      <c r="AO175" s="72">
        <f t="shared" ca="1" si="87"/>
        <v>53415.015856246806</v>
      </c>
      <c r="AP175" s="72">
        <f t="shared" ca="1" si="87"/>
        <v>57285.769229000303</v>
      </c>
      <c r="AQ175" s="72">
        <f t="shared" ca="1" si="87"/>
        <v>62274.122764758627</v>
      </c>
      <c r="AR175"/>
      <c r="AS175"/>
      <c r="AT175"/>
      <c r="AU175"/>
      <c r="AV175"/>
      <c r="AW175"/>
      <c r="AX175"/>
      <c r="AY175"/>
      <c r="AZ175"/>
      <c r="BA175"/>
      <c r="BB175"/>
      <c r="BC175"/>
    </row>
    <row r="176" spans="1:55" x14ac:dyDescent="0.2"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</row>
    <row r="177" spans="1:55" x14ac:dyDescent="0.2"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</row>
    <row r="178" spans="1:55" x14ac:dyDescent="0.2">
      <c r="A178" t="s">
        <v>116</v>
      </c>
      <c r="C178" s="4">
        <f t="shared" ref="C178:AQ178" si="88">C165</f>
        <v>11700</v>
      </c>
      <c r="D178" s="4">
        <f t="shared" si="88"/>
        <v>13700</v>
      </c>
      <c r="E178" s="4">
        <f t="shared" si="88"/>
        <v>15700</v>
      </c>
      <c r="F178" s="4">
        <f t="shared" si="88"/>
        <v>17600</v>
      </c>
      <c r="G178" s="4">
        <f t="shared" si="88"/>
        <v>19500</v>
      </c>
      <c r="H178" s="4">
        <f t="shared" si="88"/>
        <v>20200</v>
      </c>
      <c r="I178" s="4">
        <f t="shared" si="88"/>
        <v>22100</v>
      </c>
      <c r="J178" s="4">
        <f t="shared" si="88"/>
        <v>24100</v>
      </c>
      <c r="K178" s="4">
        <f t="shared" si="88"/>
        <v>26400</v>
      </c>
      <c r="L178" s="4">
        <f t="shared" si="88"/>
        <v>28300</v>
      </c>
      <c r="M178" s="4">
        <f t="shared" si="88"/>
        <v>30700</v>
      </c>
      <c r="N178" s="4">
        <f t="shared" si="88"/>
        <v>36600</v>
      </c>
      <c r="O178" s="4">
        <f t="shared" si="88"/>
        <v>46000</v>
      </c>
      <c r="P178" s="4">
        <f t="shared" si="88"/>
        <v>46900</v>
      </c>
      <c r="Q178" s="4">
        <f t="shared" si="88"/>
        <v>46900</v>
      </c>
      <c r="R178" s="4">
        <f t="shared" si="88"/>
        <v>46900</v>
      </c>
      <c r="S178" s="4">
        <f t="shared" si="88"/>
        <v>46900</v>
      </c>
      <c r="T178" s="4">
        <f t="shared" si="88"/>
        <v>46900</v>
      </c>
      <c r="U178" s="4">
        <f t="shared" si="88"/>
        <v>46900</v>
      </c>
      <c r="V178" s="4">
        <f t="shared" si="88"/>
        <v>46900</v>
      </c>
      <c r="W178" s="4">
        <f t="shared" si="88"/>
        <v>46900</v>
      </c>
      <c r="X178" s="4">
        <f t="shared" si="88"/>
        <v>46900</v>
      </c>
      <c r="Y178" s="4">
        <f t="shared" si="88"/>
        <v>46900</v>
      </c>
      <c r="Z178" s="4">
        <f t="shared" si="88"/>
        <v>46900</v>
      </c>
      <c r="AA178" s="4">
        <f t="shared" si="88"/>
        <v>35900</v>
      </c>
      <c r="AB178" s="4">
        <f t="shared" si="88"/>
        <v>32900</v>
      </c>
      <c r="AC178" s="4">
        <f t="shared" si="88"/>
        <v>27300</v>
      </c>
      <c r="AD178" s="4">
        <f t="shared" si="88"/>
        <v>17300</v>
      </c>
      <c r="AE178" s="4">
        <f t="shared" si="88"/>
        <v>6300</v>
      </c>
      <c r="AF178" s="4">
        <f t="shared" si="88"/>
        <v>0</v>
      </c>
      <c r="AG178" s="4">
        <f t="shared" si="88"/>
        <v>0</v>
      </c>
      <c r="AH178" s="4">
        <f t="shared" si="88"/>
        <v>0</v>
      </c>
      <c r="AI178" s="4">
        <f t="shared" si="88"/>
        <v>0</v>
      </c>
      <c r="AJ178" s="4">
        <f t="shared" si="88"/>
        <v>0</v>
      </c>
      <c r="AK178" s="4">
        <f t="shared" si="88"/>
        <v>0</v>
      </c>
      <c r="AL178" s="4">
        <f t="shared" si="88"/>
        <v>0</v>
      </c>
      <c r="AM178" s="4">
        <f t="shared" si="88"/>
        <v>0</v>
      </c>
      <c r="AN178" s="4">
        <f t="shared" si="88"/>
        <v>0</v>
      </c>
      <c r="AO178" s="4">
        <f t="shared" si="88"/>
        <v>0</v>
      </c>
      <c r="AP178" s="4">
        <f t="shared" si="88"/>
        <v>0</v>
      </c>
      <c r="AQ178" s="4">
        <f t="shared" si="88"/>
        <v>0</v>
      </c>
    </row>
    <row r="179" spans="1:55" x14ac:dyDescent="0.2">
      <c r="A179" t="s">
        <v>117</v>
      </c>
      <c r="C179" s="4">
        <f t="shared" ref="C179:AQ179" si="89">C91</f>
        <v>291.66666666666663</v>
      </c>
      <c r="D179" s="4">
        <f t="shared" si="89"/>
        <v>291.66666666666663</v>
      </c>
      <c r="E179" s="4">
        <f t="shared" si="89"/>
        <v>291.66666666666674</v>
      </c>
      <c r="F179" s="4">
        <f t="shared" si="89"/>
        <v>291.66666666666674</v>
      </c>
      <c r="G179" s="4">
        <f t="shared" si="89"/>
        <v>0</v>
      </c>
      <c r="H179" s="4">
        <f t="shared" si="89"/>
        <v>0</v>
      </c>
      <c r="I179" s="4">
        <f t="shared" si="89"/>
        <v>212.12121212121201</v>
      </c>
      <c r="J179" s="4">
        <f t="shared" si="89"/>
        <v>212.12121212121201</v>
      </c>
      <c r="K179" s="4">
        <f t="shared" si="89"/>
        <v>212.12121212121201</v>
      </c>
      <c r="L179" s="4">
        <f t="shared" si="89"/>
        <v>0</v>
      </c>
      <c r="M179" s="4">
        <f t="shared" si="89"/>
        <v>0</v>
      </c>
      <c r="N179" s="4">
        <f t="shared" si="89"/>
        <v>0</v>
      </c>
      <c r="O179" s="4">
        <f t="shared" si="89"/>
        <v>424.24242424242493</v>
      </c>
      <c r="P179" s="4">
        <f t="shared" si="89"/>
        <v>649.67308424242401</v>
      </c>
      <c r="Q179" s="4">
        <f t="shared" si="89"/>
        <v>424.24242424242402</v>
      </c>
      <c r="R179" s="4">
        <f t="shared" si="89"/>
        <v>424.24242424242402</v>
      </c>
      <c r="S179" s="4">
        <f t="shared" si="89"/>
        <v>676.29198000000019</v>
      </c>
      <c r="T179" s="4">
        <f t="shared" si="89"/>
        <v>0</v>
      </c>
      <c r="U179" s="4">
        <f t="shared" si="89"/>
        <v>333.33333333333394</v>
      </c>
      <c r="V179" s="4">
        <f t="shared" si="89"/>
        <v>497.28290424242482</v>
      </c>
      <c r="W179" s="4">
        <f t="shared" si="89"/>
        <v>333.33333333333394</v>
      </c>
      <c r="X179" s="4">
        <f t="shared" si="89"/>
        <v>0</v>
      </c>
      <c r="Y179" s="4">
        <f t="shared" si="89"/>
        <v>327.89914181818176</v>
      </c>
      <c r="Z179" s="4">
        <f t="shared" si="89"/>
        <v>0</v>
      </c>
      <c r="AA179" s="4">
        <f t="shared" si="89"/>
        <v>333.33333333333212</v>
      </c>
      <c r="AB179" s="4">
        <f t="shared" si="89"/>
        <v>661.23247515151388</v>
      </c>
      <c r="AC179" s="4">
        <f t="shared" si="89"/>
        <v>333.33333333333212</v>
      </c>
      <c r="AD179" s="4">
        <f t="shared" si="89"/>
        <v>333.33333333333212</v>
      </c>
      <c r="AE179" s="4">
        <f t="shared" si="89"/>
        <v>983.69742545454574</v>
      </c>
      <c r="AF179" s="4">
        <f t="shared" si="89"/>
        <v>0</v>
      </c>
      <c r="AG179" s="4">
        <f t="shared" si="89"/>
        <v>0</v>
      </c>
      <c r="AH179" s="4">
        <f t="shared" si="89"/>
        <v>257.63504000000012</v>
      </c>
      <c r="AI179" s="4">
        <f t="shared" si="89"/>
        <v>0</v>
      </c>
      <c r="AJ179" s="4">
        <f t="shared" si="89"/>
        <v>0</v>
      </c>
      <c r="AK179" s="4">
        <f t="shared" si="89"/>
        <v>515.27008000000023</v>
      </c>
      <c r="AL179" s="4">
        <f t="shared" si="89"/>
        <v>0</v>
      </c>
      <c r="AM179" s="4">
        <f t="shared" si="89"/>
        <v>0</v>
      </c>
      <c r="AN179" s="4">
        <f t="shared" si="89"/>
        <v>257.63504000000012</v>
      </c>
      <c r="AO179" s="4">
        <f t="shared" si="89"/>
        <v>0</v>
      </c>
      <c r="AP179" s="4">
        <f t="shared" si="89"/>
        <v>0</v>
      </c>
      <c r="AQ179" s="4">
        <f t="shared" si="89"/>
        <v>0</v>
      </c>
    </row>
    <row r="180" spans="1:55" x14ac:dyDescent="0.2">
      <c r="A180" t="s">
        <v>118</v>
      </c>
      <c r="C180" s="4">
        <f>SUM($C$136:C136)</f>
        <v>-508.78</v>
      </c>
      <c r="D180" s="4">
        <f>SUM($C$136:D136)</f>
        <v>-1125.8933333333334</v>
      </c>
      <c r="E180" s="4">
        <f>SUM($C$136:E136)</f>
        <v>-1820.1122222222223</v>
      </c>
      <c r="F180" s="4">
        <f>SUM($C$136:F136)</f>
        <v>-2484.5924537037035</v>
      </c>
      <c r="G180" s="4">
        <f>SUM($C$136:G136)</f>
        <v>-3172.1397665895061</v>
      </c>
      <c r="H180" s="4">
        <f>SUM($C$136:H136)</f>
        <v>-2989.0598518679267</v>
      </c>
      <c r="I180" s="4">
        <f>SUM($C$136:I136)</f>
        <v>-3707.7583531023606</v>
      </c>
      <c r="J180" s="4">
        <f>SUM($C$136:J136)</f>
        <v>-4450.7908668265072</v>
      </c>
      <c r="K180" s="4">
        <f>SUM($C$136:K136)</f>
        <v>-5274.7129429362867</v>
      </c>
      <c r="L180" s="4">
        <f>SUM($C$136:L136)</f>
        <v>-6068.9300850784839</v>
      </c>
      <c r="M180" s="4">
        <f>SUM($C$136:M136)</f>
        <v>-6892.4977510361632</v>
      </c>
      <c r="N180" s="4">
        <f>SUM($C$136:N136)</f>
        <v>-7841.9713531108619</v>
      </c>
      <c r="O180" s="4">
        <f>SUM($C$136:O136)</f>
        <v>-8855.506258501604</v>
      </c>
      <c r="P180" s="4">
        <f>SUM($C$136:P136)</f>
        <v>-6347.9107830140892</v>
      </c>
      <c r="Q180" s="4">
        <f>SUM($C$136:Q136)</f>
        <v>-3667.0565514334153</v>
      </c>
      <c r="R180" s="4">
        <f>SUM($C$136:R136)</f>
        <v>-932.77945789369141</v>
      </c>
      <c r="S180" s="4">
        <f>SUM($C$136:S136)</f>
        <v>1125.8233270887572</v>
      </c>
      <c r="T180" s="4">
        <f>SUM($C$136:T136)</f>
        <v>9366.3529495852399</v>
      </c>
      <c r="U180" s="4">
        <f>SUM($C$136:U136)</f>
        <v>8345.2899918942512</v>
      </c>
      <c r="V180" s="4">
        <f>SUM($C$136:V136)</f>
        <v>9893.3726697597795</v>
      </c>
      <c r="W180" s="4">
        <f>SUM($C$136:W136)</f>
        <v>11553.202256865316</v>
      </c>
      <c r="X180" s="4">
        <f>SUM($C$136:X136)</f>
        <v>13266.424204482348</v>
      </c>
      <c r="Y180" s="4">
        <f>SUM($C$136:Y136)</f>
        <v>11919.841585970247</v>
      </c>
      <c r="Z180" s="4">
        <f>SUM($C$136:Z136)</f>
        <v>10848.940638248778</v>
      </c>
      <c r="AA180" s="4">
        <f>SUM($C$136:AA136)</f>
        <v>9968.9173650916546</v>
      </c>
      <c r="AB180" s="4">
        <f>SUM($C$136:AB136)</f>
        <v>14264.053507695691</v>
      </c>
      <c r="AC180" s="4">
        <f>SUM($C$136:AC136)</f>
        <v>18904.856878889139</v>
      </c>
      <c r="AD180" s="4">
        <f>SUM($C$136:AD136)</f>
        <v>23724.023602797388</v>
      </c>
      <c r="AE180" s="4">
        <f>SUM($C$136:AE136)</f>
        <v>27697.551559359938</v>
      </c>
      <c r="AF180" s="4">
        <f>SUM($C$136:AF136)</f>
        <v>36966.295247031936</v>
      </c>
      <c r="AG180" s="4">
        <f>SUM($C$136:AG136)</f>
        <v>36538.388320640006</v>
      </c>
      <c r="AH180" s="4">
        <f>SUM($C$136:AH136)</f>
        <v>40147.308495301339</v>
      </c>
      <c r="AI180" s="4">
        <f>SUM($C$136:AI136)</f>
        <v>43961.603977618273</v>
      </c>
      <c r="AJ180" s="4">
        <f>SUM($C$136:AJ136)</f>
        <v>47829.235225360346</v>
      </c>
      <c r="AK180" s="4">
        <f>SUM($C$136:AK136)</f>
        <v>46888.210360482342</v>
      </c>
      <c r="AL180" s="4">
        <f>SUM($C$136:AL136)</f>
        <v>46410.182448811654</v>
      </c>
      <c r="AM180" s="4">
        <f>SUM($C$136:AM136)</f>
        <v>45985.477019738224</v>
      </c>
      <c r="AN180" s="4">
        <f>SUM($C$136:AN136)</f>
        <v>49597.572012573743</v>
      </c>
      <c r="AO180" s="4">
        <f>SUM($C$136:AO136)</f>
        <v>53415.01585624674</v>
      </c>
      <c r="AP180" s="4">
        <f>SUM($C$136:AP136)</f>
        <v>57285.769229000245</v>
      </c>
      <c r="AQ180" s="4">
        <f>SUM($C$136:AQ136)</f>
        <v>62274.122764758577</v>
      </c>
    </row>
    <row r="181" spans="1:55" s="1" customFormat="1" x14ac:dyDescent="0.2">
      <c r="A181" s="57" t="s">
        <v>119</v>
      </c>
      <c r="B181" s="57"/>
      <c r="C181" s="72">
        <f t="shared" ref="C181:AQ181" si="90">SUM(C178:C180)</f>
        <v>11482.886666666665</v>
      </c>
      <c r="D181" s="72">
        <f t="shared" si="90"/>
        <v>12865.773333333333</v>
      </c>
      <c r="E181" s="72">
        <f t="shared" si="90"/>
        <v>14171.554444444444</v>
      </c>
      <c r="F181" s="72">
        <f t="shared" si="90"/>
        <v>15407.074212962965</v>
      </c>
      <c r="G181" s="72">
        <f t="shared" si="90"/>
        <v>16327.860233410494</v>
      </c>
      <c r="H181" s="72">
        <f t="shared" si="90"/>
        <v>17210.940148132075</v>
      </c>
      <c r="I181" s="72">
        <f t="shared" si="90"/>
        <v>18604.362859018853</v>
      </c>
      <c r="J181" s="72">
        <f t="shared" si="90"/>
        <v>19861.330345294704</v>
      </c>
      <c r="K181" s="72">
        <f t="shared" si="90"/>
        <v>21337.408269184925</v>
      </c>
      <c r="L181" s="72">
        <f t="shared" si="90"/>
        <v>22231.069914921514</v>
      </c>
      <c r="M181" s="72">
        <f t="shared" si="90"/>
        <v>23807.502248963836</v>
      </c>
      <c r="N181" s="72">
        <f t="shared" si="90"/>
        <v>28758.028646889139</v>
      </c>
      <c r="O181" s="72">
        <f t="shared" si="90"/>
        <v>37568.736165740818</v>
      </c>
      <c r="P181" s="72">
        <f t="shared" si="90"/>
        <v>41201.762301228329</v>
      </c>
      <c r="Q181" s="72">
        <f t="shared" si="90"/>
        <v>43657.185872809008</v>
      </c>
      <c r="R181" s="72">
        <f t="shared" si="90"/>
        <v>46391.462966348736</v>
      </c>
      <c r="S181" s="72">
        <f t="shared" si="90"/>
        <v>48702.115307088759</v>
      </c>
      <c r="T181" s="72">
        <f t="shared" si="90"/>
        <v>56266.352949585242</v>
      </c>
      <c r="U181" s="72">
        <f t="shared" si="90"/>
        <v>55578.623325227585</v>
      </c>
      <c r="V181" s="72">
        <f t="shared" si="90"/>
        <v>57290.655574002209</v>
      </c>
      <c r="W181" s="72">
        <f t="shared" si="90"/>
        <v>58786.535590198648</v>
      </c>
      <c r="X181" s="72">
        <f t="shared" si="90"/>
        <v>60166.424204482348</v>
      </c>
      <c r="Y181" s="72">
        <f t="shared" si="90"/>
        <v>59147.740727788434</v>
      </c>
      <c r="Z181" s="72">
        <f t="shared" si="90"/>
        <v>57748.94063824878</v>
      </c>
      <c r="AA181" s="72">
        <f t="shared" si="90"/>
        <v>46202.250698424985</v>
      </c>
      <c r="AB181" s="72">
        <f t="shared" si="90"/>
        <v>47825.285982847199</v>
      </c>
      <c r="AC181" s="72">
        <f t="shared" si="90"/>
        <v>46538.190212222471</v>
      </c>
      <c r="AD181" s="72">
        <f t="shared" si="90"/>
        <v>41357.356936130716</v>
      </c>
      <c r="AE181" s="72">
        <f t="shared" si="90"/>
        <v>34981.248984814483</v>
      </c>
      <c r="AF181" s="72">
        <f t="shared" si="90"/>
        <v>36966.295247031936</v>
      </c>
      <c r="AG181" s="72">
        <f t="shared" si="90"/>
        <v>36538.388320640006</v>
      </c>
      <c r="AH181" s="72">
        <f t="shared" si="90"/>
        <v>40404.94353530134</v>
      </c>
      <c r="AI181" s="72">
        <f t="shared" si="90"/>
        <v>43961.603977618273</v>
      </c>
      <c r="AJ181" s="72">
        <f t="shared" si="90"/>
        <v>47829.235225360346</v>
      </c>
      <c r="AK181" s="72">
        <f t="shared" si="90"/>
        <v>47403.480440482344</v>
      </c>
      <c r="AL181" s="72">
        <f t="shared" si="90"/>
        <v>46410.182448811654</v>
      </c>
      <c r="AM181" s="72">
        <f t="shared" si="90"/>
        <v>45985.477019738224</v>
      </c>
      <c r="AN181" s="72">
        <f t="shared" si="90"/>
        <v>49855.207052573744</v>
      </c>
      <c r="AO181" s="72">
        <f t="shared" si="90"/>
        <v>53415.01585624674</v>
      </c>
      <c r="AP181" s="72">
        <f t="shared" si="90"/>
        <v>57285.769229000245</v>
      </c>
      <c r="AQ181" s="72">
        <f t="shared" si="90"/>
        <v>62274.122764758577</v>
      </c>
      <c r="AR181"/>
      <c r="AS181"/>
      <c r="AT181"/>
      <c r="AU181"/>
      <c r="AV181"/>
      <c r="AW181"/>
      <c r="AX181"/>
      <c r="AY181"/>
      <c r="AZ181"/>
      <c r="BA181"/>
      <c r="BB181"/>
      <c r="BC181"/>
    </row>
    <row r="183" spans="1:55" x14ac:dyDescent="0.2">
      <c r="A183" t="s">
        <v>24</v>
      </c>
      <c r="C183" s="163">
        <f>ROUND(C175-C181,2)</f>
        <v>0</v>
      </c>
      <c r="D183" s="163">
        <f t="shared" ref="D183:G183" si="91">ROUND(D175-D181,2)</f>
        <v>0</v>
      </c>
      <c r="E183" s="163">
        <f t="shared" si="91"/>
        <v>0</v>
      </c>
      <c r="F183" s="163">
        <f t="shared" si="91"/>
        <v>0</v>
      </c>
      <c r="G183" s="77">
        <f t="shared" si="91"/>
        <v>0</v>
      </c>
      <c r="H183" s="77">
        <f t="shared" ref="H183:AQ183" ca="1" si="92">ROUND(H175-H181,2)</f>
        <v>0</v>
      </c>
      <c r="I183" s="77">
        <f t="shared" ca="1" si="92"/>
        <v>0</v>
      </c>
      <c r="J183" s="77">
        <f t="shared" ca="1" si="92"/>
        <v>0</v>
      </c>
      <c r="K183" s="77">
        <f t="shared" ca="1" si="92"/>
        <v>0</v>
      </c>
      <c r="L183" s="77">
        <f t="shared" ca="1" si="92"/>
        <v>0</v>
      </c>
      <c r="M183" s="77">
        <f t="shared" ca="1" si="92"/>
        <v>0</v>
      </c>
      <c r="N183" s="77">
        <f t="shared" ca="1" si="92"/>
        <v>0</v>
      </c>
      <c r="O183" s="77">
        <f t="shared" ca="1" si="92"/>
        <v>0</v>
      </c>
      <c r="P183" s="77">
        <f t="shared" ca="1" si="92"/>
        <v>0</v>
      </c>
      <c r="Q183" s="77">
        <f t="shared" ca="1" si="92"/>
        <v>0</v>
      </c>
      <c r="R183" s="77">
        <f t="shared" ca="1" si="92"/>
        <v>0</v>
      </c>
      <c r="S183" s="77">
        <f t="shared" ca="1" si="92"/>
        <v>0</v>
      </c>
      <c r="T183" s="77">
        <f t="shared" ca="1" si="92"/>
        <v>0</v>
      </c>
      <c r="U183" s="77">
        <f t="shared" ca="1" si="92"/>
        <v>0</v>
      </c>
      <c r="V183" s="77">
        <f t="shared" ca="1" si="92"/>
        <v>0</v>
      </c>
      <c r="W183" s="77">
        <f t="shared" ca="1" si="92"/>
        <v>0</v>
      </c>
      <c r="X183" s="77">
        <f t="shared" ca="1" si="92"/>
        <v>0</v>
      </c>
      <c r="Y183" s="77">
        <f t="shared" ca="1" si="92"/>
        <v>0</v>
      </c>
      <c r="Z183" s="77">
        <f t="shared" ca="1" si="92"/>
        <v>0</v>
      </c>
      <c r="AA183" s="77">
        <f t="shared" ca="1" si="92"/>
        <v>0</v>
      </c>
      <c r="AB183" s="77">
        <f t="shared" ca="1" si="92"/>
        <v>0</v>
      </c>
      <c r="AC183" s="77">
        <f t="shared" ca="1" si="92"/>
        <v>0</v>
      </c>
      <c r="AD183" s="77">
        <f t="shared" ca="1" si="92"/>
        <v>0</v>
      </c>
      <c r="AE183" s="77">
        <f t="shared" ca="1" si="92"/>
        <v>0</v>
      </c>
      <c r="AF183" s="77">
        <f t="shared" ca="1" si="92"/>
        <v>0</v>
      </c>
      <c r="AG183" s="77">
        <f t="shared" ca="1" si="92"/>
        <v>0</v>
      </c>
      <c r="AH183" s="77">
        <f t="shared" ca="1" si="92"/>
        <v>0</v>
      </c>
      <c r="AI183" s="77">
        <f t="shared" ca="1" si="92"/>
        <v>0</v>
      </c>
      <c r="AJ183" s="77">
        <f t="shared" ca="1" si="92"/>
        <v>0</v>
      </c>
      <c r="AK183" s="77">
        <f t="shared" ca="1" si="92"/>
        <v>0</v>
      </c>
      <c r="AL183" s="77">
        <f t="shared" ca="1" si="92"/>
        <v>0</v>
      </c>
      <c r="AM183" s="77">
        <f t="shared" ca="1" si="92"/>
        <v>0</v>
      </c>
      <c r="AN183" s="77">
        <f t="shared" ca="1" si="92"/>
        <v>0</v>
      </c>
      <c r="AO183" s="77">
        <f t="shared" ca="1" si="92"/>
        <v>0</v>
      </c>
      <c r="AP183" s="77">
        <f t="shared" ca="1" si="92"/>
        <v>0</v>
      </c>
      <c r="AQ183" s="77">
        <f t="shared" ca="1" si="92"/>
        <v>0</v>
      </c>
    </row>
    <row r="184" spans="1:55" x14ac:dyDescent="0.2">
      <c r="C184" s="4"/>
      <c r="D184" s="4"/>
      <c r="E184" s="4"/>
      <c r="F184" s="4"/>
      <c r="G184" s="4"/>
    </row>
  </sheetData>
  <mergeCells count="5">
    <mergeCell ref="AR2:BC2"/>
    <mergeCell ref="C2:G2"/>
    <mergeCell ref="H2:S2"/>
    <mergeCell ref="T2:AE2"/>
    <mergeCell ref="AF2:AQ2"/>
  </mergeCells>
  <conditionalFormatting sqref="C30:AQ31 C36:AQ36 C163:AQ163">
    <cfRule type="cellIs" dxfId="4" priority="5" operator="lessThan">
      <formula>0</formula>
    </cfRule>
  </conditionalFormatting>
  <conditionalFormatting sqref="C183:AQ183">
    <cfRule type="cellIs" dxfId="3" priority="4" operator="equal">
      <formula>0</formula>
    </cfRule>
  </conditionalFormatting>
  <conditionalFormatting sqref="C14:AQ14">
    <cfRule type="dataBar" priority="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{4668FB64-3D0A-428A-9A41-90A07226A285}</x14:id>
        </ext>
      </extLst>
    </cfRule>
  </conditionalFormatting>
  <pageMargins left="0.70866141732283472" right="0.70866141732283472" top="0.74803149606299213" bottom="0.74803149606299213" header="0.31496062992125984" footer="0.31496062992125984"/>
  <pageSetup paperSize="8" scale="75" orientation="landscape" r:id="rId1"/>
  <rowBreaks count="2" manualBreakCount="2">
    <brk id="58" max="16383" man="1"/>
    <brk id="163" max="16383" man="1"/>
  </rowBreaks>
  <colBreaks count="1" manualBreakCount="1">
    <brk id="19" max="1048575" man="1"/>
  </col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4668FB64-3D0A-428A-9A41-90A07226A285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C14:AQ14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5"/>
  <sheetViews>
    <sheetView topLeftCell="A17" zoomScale="70" zoomScaleNormal="70" workbookViewId="0">
      <selection activeCell="L84" sqref="L84"/>
    </sheetView>
  </sheetViews>
  <sheetFormatPr defaultRowHeight="12.75" x14ac:dyDescent="0.2"/>
  <cols>
    <col min="14" max="22" width="7.28515625" customWidth="1"/>
  </cols>
  <sheetData>
    <row r="1" spans="1:1" x14ac:dyDescent="0.2">
      <c r="A1" s="36" t="s">
        <v>25</v>
      </c>
    </row>
    <row r="31" spans="13:22" x14ac:dyDescent="0.2">
      <c r="N31" s="1">
        <v>50</v>
      </c>
      <c r="O31" s="1">
        <v>100</v>
      </c>
      <c r="P31" s="1">
        <v>170</v>
      </c>
      <c r="R31" s="1">
        <v>50</v>
      </c>
      <c r="S31" s="1">
        <v>100</v>
      </c>
      <c r="T31" s="1">
        <v>170</v>
      </c>
      <c r="U31" s="1"/>
      <c r="V31" s="1"/>
    </row>
    <row r="32" spans="13:22" x14ac:dyDescent="0.2">
      <c r="M32" s="37" t="s">
        <v>30</v>
      </c>
      <c r="N32" s="38">
        <v>52</v>
      </c>
      <c r="O32" s="38">
        <v>103</v>
      </c>
      <c r="P32" s="38">
        <v>175</v>
      </c>
      <c r="Q32" s="38"/>
      <c r="R32" s="38">
        <f t="shared" ref="R32:R54" si="0">N32-N31</f>
        <v>2</v>
      </c>
      <c r="S32" s="38">
        <f t="shared" ref="S32:S54" si="1">O32-O31</f>
        <v>3</v>
      </c>
      <c r="T32" s="39">
        <f t="shared" ref="T32:T54" si="2">P32-P31</f>
        <v>5</v>
      </c>
      <c r="U32" s="11"/>
      <c r="V32" s="11"/>
    </row>
    <row r="33" spans="13:22" x14ac:dyDescent="0.2">
      <c r="M33" s="40"/>
      <c r="N33" s="11">
        <v>56</v>
      </c>
      <c r="O33" s="11">
        <v>109</v>
      </c>
      <c r="P33" s="11">
        <v>184</v>
      </c>
      <c r="Q33" s="11"/>
      <c r="R33" s="11">
        <f t="shared" si="0"/>
        <v>4</v>
      </c>
      <c r="S33" s="11">
        <f t="shared" si="1"/>
        <v>6</v>
      </c>
      <c r="T33" s="41">
        <f t="shared" si="2"/>
        <v>9</v>
      </c>
      <c r="U33" s="11"/>
      <c r="V33" s="11"/>
    </row>
    <row r="34" spans="13:22" x14ac:dyDescent="0.2">
      <c r="M34" s="42"/>
      <c r="N34" s="43">
        <v>65</v>
      </c>
      <c r="O34" s="43">
        <v>122</v>
      </c>
      <c r="P34" s="43">
        <v>203</v>
      </c>
      <c r="Q34" s="43"/>
      <c r="R34" s="43">
        <f t="shared" si="0"/>
        <v>9</v>
      </c>
      <c r="S34" s="43">
        <f t="shared" si="1"/>
        <v>13</v>
      </c>
      <c r="T34" s="44">
        <f t="shared" si="2"/>
        <v>19</v>
      </c>
      <c r="U34" s="11"/>
      <c r="V34" s="11"/>
    </row>
    <row r="35" spans="13:22" x14ac:dyDescent="0.2">
      <c r="M35" s="37" t="s">
        <v>31</v>
      </c>
      <c r="N35" s="38">
        <v>75</v>
      </c>
      <c r="O35" s="38">
        <v>137</v>
      </c>
      <c r="P35" s="38">
        <v>224</v>
      </c>
      <c r="Q35" s="38"/>
      <c r="R35" s="38">
        <f t="shared" si="0"/>
        <v>10</v>
      </c>
      <c r="S35" s="38">
        <f t="shared" si="1"/>
        <v>15</v>
      </c>
      <c r="T35" s="39">
        <f t="shared" si="2"/>
        <v>21</v>
      </c>
      <c r="U35" s="11"/>
      <c r="V35" s="11"/>
    </row>
    <row r="36" spans="13:22" x14ac:dyDescent="0.2">
      <c r="M36" s="40"/>
      <c r="N36" s="11">
        <v>87</v>
      </c>
      <c r="O36" s="11">
        <v>156</v>
      </c>
      <c r="P36" s="11">
        <v>262</v>
      </c>
      <c r="Q36" s="11"/>
      <c r="R36" s="11">
        <f t="shared" si="0"/>
        <v>12</v>
      </c>
      <c r="S36" s="11">
        <f t="shared" si="1"/>
        <v>19</v>
      </c>
      <c r="T36" s="41">
        <f t="shared" si="2"/>
        <v>38</v>
      </c>
      <c r="U36" s="11"/>
      <c r="V36" s="11"/>
    </row>
    <row r="37" spans="13:22" x14ac:dyDescent="0.2">
      <c r="M37" s="42"/>
      <c r="N37" s="43">
        <v>104</v>
      </c>
      <c r="O37" s="43">
        <v>182</v>
      </c>
      <c r="P37" s="43">
        <v>306</v>
      </c>
      <c r="Q37" s="43"/>
      <c r="R37" s="43">
        <f t="shared" si="0"/>
        <v>17</v>
      </c>
      <c r="S37" s="43">
        <f t="shared" si="1"/>
        <v>26</v>
      </c>
      <c r="T37" s="44">
        <f t="shared" si="2"/>
        <v>44</v>
      </c>
      <c r="U37" s="11"/>
      <c r="V37" s="11"/>
    </row>
    <row r="38" spans="13:22" x14ac:dyDescent="0.2">
      <c r="M38" s="37" t="s">
        <v>32</v>
      </c>
      <c r="N38" s="38">
        <v>127</v>
      </c>
      <c r="O38" s="38">
        <v>217</v>
      </c>
      <c r="P38" s="38">
        <v>359</v>
      </c>
      <c r="Q38" s="38"/>
      <c r="R38" s="38">
        <f t="shared" si="0"/>
        <v>23</v>
      </c>
      <c r="S38" s="38">
        <f t="shared" si="1"/>
        <v>35</v>
      </c>
      <c r="T38" s="39">
        <f t="shared" si="2"/>
        <v>53</v>
      </c>
      <c r="U38" s="11"/>
      <c r="V38" s="11"/>
    </row>
    <row r="39" spans="13:22" x14ac:dyDescent="0.2">
      <c r="M39" s="40"/>
      <c r="N39" s="11">
        <v>158</v>
      </c>
      <c r="O39" s="11">
        <v>263</v>
      </c>
      <c r="P39" s="11">
        <v>427</v>
      </c>
      <c r="Q39" s="11"/>
      <c r="R39" s="11">
        <f t="shared" si="0"/>
        <v>31</v>
      </c>
      <c r="S39" s="11">
        <f t="shared" si="1"/>
        <v>46</v>
      </c>
      <c r="T39" s="41">
        <f t="shared" si="2"/>
        <v>68</v>
      </c>
      <c r="U39" s="11"/>
      <c r="V39" s="11"/>
    </row>
    <row r="40" spans="13:22" x14ac:dyDescent="0.2">
      <c r="M40" s="42"/>
      <c r="N40" s="43">
        <v>197</v>
      </c>
      <c r="O40" s="43">
        <v>319</v>
      </c>
      <c r="P40" s="43">
        <v>507</v>
      </c>
      <c r="Q40" s="43"/>
      <c r="R40" s="43">
        <f t="shared" si="0"/>
        <v>39</v>
      </c>
      <c r="S40" s="43">
        <f t="shared" si="1"/>
        <v>56</v>
      </c>
      <c r="T40" s="44">
        <f t="shared" si="2"/>
        <v>80</v>
      </c>
      <c r="U40" s="11"/>
      <c r="V40" s="11"/>
    </row>
    <row r="41" spans="13:22" x14ac:dyDescent="0.2">
      <c r="M41" s="37" t="s">
        <v>33</v>
      </c>
      <c r="N41" s="38">
        <v>239</v>
      </c>
      <c r="O41" s="38">
        <v>387</v>
      </c>
      <c r="P41" s="38">
        <v>594</v>
      </c>
      <c r="Q41" s="38"/>
      <c r="R41" s="38">
        <f t="shared" si="0"/>
        <v>42</v>
      </c>
      <c r="S41" s="38">
        <f t="shared" si="1"/>
        <v>68</v>
      </c>
      <c r="T41" s="39">
        <f t="shared" si="2"/>
        <v>87</v>
      </c>
      <c r="U41" s="11"/>
      <c r="V41" s="11"/>
    </row>
    <row r="42" spans="13:22" x14ac:dyDescent="0.2">
      <c r="M42" s="40"/>
      <c r="N42" s="11">
        <v>289</v>
      </c>
      <c r="O42" s="11">
        <v>450</v>
      </c>
      <c r="P42" s="11">
        <v>696</v>
      </c>
      <c r="Q42" s="11"/>
      <c r="R42" s="11">
        <f t="shared" si="0"/>
        <v>50</v>
      </c>
      <c r="S42" s="11">
        <f t="shared" si="1"/>
        <v>63</v>
      </c>
      <c r="T42" s="41">
        <f t="shared" si="2"/>
        <v>102</v>
      </c>
      <c r="U42" s="11"/>
      <c r="V42" s="11"/>
    </row>
    <row r="43" spans="13:22" x14ac:dyDescent="0.2">
      <c r="M43" s="42"/>
      <c r="N43" s="43">
        <v>355</v>
      </c>
      <c r="O43" s="43">
        <v>537</v>
      </c>
      <c r="P43" s="43">
        <v>813</v>
      </c>
      <c r="Q43" s="43"/>
      <c r="R43" s="43">
        <f t="shared" si="0"/>
        <v>66</v>
      </c>
      <c r="S43" s="43">
        <f t="shared" si="1"/>
        <v>87</v>
      </c>
      <c r="T43" s="44">
        <f t="shared" si="2"/>
        <v>117</v>
      </c>
      <c r="U43" s="11"/>
      <c r="V43" s="11"/>
    </row>
    <row r="44" spans="13:22" x14ac:dyDescent="0.2">
      <c r="M44" s="37" t="s">
        <v>34</v>
      </c>
      <c r="N44" s="38">
        <v>419</v>
      </c>
      <c r="O44" s="38">
        <v>625</v>
      </c>
      <c r="P44" s="38">
        <v>922</v>
      </c>
      <c r="Q44" s="38"/>
      <c r="R44" s="38">
        <f t="shared" si="0"/>
        <v>64</v>
      </c>
      <c r="S44" s="38">
        <f t="shared" si="1"/>
        <v>88</v>
      </c>
      <c r="T44" s="39">
        <f t="shared" si="2"/>
        <v>109</v>
      </c>
      <c r="U44" s="11"/>
      <c r="V44" s="11"/>
    </row>
    <row r="45" spans="13:22" x14ac:dyDescent="0.2">
      <c r="M45" s="40"/>
      <c r="N45" s="11">
        <v>485</v>
      </c>
      <c r="O45" s="11">
        <v>711</v>
      </c>
      <c r="P45" s="11">
        <v>1027</v>
      </c>
      <c r="Q45" s="11"/>
      <c r="R45" s="11">
        <f t="shared" si="0"/>
        <v>66</v>
      </c>
      <c r="S45" s="11">
        <f t="shared" si="1"/>
        <v>86</v>
      </c>
      <c r="T45" s="41">
        <f t="shared" si="2"/>
        <v>105</v>
      </c>
      <c r="U45" s="11"/>
      <c r="V45" s="11"/>
    </row>
    <row r="46" spans="13:22" x14ac:dyDescent="0.2">
      <c r="M46" s="42"/>
      <c r="N46" s="43">
        <v>552</v>
      </c>
      <c r="O46" s="43">
        <v>796</v>
      </c>
      <c r="P46" s="43">
        <v>1129</v>
      </c>
      <c r="Q46" s="43"/>
      <c r="R46" s="43">
        <f t="shared" si="0"/>
        <v>67</v>
      </c>
      <c r="S46" s="43">
        <f t="shared" si="1"/>
        <v>85</v>
      </c>
      <c r="T46" s="44">
        <f t="shared" si="2"/>
        <v>102</v>
      </c>
      <c r="U46" s="11"/>
      <c r="V46" s="11"/>
    </row>
    <row r="47" spans="13:22" x14ac:dyDescent="0.2">
      <c r="M47" s="37" t="s">
        <v>35</v>
      </c>
      <c r="N47" s="38">
        <v>604</v>
      </c>
      <c r="O47" s="38">
        <v>860</v>
      </c>
      <c r="P47" s="38">
        <v>1206</v>
      </c>
      <c r="Q47" s="38"/>
      <c r="R47" s="38">
        <f t="shared" si="0"/>
        <v>52</v>
      </c>
      <c r="S47" s="38">
        <f t="shared" si="1"/>
        <v>64</v>
      </c>
      <c r="T47" s="39">
        <f t="shared" si="2"/>
        <v>77</v>
      </c>
      <c r="U47" s="11"/>
      <c r="V47" s="11"/>
    </row>
    <row r="48" spans="13:22" x14ac:dyDescent="0.2">
      <c r="M48" s="40"/>
      <c r="N48" s="11">
        <v>650</v>
      </c>
      <c r="O48" s="11">
        <v>916</v>
      </c>
      <c r="P48" s="11">
        <v>1271</v>
      </c>
      <c r="Q48" s="11"/>
      <c r="R48" s="11">
        <f t="shared" si="0"/>
        <v>46</v>
      </c>
      <c r="S48" s="11">
        <f t="shared" si="1"/>
        <v>56</v>
      </c>
      <c r="T48" s="41">
        <f t="shared" si="2"/>
        <v>65</v>
      </c>
      <c r="U48" s="11"/>
      <c r="V48" s="11"/>
    </row>
    <row r="49" spans="13:23" x14ac:dyDescent="0.2">
      <c r="M49" s="42"/>
      <c r="N49" s="43">
        <v>691</v>
      </c>
      <c r="O49" s="43">
        <v>968</v>
      </c>
      <c r="P49" s="43">
        <v>1332</v>
      </c>
      <c r="Q49" s="43"/>
      <c r="R49" s="43">
        <f t="shared" si="0"/>
        <v>41</v>
      </c>
      <c r="S49" s="43">
        <f t="shared" si="1"/>
        <v>52</v>
      </c>
      <c r="T49" s="44">
        <f t="shared" si="2"/>
        <v>61</v>
      </c>
      <c r="U49" s="11"/>
      <c r="V49" s="11"/>
    </row>
    <row r="50" spans="13:23" x14ac:dyDescent="0.2">
      <c r="M50" s="37" t="s">
        <v>36</v>
      </c>
      <c r="N50" s="38">
        <v>719</v>
      </c>
      <c r="O50" s="38">
        <v>1000</v>
      </c>
      <c r="P50" s="38">
        <v>1371</v>
      </c>
      <c r="Q50" s="38"/>
      <c r="R50" s="38">
        <f t="shared" si="0"/>
        <v>28</v>
      </c>
      <c r="S50" s="38">
        <f t="shared" si="1"/>
        <v>32</v>
      </c>
      <c r="T50" s="39">
        <f t="shared" si="2"/>
        <v>39</v>
      </c>
      <c r="U50" s="11"/>
      <c r="V50" s="11"/>
    </row>
    <row r="51" spans="13:23" x14ac:dyDescent="0.2">
      <c r="M51" s="40"/>
      <c r="N51" s="11">
        <v>743</v>
      </c>
      <c r="O51" s="11">
        <v>1026</v>
      </c>
      <c r="P51" s="11">
        <v>1403</v>
      </c>
      <c r="Q51" s="11"/>
      <c r="R51" s="11">
        <f t="shared" si="0"/>
        <v>24</v>
      </c>
      <c r="S51" s="11">
        <f t="shared" si="1"/>
        <v>26</v>
      </c>
      <c r="T51" s="41">
        <f t="shared" si="2"/>
        <v>32</v>
      </c>
      <c r="U51" s="11"/>
      <c r="V51" s="11"/>
    </row>
    <row r="52" spans="13:23" x14ac:dyDescent="0.2">
      <c r="M52" s="42"/>
      <c r="N52" s="43">
        <v>760</v>
      </c>
      <c r="O52" s="43">
        <v>1046</v>
      </c>
      <c r="P52" s="43">
        <v>1424</v>
      </c>
      <c r="Q52" s="43"/>
      <c r="R52" s="43">
        <f t="shared" si="0"/>
        <v>17</v>
      </c>
      <c r="S52" s="43">
        <f t="shared" si="1"/>
        <v>20</v>
      </c>
      <c r="T52" s="44">
        <f t="shared" si="2"/>
        <v>21</v>
      </c>
      <c r="U52" s="11"/>
      <c r="V52" s="11"/>
    </row>
    <row r="53" spans="13:23" x14ac:dyDescent="0.2">
      <c r="M53" s="37" t="s">
        <v>37</v>
      </c>
      <c r="N53" s="38">
        <v>771</v>
      </c>
      <c r="O53" s="38">
        <v>1058</v>
      </c>
      <c r="P53" s="38">
        <v>1438</v>
      </c>
      <c r="Q53" s="38"/>
      <c r="R53" s="38">
        <f t="shared" si="0"/>
        <v>11</v>
      </c>
      <c r="S53" s="38">
        <f t="shared" si="1"/>
        <v>12</v>
      </c>
      <c r="T53" s="39">
        <f t="shared" si="2"/>
        <v>14</v>
      </c>
      <c r="U53" s="11"/>
      <c r="V53" s="11"/>
    </row>
    <row r="54" spans="13:23" x14ac:dyDescent="0.2">
      <c r="M54" s="42"/>
      <c r="N54" s="43">
        <v>780</v>
      </c>
      <c r="O54" s="43">
        <v>1068</v>
      </c>
      <c r="P54" s="43">
        <v>1449</v>
      </c>
      <c r="Q54" s="43"/>
      <c r="R54" s="43">
        <f t="shared" si="0"/>
        <v>9</v>
      </c>
      <c r="S54" s="43">
        <f t="shared" si="1"/>
        <v>10</v>
      </c>
      <c r="T54" s="44">
        <f t="shared" si="2"/>
        <v>11</v>
      </c>
      <c r="U54" s="11"/>
      <c r="V54" s="11"/>
    </row>
    <row r="55" spans="13:23" x14ac:dyDescent="0.2">
      <c r="R55" s="45">
        <v>4</v>
      </c>
      <c r="S55" s="45">
        <v>4</v>
      </c>
      <c r="T55" s="45">
        <v>5</v>
      </c>
      <c r="U55" s="11"/>
      <c r="V55" s="11"/>
    </row>
    <row r="56" spans="13:23" x14ac:dyDescent="0.2">
      <c r="U56" s="11"/>
      <c r="V56" s="11"/>
    </row>
    <row r="58" spans="13:23" x14ac:dyDescent="0.2">
      <c r="M58" t="s">
        <v>38</v>
      </c>
      <c r="N58" s="1">
        <v>50</v>
      </c>
      <c r="O58" s="1">
        <v>100</v>
      </c>
      <c r="P58" s="1">
        <v>170</v>
      </c>
      <c r="R58" s="1">
        <v>50</v>
      </c>
      <c r="S58" s="1">
        <v>100</v>
      </c>
      <c r="T58" s="1">
        <v>170</v>
      </c>
      <c r="V58" t="s">
        <v>38</v>
      </c>
      <c r="W58" s="1" t="s">
        <v>39</v>
      </c>
    </row>
    <row r="59" spans="13:23" x14ac:dyDescent="0.2">
      <c r="M59">
        <v>1</v>
      </c>
      <c r="N59" s="46">
        <f t="shared" ref="N59:P62" si="3">N$70</f>
        <v>24</v>
      </c>
      <c r="O59" s="46">
        <f t="shared" si="3"/>
        <v>26</v>
      </c>
      <c r="P59" s="46">
        <f t="shared" si="3"/>
        <v>30</v>
      </c>
      <c r="R59" s="21">
        <f>N59/N$71</f>
        <v>2.891566265060241E-2</v>
      </c>
      <c r="S59" s="21">
        <f t="shared" ref="S59:T70" si="4">O59/O$71</f>
        <v>2.4163568773234202E-2</v>
      </c>
      <c r="T59" s="21">
        <f t="shared" si="4"/>
        <v>2.1367521367521368E-2</v>
      </c>
      <c r="V59">
        <v>1</v>
      </c>
      <c r="W59" s="54">
        <v>1</v>
      </c>
    </row>
    <row r="60" spans="13:23" x14ac:dyDescent="0.2">
      <c r="M60">
        <v>2</v>
      </c>
      <c r="N60" s="46">
        <f t="shared" si="3"/>
        <v>24</v>
      </c>
      <c r="O60" s="46">
        <f t="shared" si="3"/>
        <v>26</v>
      </c>
      <c r="P60" s="46">
        <f t="shared" si="3"/>
        <v>30</v>
      </c>
      <c r="R60" s="21">
        <f t="shared" ref="R60:R70" si="5">N60/N$71</f>
        <v>2.891566265060241E-2</v>
      </c>
      <c r="S60" s="21">
        <f t="shared" si="4"/>
        <v>2.4163568773234202E-2</v>
      </c>
      <c r="T60" s="21">
        <f t="shared" si="4"/>
        <v>2.1367521367521368E-2</v>
      </c>
      <c r="V60">
        <v>2</v>
      </c>
      <c r="W60" s="55">
        <v>1</v>
      </c>
    </row>
    <row r="61" spans="13:23" x14ac:dyDescent="0.2">
      <c r="M61">
        <v>3</v>
      </c>
      <c r="N61" s="46">
        <f t="shared" si="3"/>
        <v>24</v>
      </c>
      <c r="O61" s="46">
        <f t="shared" si="3"/>
        <v>26</v>
      </c>
      <c r="P61" s="46">
        <f t="shared" si="3"/>
        <v>30</v>
      </c>
      <c r="R61" s="21">
        <f t="shared" si="5"/>
        <v>2.891566265060241E-2</v>
      </c>
      <c r="S61" s="21">
        <f t="shared" si="4"/>
        <v>2.4163568773234202E-2</v>
      </c>
      <c r="T61" s="21">
        <f t="shared" si="4"/>
        <v>2.1367521367521368E-2</v>
      </c>
      <c r="V61">
        <v>3</v>
      </c>
      <c r="W61" s="55">
        <v>1</v>
      </c>
    </row>
    <row r="62" spans="13:23" x14ac:dyDescent="0.2">
      <c r="M62">
        <v>4</v>
      </c>
      <c r="N62" s="46">
        <f t="shared" si="3"/>
        <v>24</v>
      </c>
      <c r="O62" s="46">
        <f t="shared" si="3"/>
        <v>26</v>
      </c>
      <c r="P62" s="46">
        <f t="shared" si="3"/>
        <v>30</v>
      </c>
      <c r="R62" s="21">
        <f t="shared" si="5"/>
        <v>2.891566265060241E-2</v>
      </c>
      <c r="S62" s="21">
        <f t="shared" si="4"/>
        <v>2.4163568773234202E-2</v>
      </c>
      <c r="T62" s="21">
        <f t="shared" si="4"/>
        <v>2.1367521367521368E-2</v>
      </c>
      <c r="V62">
        <v>4</v>
      </c>
      <c r="W62" s="55">
        <v>1</v>
      </c>
    </row>
    <row r="63" spans="13:23" x14ac:dyDescent="0.2">
      <c r="M63">
        <v>5</v>
      </c>
      <c r="N63">
        <f>SUM(R32:R34)</f>
        <v>15</v>
      </c>
      <c r="O63">
        <f>SUM(S32:S34)</f>
        <v>22</v>
      </c>
      <c r="P63">
        <f>SUM(T32:T34)</f>
        <v>33</v>
      </c>
      <c r="R63" s="21">
        <f t="shared" si="5"/>
        <v>1.8072289156626505E-2</v>
      </c>
      <c r="S63" s="21">
        <f t="shared" si="4"/>
        <v>2.0446096654275093E-2</v>
      </c>
      <c r="T63" s="21">
        <f t="shared" si="4"/>
        <v>2.3504273504273504E-2</v>
      </c>
      <c r="V63">
        <v>5</v>
      </c>
      <c r="W63" s="55">
        <v>1</v>
      </c>
    </row>
    <row r="64" spans="13:23" x14ac:dyDescent="0.2">
      <c r="M64">
        <v>6</v>
      </c>
      <c r="N64">
        <f>SUM(R35:R37)</f>
        <v>39</v>
      </c>
      <c r="O64">
        <f>SUM(S35:S37)</f>
        <v>60</v>
      </c>
      <c r="P64">
        <f>SUM(T35:T37)</f>
        <v>103</v>
      </c>
      <c r="R64" s="21">
        <f t="shared" si="5"/>
        <v>4.6987951807228916E-2</v>
      </c>
      <c r="S64" s="21">
        <f t="shared" si="4"/>
        <v>5.5762081784386616E-2</v>
      </c>
      <c r="T64" s="21">
        <f t="shared" si="4"/>
        <v>7.3361823361823356E-2</v>
      </c>
      <c r="V64">
        <v>6</v>
      </c>
      <c r="W64" s="55">
        <v>2.2999999999999998</v>
      </c>
    </row>
    <row r="65" spans="13:23" x14ac:dyDescent="0.2">
      <c r="M65">
        <v>7</v>
      </c>
      <c r="N65" s="37">
        <f>SUM(R38:R40)</f>
        <v>93</v>
      </c>
      <c r="O65" s="38">
        <f>SUM(S38:S40)</f>
        <v>137</v>
      </c>
      <c r="P65" s="38">
        <f>SUM(T38:T40)</f>
        <v>201</v>
      </c>
      <c r="Q65" s="38"/>
      <c r="R65" s="48">
        <f t="shared" si="5"/>
        <v>0.11204819277108434</v>
      </c>
      <c r="S65" s="48">
        <f t="shared" si="4"/>
        <v>0.12732342007434944</v>
      </c>
      <c r="T65" s="49">
        <f t="shared" si="4"/>
        <v>0.14316239316239315</v>
      </c>
      <c r="V65">
        <v>7</v>
      </c>
      <c r="W65" s="55">
        <v>5.3</v>
      </c>
    </row>
    <row r="66" spans="13:23" x14ac:dyDescent="0.2">
      <c r="M66">
        <v>8</v>
      </c>
      <c r="N66" s="40">
        <f>SUM(R41:R43)</f>
        <v>158</v>
      </c>
      <c r="O66" s="11">
        <f>SUM(S41:S43)</f>
        <v>218</v>
      </c>
      <c r="P66" s="11">
        <f>SUM(T41:T43)</f>
        <v>306</v>
      </c>
      <c r="Q66" s="11"/>
      <c r="R66" s="50">
        <f t="shared" si="5"/>
        <v>0.19036144578313252</v>
      </c>
      <c r="S66" s="50">
        <f t="shared" si="4"/>
        <v>0.20260223048327136</v>
      </c>
      <c r="T66" s="51">
        <f t="shared" si="4"/>
        <v>0.21794871794871795</v>
      </c>
      <c r="V66">
        <v>8</v>
      </c>
      <c r="W66" s="55">
        <v>8.4</v>
      </c>
    </row>
    <row r="67" spans="13:23" x14ac:dyDescent="0.2">
      <c r="M67">
        <v>9</v>
      </c>
      <c r="N67" s="40">
        <f>SUM(R44:R46)</f>
        <v>197</v>
      </c>
      <c r="O67" s="11">
        <f>SUM(S44:S46)</f>
        <v>259</v>
      </c>
      <c r="P67" s="11">
        <f>SUM(T44:T46)</f>
        <v>316</v>
      </c>
      <c r="Q67" s="11"/>
      <c r="R67" s="50">
        <f t="shared" si="5"/>
        <v>0.23734939759036144</v>
      </c>
      <c r="S67" s="50">
        <f t="shared" si="4"/>
        <v>0.24070631970260223</v>
      </c>
      <c r="T67" s="51">
        <f t="shared" si="4"/>
        <v>0.22507122507122507</v>
      </c>
      <c r="V67">
        <v>9</v>
      </c>
      <c r="W67" s="55">
        <v>10</v>
      </c>
    </row>
    <row r="68" spans="13:23" x14ac:dyDescent="0.2">
      <c r="M68">
        <v>10</v>
      </c>
      <c r="N68" s="42">
        <f>SUM(R47:R49)</f>
        <v>139</v>
      </c>
      <c r="O68" s="43">
        <f>SUM(S47:S49)</f>
        <v>172</v>
      </c>
      <c r="P68" s="43">
        <f>SUM(T47:T49)</f>
        <v>203</v>
      </c>
      <c r="Q68" s="43"/>
      <c r="R68" s="52">
        <f t="shared" si="5"/>
        <v>0.1674698795180723</v>
      </c>
      <c r="S68" s="52">
        <f t="shared" si="4"/>
        <v>0.15985130111524162</v>
      </c>
      <c r="T68" s="53">
        <f t="shared" si="4"/>
        <v>0.14458689458689458</v>
      </c>
      <c r="V68">
        <v>10</v>
      </c>
      <c r="W68" s="55">
        <v>6.6</v>
      </c>
    </row>
    <row r="69" spans="13:23" x14ac:dyDescent="0.2">
      <c r="M69">
        <v>11</v>
      </c>
      <c r="N69">
        <f>SUM(R50:R52)</f>
        <v>69</v>
      </c>
      <c r="O69">
        <f>SUM(S50:S52)</f>
        <v>78</v>
      </c>
      <c r="P69">
        <f>SUM(T50:T52)</f>
        <v>92</v>
      </c>
      <c r="R69" s="21">
        <f t="shared" si="5"/>
        <v>8.3132530120481926E-2</v>
      </c>
      <c r="S69" s="21">
        <f t="shared" si="4"/>
        <v>7.24907063197026E-2</v>
      </c>
      <c r="T69" s="21">
        <f t="shared" si="4"/>
        <v>6.5527065527065526E-2</v>
      </c>
      <c r="V69">
        <v>11</v>
      </c>
      <c r="W69" s="55">
        <v>3</v>
      </c>
    </row>
    <row r="70" spans="13:23" x14ac:dyDescent="0.2">
      <c r="M70">
        <v>12</v>
      </c>
      <c r="N70">
        <f>SUM(R53:R55)</f>
        <v>24</v>
      </c>
      <c r="O70">
        <f>SUM(S53:S55)</f>
        <v>26</v>
      </c>
      <c r="P70">
        <f>SUM(T53:T55)</f>
        <v>30</v>
      </c>
      <c r="R70" s="21">
        <f t="shared" si="5"/>
        <v>2.891566265060241E-2</v>
      </c>
      <c r="S70" s="21">
        <f t="shared" si="4"/>
        <v>2.4163568773234202E-2</v>
      </c>
      <c r="T70" s="21">
        <f t="shared" si="4"/>
        <v>2.1367521367521368E-2</v>
      </c>
      <c r="V70">
        <v>12</v>
      </c>
      <c r="W70" s="56">
        <v>1</v>
      </c>
    </row>
    <row r="71" spans="13:23" x14ac:dyDescent="0.2">
      <c r="N71" s="38">
        <f>SUM(N59:N70)</f>
        <v>830</v>
      </c>
      <c r="O71" s="38">
        <f>SUM(O59:O70)</f>
        <v>1076</v>
      </c>
      <c r="P71" s="38">
        <f>SUM(P59:P70)</f>
        <v>1404</v>
      </c>
    </row>
    <row r="72" spans="13:23" x14ac:dyDescent="0.2">
      <c r="R72" s="47">
        <f>CORREL(R59:R70,S59:S70)</f>
        <v>0.99516340579109341</v>
      </c>
      <c r="S72" s="47">
        <f>CORREL(S59:S70,T59:T70)</f>
        <v>0.99006208391563422</v>
      </c>
      <c r="T72" s="47">
        <f>CORREL(R59:R70,T59:T70)</f>
        <v>0.97260888154580405</v>
      </c>
      <c r="U72" s="47"/>
      <c r="V72" s="47"/>
    </row>
    <row r="83" spans="1:1" x14ac:dyDescent="0.2">
      <c r="A83" t="s">
        <v>29</v>
      </c>
    </row>
    <row r="84" spans="1:1" x14ac:dyDescent="0.2">
      <c r="A84" s="36" t="s">
        <v>28</v>
      </c>
    </row>
    <row r="85" spans="1:1" x14ac:dyDescent="0.2">
      <c r="A85" s="36" t="s">
        <v>26</v>
      </c>
    </row>
  </sheetData>
  <conditionalFormatting sqref="R59:T70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A84" r:id="rId1" display="link"/>
    <hyperlink ref="A85" r:id="rId2"/>
    <hyperlink ref="A1" r:id="rId3"/>
  </hyperlinks>
  <pageMargins left="0.7" right="0.7" top="0.75" bottom="0.75" header="0.3" footer="0.3"/>
  <pageSetup orientation="portrait" verticalDpi="0" r:id="rId4"/>
  <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S110"/>
  <sheetViews>
    <sheetView zoomScale="80" zoomScaleNormal="80" zoomScaleSheetLayoutView="55" workbookViewId="0">
      <pane ySplit="2" topLeftCell="A51" activePane="bottomLeft" state="frozen"/>
      <selection activeCell="H89" sqref="H89"/>
      <selection pane="bottomLeft" activeCell="H89" sqref="H89"/>
    </sheetView>
  </sheetViews>
  <sheetFormatPr defaultRowHeight="12.75" outlineLevelRow="1" outlineLevelCol="1" x14ac:dyDescent="0.2"/>
  <cols>
    <col min="1" max="1" width="34.140625" style="177" customWidth="1"/>
    <col min="2" max="3" width="10.7109375" style="177" customWidth="1" outlineLevel="1"/>
    <col min="4" max="4" width="10.7109375" style="177" customWidth="1"/>
    <col min="5" max="8" width="10.7109375" style="177" customWidth="1" outlineLevel="1"/>
    <col min="9" max="9" width="10.7109375" style="177" customWidth="1"/>
    <col min="10" max="13" width="10.7109375" style="177" customWidth="1" outlineLevel="1"/>
    <col min="14" max="14" width="10.7109375" style="177" customWidth="1"/>
    <col min="15" max="18" width="10.7109375" style="177" customWidth="1" outlineLevel="1"/>
    <col min="19" max="19" width="10.7109375" style="177" customWidth="1"/>
    <col min="20" max="16384" width="9.140625" style="177"/>
  </cols>
  <sheetData>
    <row r="1" spans="1:19" x14ac:dyDescent="0.2">
      <c r="A1" s="176" t="s">
        <v>102</v>
      </c>
      <c r="B1" s="270">
        <v>2017</v>
      </c>
      <c r="C1" s="270"/>
      <c r="D1" s="271"/>
      <c r="E1" s="270">
        <v>2018</v>
      </c>
      <c r="F1" s="270"/>
      <c r="G1" s="270"/>
      <c r="H1" s="270"/>
      <c r="I1" s="271"/>
      <c r="J1" s="270">
        <v>2019</v>
      </c>
      <c r="K1" s="270"/>
      <c r="L1" s="270"/>
      <c r="M1" s="270"/>
      <c r="N1" s="271"/>
      <c r="O1" s="270">
        <v>2020</v>
      </c>
      <c r="P1" s="270"/>
      <c r="Q1" s="270"/>
      <c r="R1" s="270"/>
      <c r="S1" s="271"/>
    </row>
    <row r="2" spans="1:19" x14ac:dyDescent="0.2">
      <c r="B2" s="178" t="s">
        <v>3</v>
      </c>
      <c r="C2" s="179" t="s">
        <v>4</v>
      </c>
      <c r="D2" s="180" t="s">
        <v>5</v>
      </c>
      <c r="E2" s="181" t="s">
        <v>1</v>
      </c>
      <c r="F2" s="178" t="s">
        <v>2</v>
      </c>
      <c r="G2" s="178" t="s">
        <v>3</v>
      </c>
      <c r="H2" s="179" t="s">
        <v>4</v>
      </c>
      <c r="I2" s="180" t="s">
        <v>5</v>
      </c>
      <c r="J2" s="181" t="s">
        <v>1</v>
      </c>
      <c r="K2" s="178" t="s">
        <v>2</v>
      </c>
      <c r="L2" s="178" t="s">
        <v>3</v>
      </c>
      <c r="M2" s="179" t="s">
        <v>4</v>
      </c>
      <c r="N2" s="180" t="s">
        <v>5</v>
      </c>
      <c r="O2" s="181" t="s">
        <v>1</v>
      </c>
      <c r="P2" s="178" t="s">
        <v>2</v>
      </c>
      <c r="Q2" s="178" t="s">
        <v>3</v>
      </c>
      <c r="R2" s="179" t="s">
        <v>4</v>
      </c>
      <c r="S2" s="180" t="s">
        <v>5</v>
      </c>
    </row>
    <row r="3" spans="1:19" ht="13.5" thickBot="1" x14ac:dyDescent="0.25">
      <c r="A3" s="177" t="s">
        <v>27</v>
      </c>
    </row>
    <row r="4" spans="1:19" ht="13.5" thickBot="1" x14ac:dyDescent="0.25">
      <c r="A4" s="182" t="s">
        <v>6</v>
      </c>
      <c r="B4" s="183">
        <f>SUM(B5:B7)</f>
        <v>0</v>
      </c>
      <c r="C4" s="183">
        <f>SUM(C5:C7)</f>
        <v>0</v>
      </c>
      <c r="D4" s="184">
        <f>SUM(B4:C4)</f>
        <v>0</v>
      </c>
      <c r="E4" s="183">
        <f>SUM(E5:E7)</f>
        <v>0</v>
      </c>
      <c r="F4" s="183">
        <f>SUM(F5:F7)</f>
        <v>0</v>
      </c>
      <c r="G4" s="183">
        <f>SUM(G5:G7)</f>
        <v>25000</v>
      </c>
      <c r="H4" s="183">
        <f>SUM(H5:H7)</f>
        <v>75000</v>
      </c>
      <c r="I4" s="184">
        <f>SUM(E4:H4)</f>
        <v>100000</v>
      </c>
      <c r="J4" s="183">
        <f>SUM(J5:J7)</f>
        <v>18181.81818181818</v>
      </c>
      <c r="K4" s="183">
        <f>SUM(K5:K7)</f>
        <v>36363.63636363636</v>
      </c>
      <c r="L4" s="183">
        <f>SUM(L5:L7)</f>
        <v>36363.636363636368</v>
      </c>
      <c r="M4" s="183">
        <f>SUM(M5:M7)</f>
        <v>109090.9090909091</v>
      </c>
      <c r="N4" s="184">
        <f>SUM(J4:M4)</f>
        <v>200000</v>
      </c>
      <c r="O4" s="183">
        <f>SUM(O5:O7)</f>
        <v>28571.428571428572</v>
      </c>
      <c r="P4" s="183">
        <f>SUM(P5:P7)</f>
        <v>57142.857142857145</v>
      </c>
      <c r="Q4" s="183">
        <f>SUM(Q5:Q7)</f>
        <v>28571.428571428572</v>
      </c>
      <c r="R4" s="183">
        <f>SUM(R5:R7)</f>
        <v>85714.285714285739</v>
      </c>
      <c r="S4" s="184">
        <f>SUM(O4:R4)</f>
        <v>200000.00000000003</v>
      </c>
    </row>
    <row r="5" spans="1:19" x14ac:dyDescent="0.2">
      <c r="A5" s="177" t="s">
        <v>7</v>
      </c>
      <c r="B5" s="185">
        <f>SUM(M!C6:D6)</f>
        <v>0</v>
      </c>
      <c r="C5" s="185">
        <f>SUM(M!E6:G6)</f>
        <v>0</v>
      </c>
      <c r="D5" s="186">
        <f>SUM(B5:C5)</f>
        <v>0</v>
      </c>
      <c r="E5" s="185">
        <f>SUM(M!H6:J6)</f>
        <v>0</v>
      </c>
      <c r="F5" s="185">
        <f>SUM(M!K6:M6)</f>
        <v>0</v>
      </c>
      <c r="G5" s="185">
        <f>SUM(M!N6:P6)</f>
        <v>1250</v>
      </c>
      <c r="H5" s="185">
        <f>SUM(M!Q6:S6)</f>
        <v>3750</v>
      </c>
      <c r="I5" s="186">
        <f>SUM(E5:H5)</f>
        <v>5000</v>
      </c>
      <c r="J5" s="185">
        <f>SUM(M!T6:V6)</f>
        <v>909.09090909090901</v>
      </c>
      <c r="K5" s="185">
        <f>SUM(M!W6:Y6)</f>
        <v>1818.181818181818</v>
      </c>
      <c r="L5" s="185">
        <f>SUM(M!Z6:AB6)</f>
        <v>1818.1818181818185</v>
      </c>
      <c r="M5" s="185">
        <f>SUM(M!AC6:AE6)</f>
        <v>5454.5454545454559</v>
      </c>
      <c r="N5" s="186">
        <f>SUM(J5:M5)</f>
        <v>10000.000000000002</v>
      </c>
      <c r="O5" s="185">
        <f>SUM(M!AF6:AH6)</f>
        <v>1428.5714285714287</v>
      </c>
      <c r="P5" s="185">
        <f>SUM(M!AI6:AK6)</f>
        <v>2857.1428571428573</v>
      </c>
      <c r="Q5" s="185">
        <f>SUM(M!AL6:AN6)</f>
        <v>1428.5714285714287</v>
      </c>
      <c r="R5" s="185">
        <f>SUM(M!AO6:AQ6)</f>
        <v>4285.7142857142862</v>
      </c>
      <c r="S5" s="186">
        <f>SUM(O5:R5)</f>
        <v>10000</v>
      </c>
    </row>
    <row r="6" spans="1:19" x14ac:dyDescent="0.2">
      <c r="A6" s="177" t="s">
        <v>8</v>
      </c>
      <c r="B6" s="185">
        <f>SUM(M!C7:D7)</f>
        <v>0</v>
      </c>
      <c r="C6" s="185">
        <f>SUM(M!E7:G7)</f>
        <v>0</v>
      </c>
      <c r="D6" s="186">
        <f>SUM(B6:C6)</f>
        <v>0</v>
      </c>
      <c r="E6" s="185">
        <f>SUM(M!H7:J7)</f>
        <v>0</v>
      </c>
      <c r="F6" s="185">
        <f>SUM(M!K7:M7)</f>
        <v>0</v>
      </c>
      <c r="G6" s="185">
        <f>SUM(M!N7:P7)</f>
        <v>22500</v>
      </c>
      <c r="H6" s="185">
        <f>SUM(M!Q7:S7)</f>
        <v>67500</v>
      </c>
      <c r="I6" s="186">
        <f>SUM(E6:H6)</f>
        <v>90000</v>
      </c>
      <c r="J6" s="185">
        <f>SUM(M!T7:V7)</f>
        <v>16363.636363636362</v>
      </c>
      <c r="K6" s="185">
        <f>SUM(M!W7:Y7)</f>
        <v>32727.272727272724</v>
      </c>
      <c r="L6" s="185">
        <f>SUM(M!Z7:AB7)</f>
        <v>32727.272727272732</v>
      </c>
      <c r="M6" s="185">
        <f>SUM(M!AC7:AE7)</f>
        <v>98181.818181818191</v>
      </c>
      <c r="N6" s="186">
        <f>SUM(J6:M6)</f>
        <v>180000</v>
      </c>
      <c r="O6" s="185">
        <f>SUM(M!AF7:AH7)</f>
        <v>25714.285714285717</v>
      </c>
      <c r="P6" s="185">
        <f>SUM(M!AI7:AK7)</f>
        <v>51428.571428571435</v>
      </c>
      <c r="Q6" s="185">
        <f>SUM(M!AL7:AN7)</f>
        <v>25714.285714285717</v>
      </c>
      <c r="R6" s="185">
        <f>SUM(M!AO7:AQ7)</f>
        <v>77142.857142857159</v>
      </c>
      <c r="S6" s="186">
        <f>SUM(O6:R6)</f>
        <v>180000.00000000003</v>
      </c>
    </row>
    <row r="7" spans="1:19" x14ac:dyDescent="0.2">
      <c r="A7" s="187" t="s">
        <v>9</v>
      </c>
      <c r="B7" s="188">
        <f>SUM(M!C8:D8)</f>
        <v>0</v>
      </c>
      <c r="C7" s="188">
        <f>SUM(M!E8:G8)</f>
        <v>0</v>
      </c>
      <c r="D7" s="189">
        <f>SUM(B7:C7)</f>
        <v>0</v>
      </c>
      <c r="E7" s="188">
        <f>SUM(M!H8:J8)</f>
        <v>0</v>
      </c>
      <c r="F7" s="188">
        <f>SUM(M!K8:M8)</f>
        <v>0</v>
      </c>
      <c r="G7" s="188">
        <f>SUM(M!N8:P8)</f>
        <v>1250</v>
      </c>
      <c r="H7" s="188">
        <f>SUM(M!Q8:S8)</f>
        <v>3750</v>
      </c>
      <c r="I7" s="189">
        <f>SUM(E7:H7)</f>
        <v>5000</v>
      </c>
      <c r="J7" s="188">
        <f>SUM(M!T8:V8)</f>
        <v>909.09090909090901</v>
      </c>
      <c r="K7" s="188">
        <f>SUM(M!W8:Y8)</f>
        <v>1818.181818181818</v>
      </c>
      <c r="L7" s="188">
        <f>SUM(M!Z8:AB8)</f>
        <v>1818.1818181818185</v>
      </c>
      <c r="M7" s="188">
        <f>SUM(M!AC8:AE8)</f>
        <v>5454.5454545454559</v>
      </c>
      <c r="N7" s="189">
        <f>SUM(J7:M7)</f>
        <v>10000.000000000002</v>
      </c>
      <c r="O7" s="188">
        <f>SUM(M!AF8:AH8)</f>
        <v>1428.5714285714287</v>
      </c>
      <c r="P7" s="188">
        <f>SUM(M!AI8:AK8)</f>
        <v>2857.1428571428573</v>
      </c>
      <c r="Q7" s="188">
        <f>SUM(M!AL8:AN8)</f>
        <v>1428.5714285714287</v>
      </c>
      <c r="R7" s="188">
        <f>SUM(M!AO8:AQ8)</f>
        <v>4285.7142857142862</v>
      </c>
      <c r="S7" s="189">
        <f>SUM(O7:R7)</f>
        <v>10000</v>
      </c>
    </row>
    <row r="9" spans="1:19" ht="13.5" thickBot="1" x14ac:dyDescent="0.25">
      <c r="A9" s="177" t="s">
        <v>110</v>
      </c>
      <c r="D9" s="190"/>
    </row>
    <row r="10" spans="1:19" ht="13.5" thickBot="1" x14ac:dyDescent="0.25">
      <c r="A10" s="182" t="s">
        <v>6</v>
      </c>
      <c r="B10" s="183">
        <f>SUM(M!C11:D11)</f>
        <v>833.33333333333326</v>
      </c>
      <c r="C10" s="183">
        <f>SUM(M!E11:G11)</f>
        <v>833.33333333333326</v>
      </c>
      <c r="D10" s="184">
        <f t="shared" ref="D10:D18" si="0">SUM(B10:C10)</f>
        <v>1666.6666666666665</v>
      </c>
      <c r="E10" s="183">
        <f>SUM(M!H11:J11)</f>
        <v>606.06060606060601</v>
      </c>
      <c r="F10" s="183">
        <f>SUM(M!K11:M11)</f>
        <v>303.030303030303</v>
      </c>
      <c r="G10" s="183">
        <f>SUM(M!N11:P11)</f>
        <v>1212.1212121212122</v>
      </c>
      <c r="H10" s="183">
        <f>SUM(M!Q11:S11)</f>
        <v>1212.1212121212122</v>
      </c>
      <c r="I10" s="184">
        <f t="shared" ref="I10:I18" si="1">SUM(E10:H10)</f>
        <v>3333.333333333333</v>
      </c>
      <c r="J10" s="183">
        <f>SUM(M!T11:V11)</f>
        <v>952.38095238095229</v>
      </c>
      <c r="K10" s="183">
        <f>SUM(M!W11:Y11)</f>
        <v>476.19047619047615</v>
      </c>
      <c r="L10" s="183">
        <f>SUM(M!Z11:AB11)</f>
        <v>952.38095238095229</v>
      </c>
      <c r="M10" s="183">
        <f>SUM(M!AC11:AE11)</f>
        <v>952.38095238095229</v>
      </c>
      <c r="N10" s="184">
        <f t="shared" ref="N10:N18" si="2">SUM(J10:M10)</f>
        <v>3333.333333333333</v>
      </c>
      <c r="O10" s="183">
        <f>SUM(M!AF11:AH11)</f>
        <v>0</v>
      </c>
      <c r="P10" s="183">
        <f>SUM(M!AI11:AK11)</f>
        <v>0</v>
      </c>
      <c r="Q10" s="183">
        <f>SUM(M!AL11:AN11)</f>
        <v>0</v>
      </c>
      <c r="R10" s="183">
        <f>SUM(M!AO11:AQ11)</f>
        <v>0</v>
      </c>
      <c r="S10" s="184">
        <f t="shared" ref="S10:S18" si="3">SUM(O10:R10)</f>
        <v>0</v>
      </c>
    </row>
    <row r="11" spans="1:19" x14ac:dyDescent="0.2">
      <c r="B11" s="185">
        <f>SUM(M!C12:D12)</f>
        <v>833.33333333333326</v>
      </c>
      <c r="C11" s="185">
        <f>SUM(M!E12:G12)</f>
        <v>833.33333333333326</v>
      </c>
      <c r="D11" s="186">
        <f t="shared" si="0"/>
        <v>1666.6666666666665</v>
      </c>
      <c r="E11" s="185">
        <f>SUM(M!H12:J12)</f>
        <v>606.06060606060601</v>
      </c>
      <c r="F11" s="185">
        <f>SUM(M!K12:M12)</f>
        <v>303.030303030303</v>
      </c>
      <c r="G11" s="185">
        <f>SUM(M!N12:P12)</f>
        <v>1212.1212121212122</v>
      </c>
      <c r="H11" s="185">
        <f>SUM(M!Q12:S12)</f>
        <v>1212.1212121212122</v>
      </c>
      <c r="I11" s="186">
        <f t="shared" si="1"/>
        <v>3333.333333333333</v>
      </c>
      <c r="J11" s="185">
        <f>SUM(M!T12:V12)</f>
        <v>952.38095238095229</v>
      </c>
      <c r="K11" s="185">
        <f>SUM(M!W12:Y12)</f>
        <v>476.19047619047615</v>
      </c>
      <c r="L11" s="185">
        <f>SUM(M!Z12:AB12)</f>
        <v>952.38095238095229</v>
      </c>
      <c r="M11" s="185">
        <f>SUM(M!AC12:AE12)</f>
        <v>952.38095238095229</v>
      </c>
      <c r="N11" s="186">
        <f t="shared" si="2"/>
        <v>3333.333333333333</v>
      </c>
      <c r="O11" s="185">
        <f>SUM(M!AF12:AH12)</f>
        <v>0</v>
      </c>
      <c r="P11" s="185">
        <f>SUM(M!AI12:AK12)</f>
        <v>0</v>
      </c>
      <c r="Q11" s="185">
        <f>SUM(M!AL12:AN12)</f>
        <v>0</v>
      </c>
      <c r="R11" s="185">
        <f>SUM(M!AO12:AQ12)</f>
        <v>0</v>
      </c>
      <c r="S11" s="186">
        <f t="shared" si="3"/>
        <v>0</v>
      </c>
    </row>
    <row r="12" spans="1:19" ht="13.5" thickBot="1" x14ac:dyDescent="0.25"/>
    <row r="13" spans="1:19" ht="13.5" thickBot="1" x14ac:dyDescent="0.25">
      <c r="A13" s="182" t="s">
        <v>45</v>
      </c>
      <c r="B13" s="183">
        <f>SUM(M!C16:D16)</f>
        <v>4166.666666666667</v>
      </c>
      <c r="C13" s="183">
        <f>SUM(M!E16:G16)</f>
        <v>6502.5906735751305</v>
      </c>
      <c r="D13" s="184">
        <f t="shared" si="0"/>
        <v>10669.257340241798</v>
      </c>
      <c r="E13" s="183">
        <f ca="1">SUM(M!H16:J16)</f>
        <v>10542.4610159407</v>
      </c>
      <c r="F13" s="183">
        <f ca="1">SUM(M!K16:M16)</f>
        <v>15110.860789515002</v>
      </c>
      <c r="G13" s="183">
        <f ca="1">SUM(M!N16:P16)</f>
        <v>130511.64002820745</v>
      </c>
      <c r="H13" s="183">
        <f ca="1">SUM(M!Q16:S16)</f>
        <v>49028.598668526443</v>
      </c>
      <c r="I13" s="184">
        <f ca="1">SUM(E13:H13)</f>
        <v>205193.56050218959</v>
      </c>
      <c r="J13" s="183">
        <f ca="1">SUM(M!T16:V16)</f>
        <v>15067.200020534332</v>
      </c>
      <c r="K13" s="183">
        <f ca="1">SUM(M!W16:Y16)</f>
        <v>17708.1621346957</v>
      </c>
      <c r="L13" s="183">
        <f ca="1">SUM(M!Z16:AB16)</f>
        <v>128213.13553037991</v>
      </c>
      <c r="M13" s="183">
        <f ca="1">SUM(M!AC16:AE16)</f>
        <v>49373.605257929259</v>
      </c>
      <c r="N13" s="184">
        <f t="shared" ca="1" si="2"/>
        <v>210362.10294353921</v>
      </c>
      <c r="O13" s="183">
        <f ca="1">SUM(M!AF16:AH16)</f>
        <v>10251.511079506836</v>
      </c>
      <c r="P13" s="183">
        <f ca="1">SUM(M!AI16:AK16)</f>
        <v>8583.8701412780938</v>
      </c>
      <c r="Q13" s="183">
        <f ca="1">SUM(M!AL16:AN16)</f>
        <v>37106.298430359646</v>
      </c>
      <c r="R13" s="183">
        <f ca="1">SUM(M!AO16:AQ16)</f>
        <v>10333.399562884964</v>
      </c>
      <c r="S13" s="184">
        <f t="shared" ca="1" si="3"/>
        <v>66275.079214029538</v>
      </c>
    </row>
    <row r="14" spans="1:19" x14ac:dyDescent="0.2">
      <c r="A14" s="177" t="s">
        <v>40</v>
      </c>
      <c r="B14" s="185">
        <f>SUM(M!C17:D17)</f>
        <v>4166.666666666667</v>
      </c>
      <c r="C14" s="185">
        <f>SUM(M!E17:G17)</f>
        <v>6502.5906735751305</v>
      </c>
      <c r="D14" s="186">
        <f t="shared" si="0"/>
        <v>10669.257340241798</v>
      </c>
      <c r="E14" s="185">
        <f>SUM(M!H17:J17)</f>
        <v>7007.7720207253897</v>
      </c>
      <c r="F14" s="185">
        <f>SUM(M!K17:M17)</f>
        <v>10044.473229706389</v>
      </c>
      <c r="G14" s="185">
        <f>SUM(M!N17:P17)</f>
        <v>55361.398963730579</v>
      </c>
      <c r="H14" s="185">
        <f>SUM(M!Q17:S17)</f>
        <v>15417.098445595855</v>
      </c>
      <c r="I14" s="186">
        <f t="shared" si="1"/>
        <v>87830.742659758209</v>
      </c>
      <c r="J14" s="185">
        <f>SUM(M!T17:V17)</f>
        <v>0</v>
      </c>
      <c r="K14" s="185">
        <f>SUM(M!W17:Y17)</f>
        <v>0</v>
      </c>
      <c r="L14" s="185">
        <f>SUM(M!Z17:AB17)</f>
        <v>0</v>
      </c>
      <c r="M14" s="185">
        <f>SUM(M!AC17:AE17)</f>
        <v>0</v>
      </c>
      <c r="N14" s="186">
        <f t="shared" si="2"/>
        <v>0</v>
      </c>
      <c r="O14" s="185">
        <f>SUM(M!AF17:AH17)</f>
        <v>0</v>
      </c>
      <c r="P14" s="185">
        <f>SUM(M!AI17:AK17)</f>
        <v>0</v>
      </c>
      <c r="Q14" s="185">
        <f>SUM(M!AL17:AN17)</f>
        <v>0</v>
      </c>
      <c r="R14" s="185">
        <f>SUM(M!AO17:AQ17)</f>
        <v>0</v>
      </c>
      <c r="S14" s="186">
        <f t="shared" si="3"/>
        <v>0</v>
      </c>
    </row>
    <row r="15" spans="1:19" x14ac:dyDescent="0.2">
      <c r="A15" s="177" t="s">
        <v>41</v>
      </c>
      <c r="B15" s="185">
        <f>SUM(M!C18:D18)</f>
        <v>0</v>
      </c>
      <c r="C15" s="185">
        <f>SUM(M!E18:G18)</f>
        <v>0</v>
      </c>
      <c r="D15" s="186">
        <f t="shared" si="0"/>
        <v>0</v>
      </c>
      <c r="E15" s="185">
        <f ca="1">SUM(M!H18:J18)</f>
        <v>3534.688995215311</v>
      </c>
      <c r="F15" s="185">
        <f ca="1">SUM(M!K18:M18)</f>
        <v>5066.3875598086124</v>
      </c>
      <c r="G15" s="185">
        <f ca="1">SUM(M!N18:P18)</f>
        <v>27924.043062200959</v>
      </c>
      <c r="H15" s="185">
        <f ca="1">SUM(M!Q18:S18)</f>
        <v>12489.234449760765</v>
      </c>
      <c r="I15" s="186">
        <f t="shared" ca="1" si="1"/>
        <v>49014.354066985645</v>
      </c>
      <c r="J15" s="185">
        <f ca="1">SUM(M!T18:V18)</f>
        <v>3534.688995215311</v>
      </c>
      <c r="K15" s="185">
        <f ca="1">SUM(M!W18:Y18)</f>
        <v>1178.2296650717703</v>
      </c>
      <c r="L15" s="185">
        <f>SUM(M!Z18:AB18)</f>
        <v>0</v>
      </c>
      <c r="M15" s="185">
        <f>SUM(M!AC18:AE18)</f>
        <v>0</v>
      </c>
      <c r="N15" s="186">
        <f t="shared" ca="1" si="2"/>
        <v>4712.9186602870814</v>
      </c>
      <c r="O15" s="185">
        <f>SUM(M!AF18:AH18)</f>
        <v>0</v>
      </c>
      <c r="P15" s="185">
        <f>SUM(M!AI18:AK18)</f>
        <v>0</v>
      </c>
      <c r="Q15" s="185">
        <f>SUM(M!AL18:AN18)</f>
        <v>0</v>
      </c>
      <c r="R15" s="185">
        <f>SUM(M!AO18:AQ18)</f>
        <v>0</v>
      </c>
      <c r="S15" s="186">
        <f t="shared" si="3"/>
        <v>0</v>
      </c>
    </row>
    <row r="16" spans="1:19" x14ac:dyDescent="0.2">
      <c r="A16" s="177" t="s">
        <v>42</v>
      </c>
      <c r="B16" s="185">
        <f>SUM(M!C19:D19)</f>
        <v>0</v>
      </c>
      <c r="C16" s="185">
        <f>SUM(M!E19:G19)</f>
        <v>0</v>
      </c>
      <c r="D16" s="186">
        <f t="shared" si="0"/>
        <v>0</v>
      </c>
      <c r="E16" s="185">
        <f>SUM(M!H19:J19)</f>
        <v>0</v>
      </c>
      <c r="F16" s="185">
        <f>SUM(M!K19:M19)</f>
        <v>0</v>
      </c>
      <c r="G16" s="185">
        <f ca="1">SUM(M!N19:P19)</f>
        <v>47226.198002275909</v>
      </c>
      <c r="H16" s="185">
        <f ca="1">SUM(M!Q19:S19)</f>
        <v>21122.265773169816</v>
      </c>
      <c r="I16" s="186">
        <f t="shared" ca="1" si="1"/>
        <v>68348.463775445722</v>
      </c>
      <c r="J16" s="185">
        <f ca="1">SUM(M!T19:V19)</f>
        <v>5977.9997471235329</v>
      </c>
      <c r="K16" s="185">
        <f ca="1">SUM(M!W19:Y19)</f>
        <v>8568.4663042103966</v>
      </c>
      <c r="L16" s="185">
        <f ca="1">SUM(M!Z19:AB19)</f>
        <v>47226.198002275909</v>
      </c>
      <c r="M16" s="185">
        <f ca="1">SUM(M!AC19:AE19)</f>
        <v>13151.599443671772</v>
      </c>
      <c r="N16" s="186">
        <f t="shared" ca="1" si="2"/>
        <v>74924.263497281616</v>
      </c>
      <c r="O16" s="185">
        <f>SUM(M!AF19:AH19)</f>
        <v>0</v>
      </c>
      <c r="P16" s="185">
        <f>SUM(M!AI19:AK19)</f>
        <v>0</v>
      </c>
      <c r="Q16" s="185">
        <f>SUM(M!AL19:AN19)</f>
        <v>0</v>
      </c>
      <c r="R16" s="185">
        <f>SUM(M!AO19:AQ19)</f>
        <v>0</v>
      </c>
      <c r="S16" s="186">
        <f t="shared" si="3"/>
        <v>0</v>
      </c>
    </row>
    <row r="17" spans="1:19" x14ac:dyDescent="0.2">
      <c r="A17" s="177" t="s">
        <v>43</v>
      </c>
      <c r="B17" s="185">
        <f>SUM(M!C20:D20)</f>
        <v>0</v>
      </c>
      <c r="C17" s="185">
        <f>SUM(M!E20:G20)</f>
        <v>0</v>
      </c>
      <c r="D17" s="186">
        <f t="shared" si="0"/>
        <v>0</v>
      </c>
      <c r="E17" s="185">
        <f>SUM(M!H20:J20)</f>
        <v>0</v>
      </c>
      <c r="F17" s="185">
        <f>SUM(M!K20:M20)</f>
        <v>0</v>
      </c>
      <c r="G17" s="185">
        <f>SUM(M!N20:P20)</f>
        <v>0</v>
      </c>
      <c r="H17" s="185">
        <f>SUM(M!Q20:S20)</f>
        <v>0</v>
      </c>
      <c r="I17" s="186">
        <f t="shared" si="1"/>
        <v>0</v>
      </c>
      <c r="J17" s="185">
        <f ca="1">SUM(M!T20:V20)</f>
        <v>5554.5112781954876</v>
      </c>
      <c r="K17" s="185">
        <f ca="1">SUM(M!W20:Y20)</f>
        <v>7961.4661654135325</v>
      </c>
      <c r="L17" s="185">
        <f ca="1">SUM(M!Z20:AB20)</f>
        <v>43880.639097744352</v>
      </c>
      <c r="M17" s="185">
        <f ca="1">SUM(M!AC20:AE20)</f>
        <v>19625.939849624057</v>
      </c>
      <c r="N17" s="186">
        <f t="shared" ca="1" si="2"/>
        <v>77022.556390977436</v>
      </c>
      <c r="O17" s="185">
        <f ca="1">SUM(M!AF20:AH20)</f>
        <v>5554.5112781954876</v>
      </c>
      <c r="P17" s="185">
        <f ca="1">SUM(M!AI20:AK20)</f>
        <v>1851.503759398496</v>
      </c>
      <c r="Q17" s="185">
        <f>SUM(M!AL20:AN20)</f>
        <v>0</v>
      </c>
      <c r="R17" s="185">
        <f>SUM(M!AO20:AQ20)</f>
        <v>0</v>
      </c>
      <c r="S17" s="186">
        <f t="shared" ca="1" si="3"/>
        <v>7406.0150375939838</v>
      </c>
    </row>
    <row r="18" spans="1:19" x14ac:dyDescent="0.2">
      <c r="A18" s="187" t="s">
        <v>44</v>
      </c>
      <c r="B18" s="188">
        <f>SUM(M!C21:D21)</f>
        <v>0</v>
      </c>
      <c r="C18" s="188">
        <f>SUM(M!E21:G21)</f>
        <v>0</v>
      </c>
      <c r="D18" s="189">
        <f t="shared" si="0"/>
        <v>0</v>
      </c>
      <c r="E18" s="188">
        <f>SUM(M!H21:J21)</f>
        <v>0</v>
      </c>
      <c r="F18" s="188">
        <f>SUM(M!K21:M21)</f>
        <v>0</v>
      </c>
      <c r="G18" s="188">
        <f>SUM(M!N21:P21)</f>
        <v>0</v>
      </c>
      <c r="H18" s="188">
        <f>SUM(M!Q21:S21)</f>
        <v>0</v>
      </c>
      <c r="I18" s="189">
        <f t="shared" si="1"/>
        <v>0</v>
      </c>
      <c r="J18" s="188">
        <f>SUM(M!T21:V21)</f>
        <v>0</v>
      </c>
      <c r="K18" s="188">
        <f>SUM(M!W21:Y21)</f>
        <v>0</v>
      </c>
      <c r="L18" s="188">
        <f ca="1">SUM(M!Z21:AB21)</f>
        <v>37106.298430359646</v>
      </c>
      <c r="M18" s="188">
        <f ca="1">SUM(M!AC21:AE21)</f>
        <v>16596.065964633428</v>
      </c>
      <c r="N18" s="189">
        <f t="shared" ca="1" si="2"/>
        <v>53702.36439499307</v>
      </c>
      <c r="O18" s="188">
        <f ca="1">SUM(M!AF21:AH21)</f>
        <v>4696.9998013113473</v>
      </c>
      <c r="P18" s="188">
        <f ca="1">SUM(M!AI21:AK21)</f>
        <v>6732.3663818795976</v>
      </c>
      <c r="Q18" s="188">
        <f ca="1">SUM(M!AL21:AN21)</f>
        <v>37106.298430359646</v>
      </c>
      <c r="R18" s="188">
        <f ca="1">SUM(M!AO21:AQ21)</f>
        <v>10333.399562884964</v>
      </c>
      <c r="S18" s="189">
        <f t="shared" ca="1" si="3"/>
        <v>58869.064176435553</v>
      </c>
    </row>
    <row r="20" spans="1:19" ht="13.5" thickBot="1" x14ac:dyDescent="0.25">
      <c r="A20" s="191" t="s">
        <v>50</v>
      </c>
    </row>
    <row r="21" spans="1:19" ht="13.5" thickBot="1" x14ac:dyDescent="0.25">
      <c r="A21" s="182" t="s">
        <v>53</v>
      </c>
      <c r="B21" s="183">
        <v>0</v>
      </c>
      <c r="C21" s="183">
        <f>B24</f>
        <v>333.33333333333303</v>
      </c>
      <c r="D21" s="184">
        <f>B21</f>
        <v>0</v>
      </c>
      <c r="E21" s="183">
        <f>D24</f>
        <v>830.74265975820163</v>
      </c>
      <c r="F21" s="183">
        <f ca="1">E24</f>
        <v>288.28164381750139</v>
      </c>
      <c r="G21" s="183">
        <f ca="1">F24</f>
        <v>177.42085430249972</v>
      </c>
      <c r="H21" s="183">
        <f ca="1">G24</f>
        <v>665.78082609505509</v>
      </c>
      <c r="I21" s="184">
        <f>E21</f>
        <v>830.74265975820163</v>
      </c>
      <c r="J21" s="183">
        <f ca="1">I24</f>
        <v>637.18215756861173</v>
      </c>
      <c r="K21" s="183">
        <f ca="1">J24</f>
        <v>569.98213703427973</v>
      </c>
      <c r="L21" s="183">
        <f ca="1">K24</f>
        <v>861.8200023385798</v>
      </c>
      <c r="M21" s="183">
        <f ca="1">L24</f>
        <v>1648.6844719586807</v>
      </c>
      <c r="N21" s="184">
        <f ca="1">J21</f>
        <v>637.18215756861173</v>
      </c>
      <c r="O21" s="183">
        <f ca="1">N24</f>
        <v>3275.0792140294216</v>
      </c>
      <c r="P21" s="183">
        <f ca="1">O24</f>
        <v>23.568134522585751</v>
      </c>
      <c r="Q21" s="183">
        <f ca="1">P24</f>
        <v>439.69799324449195</v>
      </c>
      <c r="R21" s="183">
        <f ca="1">Q24</f>
        <v>1333.3995628848497</v>
      </c>
      <c r="S21" s="184">
        <f ca="1">O21</f>
        <v>3275.0792140294216</v>
      </c>
    </row>
    <row r="22" spans="1:19" x14ac:dyDescent="0.2">
      <c r="A22" s="192" t="s">
        <v>56</v>
      </c>
      <c r="B22" s="185">
        <f>SUM(M!C28:D28)</f>
        <v>4500</v>
      </c>
      <c r="C22" s="185">
        <f>SUM(M!E28:G28)</f>
        <v>7000</v>
      </c>
      <c r="D22" s="186">
        <f t="shared" ref="D22:D45" si="4">SUM(B22:C22)</f>
        <v>11500</v>
      </c>
      <c r="E22" s="185">
        <f>SUM(M!H28:J28)</f>
        <v>10000</v>
      </c>
      <c r="F22" s="185">
        <f>SUM(M!K28:M28)</f>
        <v>15000</v>
      </c>
      <c r="G22" s="185">
        <f>SUM(M!N28:P28)</f>
        <v>131000</v>
      </c>
      <c r="H22" s="185">
        <f>SUM(M!Q28:S28)</f>
        <v>49000</v>
      </c>
      <c r="I22" s="186">
        <f t="shared" ref="I22:I45" si="5">SUM(E22:H22)</f>
        <v>205000</v>
      </c>
      <c r="J22" s="185">
        <f>SUM(M!T28:V28)</f>
        <v>15000</v>
      </c>
      <c r="K22" s="185">
        <f>SUM(M!W28:Y28)</f>
        <v>18000</v>
      </c>
      <c r="L22" s="185">
        <f>SUM(M!Z28:AB28)</f>
        <v>129000</v>
      </c>
      <c r="M22" s="185">
        <f>SUM(M!AC28:AE28)</f>
        <v>51000</v>
      </c>
      <c r="N22" s="186">
        <f t="shared" ref="N22:N45" si="6">SUM(J22:M22)</f>
        <v>213000</v>
      </c>
      <c r="O22" s="185">
        <f>SUM(M!AF28:AH28)</f>
        <v>7000</v>
      </c>
      <c r="P22" s="185">
        <f>SUM(M!AI28:AK28)</f>
        <v>9000</v>
      </c>
      <c r="Q22" s="185">
        <f>SUM(M!AL28:AN28)</f>
        <v>38000</v>
      </c>
      <c r="R22" s="185">
        <f>SUM(M!AO28:AQ28)</f>
        <v>9000</v>
      </c>
      <c r="S22" s="186">
        <f t="shared" ref="S22:S45" si="7">SUM(O22:R22)</f>
        <v>63000</v>
      </c>
    </row>
    <row r="23" spans="1:19" ht="13.5" thickBot="1" x14ac:dyDescent="0.25">
      <c r="A23" s="192" t="s">
        <v>57</v>
      </c>
      <c r="B23" s="185">
        <f>SUM(M!C29:D29)</f>
        <v>-4166.666666666667</v>
      </c>
      <c r="C23" s="185">
        <f>SUM(M!E29:G29)</f>
        <v>-6502.5906735751305</v>
      </c>
      <c r="D23" s="186">
        <f t="shared" si="4"/>
        <v>-10669.257340241798</v>
      </c>
      <c r="E23" s="185">
        <f ca="1">SUM(M!H29:J29)</f>
        <v>-10542.4610159407</v>
      </c>
      <c r="F23" s="185">
        <f ca="1">SUM(M!K29:M29)</f>
        <v>-15110.860789515002</v>
      </c>
      <c r="G23" s="185">
        <f ca="1">SUM(M!N29:P29)</f>
        <v>-130511.64002820745</v>
      </c>
      <c r="H23" s="185">
        <f ca="1">SUM(M!Q29:S29)</f>
        <v>-49028.598668526443</v>
      </c>
      <c r="I23" s="186">
        <f t="shared" ca="1" si="5"/>
        <v>-205193.56050218959</v>
      </c>
      <c r="J23" s="185">
        <f ca="1">SUM(M!T29:V29)</f>
        <v>-15067.200020534332</v>
      </c>
      <c r="K23" s="185">
        <f ca="1">SUM(M!W29:Y29)</f>
        <v>-17708.1621346957</v>
      </c>
      <c r="L23" s="185">
        <f ca="1">SUM(M!Z29:AB29)</f>
        <v>-128213.13553037991</v>
      </c>
      <c r="M23" s="185">
        <f ca="1">SUM(M!AC29:AE29)</f>
        <v>-49373.605257929259</v>
      </c>
      <c r="N23" s="186">
        <f t="shared" ca="1" si="6"/>
        <v>-210362.10294353921</v>
      </c>
      <c r="O23" s="185">
        <f ca="1">SUM(M!AF29:AH29)</f>
        <v>-10251.511079506836</v>
      </c>
      <c r="P23" s="185">
        <f ca="1">SUM(M!AI29:AK29)</f>
        <v>-8583.8701412780938</v>
      </c>
      <c r="Q23" s="185">
        <f ca="1">SUM(M!AL29:AN29)</f>
        <v>-37106.298430359646</v>
      </c>
      <c r="R23" s="185">
        <f ca="1">SUM(M!AO29:AQ29)</f>
        <v>-10333.399562884964</v>
      </c>
      <c r="S23" s="186">
        <f t="shared" ca="1" si="7"/>
        <v>-66275.079214029538</v>
      </c>
    </row>
    <row r="24" spans="1:19" ht="13.5" thickBot="1" x14ac:dyDescent="0.25">
      <c r="A24" s="182" t="s">
        <v>55</v>
      </c>
      <c r="B24" s="183">
        <f t="shared" ref="B24:H24" si="8">SUM(B21:B23)</f>
        <v>333.33333333333303</v>
      </c>
      <c r="C24" s="183">
        <f t="shared" si="8"/>
        <v>830.74265975820254</v>
      </c>
      <c r="D24" s="184">
        <f t="shared" si="8"/>
        <v>830.74265975820163</v>
      </c>
      <c r="E24" s="183">
        <f t="shared" ca="1" si="8"/>
        <v>288.28164381750139</v>
      </c>
      <c r="F24" s="183">
        <f t="shared" ca="1" si="8"/>
        <v>177.42085430249972</v>
      </c>
      <c r="G24" s="183">
        <f t="shared" ca="1" si="8"/>
        <v>665.78082609505509</v>
      </c>
      <c r="H24" s="183">
        <f t="shared" ca="1" si="8"/>
        <v>637.18215756861173</v>
      </c>
      <c r="I24" s="184">
        <f ca="1">H24</f>
        <v>637.18215756861173</v>
      </c>
      <c r="J24" s="183">
        <f ca="1">SUM(J21:J23)</f>
        <v>569.98213703427973</v>
      </c>
      <c r="K24" s="183">
        <f ca="1">SUM(K21:K23)</f>
        <v>861.8200023385798</v>
      </c>
      <c r="L24" s="183">
        <f ca="1">SUM(L21:L23)</f>
        <v>1648.6844719586807</v>
      </c>
      <c r="M24" s="183">
        <f ca="1">SUM(M21:M23)</f>
        <v>3275.0792140294216</v>
      </c>
      <c r="N24" s="184">
        <f ca="1">M24</f>
        <v>3275.0792140294216</v>
      </c>
      <c r="O24" s="183">
        <f ca="1">SUM(O21:O23)</f>
        <v>23.568134522585751</v>
      </c>
      <c r="P24" s="183">
        <f ca="1">SUM(P21:P23)</f>
        <v>439.69799324449195</v>
      </c>
      <c r="Q24" s="183">
        <f ca="1">SUM(Q21:Q23)</f>
        <v>1333.3995628848497</v>
      </c>
      <c r="R24" s="183">
        <f ca="1">SUM(R21:R23)</f>
        <v>-1.1459633242338896E-10</v>
      </c>
      <c r="S24" s="184">
        <f ca="1">R24</f>
        <v>-1.1459633242338896E-10</v>
      </c>
    </row>
    <row r="25" spans="1:19" x14ac:dyDescent="0.2">
      <c r="A25" s="193"/>
    </row>
    <row r="26" spans="1:19" ht="13.5" thickBot="1" x14ac:dyDescent="0.25">
      <c r="A26" s="191" t="s">
        <v>60</v>
      </c>
    </row>
    <row r="27" spans="1:19" ht="13.5" thickBot="1" x14ac:dyDescent="0.25">
      <c r="A27" s="194" t="s">
        <v>53</v>
      </c>
      <c r="B27" s="195">
        <v>0</v>
      </c>
      <c r="C27" s="195">
        <f>B30</f>
        <v>50</v>
      </c>
      <c r="D27" s="196">
        <f>B27</f>
        <v>0</v>
      </c>
      <c r="E27" s="195">
        <f>D30</f>
        <v>124.61139896373061</v>
      </c>
      <c r="F27" s="195">
        <f ca="1">E30</f>
        <v>43.24224657262539</v>
      </c>
      <c r="G27" s="195">
        <f ca="1">F30</f>
        <v>26.613128145374958</v>
      </c>
      <c r="H27" s="195">
        <f ca="1">G30</f>
        <v>99.867123914260446</v>
      </c>
      <c r="I27" s="196">
        <f>E27</f>
        <v>124.61139896373061</v>
      </c>
      <c r="J27" s="195">
        <f ca="1">I30</f>
        <v>95.577323635294306</v>
      </c>
      <c r="K27" s="195">
        <f ca="1">J30</f>
        <v>85.497320555144142</v>
      </c>
      <c r="L27" s="195">
        <f ca="1">K30</f>
        <v>129.27300035078906</v>
      </c>
      <c r="M27" s="195">
        <f ca="1">L30</f>
        <v>247.30267079380428</v>
      </c>
      <c r="N27" s="196">
        <f ca="1">J27</f>
        <v>95.577323635294306</v>
      </c>
      <c r="O27" s="195">
        <f ca="1">N30</f>
        <v>491.26188210441524</v>
      </c>
      <c r="P27" s="195">
        <f ca="1">O30</f>
        <v>3.5352201783903183</v>
      </c>
      <c r="Q27" s="195">
        <f ca="1">P30</f>
        <v>65.954698986676476</v>
      </c>
      <c r="R27" s="195">
        <f ca="1">Q30</f>
        <v>200.00993443273092</v>
      </c>
      <c r="S27" s="196">
        <f ca="1">O27</f>
        <v>491.26188210441524</v>
      </c>
    </row>
    <row r="28" spans="1:19" x14ac:dyDescent="0.2">
      <c r="A28" s="197" t="s">
        <v>56</v>
      </c>
      <c r="B28" s="198">
        <f>SUM(M!C34:D34)</f>
        <v>675</v>
      </c>
      <c r="C28" s="198">
        <f>SUM(M!E34:G34)</f>
        <v>1050</v>
      </c>
      <c r="D28" s="199">
        <f t="shared" si="4"/>
        <v>1725</v>
      </c>
      <c r="E28" s="198">
        <f>SUM(M!H34:J34)</f>
        <v>1500</v>
      </c>
      <c r="F28" s="198">
        <f>SUM(M!K34:M34)</f>
        <v>2250</v>
      </c>
      <c r="G28" s="198">
        <f>SUM(M!N34:P34)</f>
        <v>19650</v>
      </c>
      <c r="H28" s="198">
        <f>SUM(M!Q34:S34)</f>
        <v>7350</v>
      </c>
      <c r="I28" s="199">
        <f t="shared" si="5"/>
        <v>30750</v>
      </c>
      <c r="J28" s="198">
        <f>SUM(M!T34:V34)</f>
        <v>2250</v>
      </c>
      <c r="K28" s="198">
        <f>SUM(M!W34:Y34)</f>
        <v>2700</v>
      </c>
      <c r="L28" s="198">
        <f>SUM(M!Z34:AB34)</f>
        <v>19350</v>
      </c>
      <c r="M28" s="198">
        <f>SUM(M!AC34:AE34)</f>
        <v>7650</v>
      </c>
      <c r="N28" s="199">
        <f t="shared" si="6"/>
        <v>31950</v>
      </c>
      <c r="O28" s="198">
        <f>SUM(M!AF34:AH34)</f>
        <v>1050</v>
      </c>
      <c r="P28" s="198">
        <f>SUM(M!AI34:AK34)</f>
        <v>1350</v>
      </c>
      <c r="Q28" s="198">
        <f>SUM(M!AL34:AN34)</f>
        <v>5700</v>
      </c>
      <c r="R28" s="198">
        <f>SUM(M!AO34:AQ34)</f>
        <v>1350</v>
      </c>
      <c r="S28" s="199">
        <f t="shared" si="7"/>
        <v>9450</v>
      </c>
    </row>
    <row r="29" spans="1:19" ht="13.5" thickBot="1" x14ac:dyDescent="0.25">
      <c r="A29" s="197" t="s">
        <v>57</v>
      </c>
      <c r="B29" s="198">
        <f>SUM(M!C35:D35)</f>
        <v>-625</v>
      </c>
      <c r="C29" s="198">
        <f>SUM(M!E35:G35)</f>
        <v>-975.38860103626939</v>
      </c>
      <c r="D29" s="199">
        <f t="shared" si="4"/>
        <v>-1600.3886010362694</v>
      </c>
      <c r="E29" s="198">
        <f ca="1">SUM(M!H35:J35)</f>
        <v>-1581.3691523911052</v>
      </c>
      <c r="F29" s="198">
        <f ca="1">SUM(M!K35:M35)</f>
        <v>-2266.6291184272504</v>
      </c>
      <c r="G29" s="198">
        <f ca="1">SUM(M!N35:P35)</f>
        <v>-19576.746004231114</v>
      </c>
      <c r="H29" s="198">
        <f ca="1">SUM(M!Q35:S35)</f>
        <v>-7354.2898002789661</v>
      </c>
      <c r="I29" s="199">
        <f t="shared" ca="1" si="5"/>
        <v>-30779.034075328436</v>
      </c>
      <c r="J29" s="198">
        <f ca="1">SUM(M!T35:V35)</f>
        <v>-2260.0800030801502</v>
      </c>
      <c r="K29" s="198">
        <f ca="1">SUM(M!W35:Y35)</f>
        <v>-2656.2243202043551</v>
      </c>
      <c r="L29" s="198">
        <f ca="1">SUM(M!Z35:AB35)</f>
        <v>-19231.970329556985</v>
      </c>
      <c r="M29" s="198">
        <f ca="1">SUM(M!AC35:AE35)</f>
        <v>-7406.040788689389</v>
      </c>
      <c r="N29" s="199">
        <f t="shared" ca="1" si="6"/>
        <v>-31554.315441530878</v>
      </c>
      <c r="O29" s="198">
        <f ca="1">SUM(M!AF35:AH35)</f>
        <v>-1537.7266619260249</v>
      </c>
      <c r="P29" s="198">
        <f ca="1">SUM(M!AI35:AK35)</f>
        <v>-1287.5805211917138</v>
      </c>
      <c r="Q29" s="198">
        <f ca="1">SUM(M!AL35:AN35)</f>
        <v>-5565.9447645539458</v>
      </c>
      <c r="R29" s="198">
        <f ca="1">SUM(M!AO35:AQ35)</f>
        <v>-1550.0099344327448</v>
      </c>
      <c r="S29" s="199">
        <f t="shared" ca="1" si="7"/>
        <v>-9941.2618821044289</v>
      </c>
    </row>
    <row r="30" spans="1:19" ht="13.5" thickBot="1" x14ac:dyDescent="0.25">
      <c r="A30" s="194" t="s">
        <v>55</v>
      </c>
      <c r="B30" s="195">
        <f t="shared" ref="B30:H30" si="9">SUM(B27:B29)</f>
        <v>50</v>
      </c>
      <c r="C30" s="195">
        <f t="shared" si="9"/>
        <v>124.61139896373061</v>
      </c>
      <c r="D30" s="196">
        <f t="shared" si="9"/>
        <v>124.61139896373061</v>
      </c>
      <c r="E30" s="195">
        <f t="shared" ca="1" si="9"/>
        <v>43.24224657262539</v>
      </c>
      <c r="F30" s="195">
        <f t="shared" ca="1" si="9"/>
        <v>26.613128145374958</v>
      </c>
      <c r="G30" s="195">
        <f t="shared" ca="1" si="9"/>
        <v>99.867123914260446</v>
      </c>
      <c r="H30" s="195">
        <f t="shared" ca="1" si="9"/>
        <v>95.577323635294306</v>
      </c>
      <c r="I30" s="196">
        <f ca="1">H30</f>
        <v>95.577323635294306</v>
      </c>
      <c r="J30" s="195">
        <f ca="1">SUM(J27:J29)</f>
        <v>85.497320555144142</v>
      </c>
      <c r="K30" s="195">
        <f ca="1">SUM(K27:K29)</f>
        <v>129.27300035078906</v>
      </c>
      <c r="L30" s="195">
        <f ca="1">SUM(L27:L29)</f>
        <v>247.30267079380428</v>
      </c>
      <c r="M30" s="195">
        <f ca="1">SUM(M27:M29)</f>
        <v>491.26188210441524</v>
      </c>
      <c r="N30" s="196">
        <f ca="1">M30</f>
        <v>491.26188210441524</v>
      </c>
      <c r="O30" s="195">
        <f ca="1">SUM(O27:O29)</f>
        <v>3.5352201783903183</v>
      </c>
      <c r="P30" s="195">
        <f ca="1">SUM(P27:P29)</f>
        <v>65.954698986676476</v>
      </c>
      <c r="Q30" s="195">
        <f ca="1">SUM(Q27:Q29)</f>
        <v>200.00993443273092</v>
      </c>
      <c r="R30" s="195">
        <f ca="1">SUM(R27:R29)</f>
        <v>-1.3869794202037156E-11</v>
      </c>
      <c r="S30" s="196">
        <f ca="1">R30</f>
        <v>-1.3869794202037156E-11</v>
      </c>
    </row>
    <row r="31" spans="1:19" x14ac:dyDescent="0.2">
      <c r="A31" s="193"/>
    </row>
    <row r="32" spans="1:19" ht="13.5" thickBot="1" x14ac:dyDescent="0.25">
      <c r="A32" s="192" t="s">
        <v>51</v>
      </c>
    </row>
    <row r="33" spans="1:19" ht="13.5" thickBot="1" x14ac:dyDescent="0.25">
      <c r="A33" s="182" t="s">
        <v>53</v>
      </c>
      <c r="B33" s="183">
        <v>0</v>
      </c>
      <c r="C33" s="183">
        <f>B38</f>
        <v>4916.666666666667</v>
      </c>
      <c r="D33" s="184">
        <f>B33</f>
        <v>0</v>
      </c>
      <c r="E33" s="183">
        <f>D38</f>
        <v>12169.257340241798</v>
      </c>
      <c r="F33" s="183">
        <f ca="1">E38</f>
        <v>23257.172901637045</v>
      </c>
      <c r="G33" s="183">
        <f ca="1">F38</f>
        <v>38640.760963879315</v>
      </c>
      <c r="H33" s="183">
        <f ca="1">G38</f>
        <v>145243.31008299586</v>
      </c>
      <c r="I33" s="184">
        <f>E33</f>
        <v>12169.257340241798</v>
      </c>
      <c r="J33" s="183">
        <f ca="1">I38</f>
        <v>120362.81784243138</v>
      </c>
      <c r="K33" s="183">
        <f ca="1">J38</f>
        <v>118105.34253829038</v>
      </c>
      <c r="L33" s="183">
        <f ca="1">K38</f>
        <v>99878.439737921144</v>
      </c>
      <c r="M33" s="183">
        <f ca="1">L38</f>
        <v>192585.08176180755</v>
      </c>
      <c r="N33" s="184">
        <f ca="1">J33</f>
        <v>120362.81784243138</v>
      </c>
      <c r="O33" s="183">
        <f ca="1">N38</f>
        <v>133724.92078597055</v>
      </c>
      <c r="P33" s="183">
        <f ca="1">O38</f>
        <v>115405.0032940488</v>
      </c>
      <c r="Q33" s="183">
        <f ca="1">P38</f>
        <v>66846.016292469751</v>
      </c>
      <c r="R33" s="183">
        <f ca="1">Q38</f>
        <v>75380.886151400831</v>
      </c>
      <c r="S33" s="184">
        <f ca="1">O33</f>
        <v>133724.92078597055</v>
      </c>
    </row>
    <row r="34" spans="1:19" x14ac:dyDescent="0.2">
      <c r="A34" s="192" t="s">
        <v>52</v>
      </c>
      <c r="B34" s="185">
        <f>SUM(M!C40:D40)</f>
        <v>833.33333333333326</v>
      </c>
      <c r="C34" s="185">
        <f>SUM(M!E40:G40)</f>
        <v>833.33333333333326</v>
      </c>
      <c r="D34" s="186">
        <f t="shared" si="4"/>
        <v>1666.6666666666665</v>
      </c>
      <c r="E34" s="185">
        <f>SUM(M!H40:J40)</f>
        <v>606.06060606060601</v>
      </c>
      <c r="F34" s="185">
        <f>SUM(M!K40:M40)</f>
        <v>303.030303030303</v>
      </c>
      <c r="G34" s="185">
        <f>SUM(M!N40:P40)</f>
        <v>1212.1212121212122</v>
      </c>
      <c r="H34" s="185">
        <f>SUM(M!Q40:S40)</f>
        <v>1212.1212121212122</v>
      </c>
      <c r="I34" s="186">
        <f t="shared" si="5"/>
        <v>3333.333333333333</v>
      </c>
      <c r="J34" s="185">
        <f>SUM(M!T40:V40)</f>
        <v>952.38095238095229</v>
      </c>
      <c r="K34" s="185">
        <f>SUM(M!W40:Y40)</f>
        <v>476.19047619047615</v>
      </c>
      <c r="L34" s="185">
        <f>SUM(M!Z40:AB40)</f>
        <v>952.38095238095229</v>
      </c>
      <c r="M34" s="185">
        <f>SUM(M!AC40:AE40)</f>
        <v>952.38095238095229</v>
      </c>
      <c r="N34" s="186">
        <f t="shared" si="6"/>
        <v>3333.333333333333</v>
      </c>
      <c r="O34" s="185">
        <f>SUM(M!AF40:AH40)</f>
        <v>0</v>
      </c>
      <c r="P34" s="185">
        <f>SUM(M!AI40:AK40)</f>
        <v>0</v>
      </c>
      <c r="Q34" s="185">
        <f>SUM(M!AL40:AN40)</f>
        <v>0</v>
      </c>
      <c r="R34" s="185">
        <f>SUM(M!AO40:AQ40)</f>
        <v>0</v>
      </c>
      <c r="S34" s="186">
        <f t="shared" si="7"/>
        <v>0</v>
      </c>
    </row>
    <row r="35" spans="1:19" x14ac:dyDescent="0.2">
      <c r="A35" s="192" t="s">
        <v>54</v>
      </c>
      <c r="B35" s="185">
        <f>SUM(M!C41:D41)</f>
        <v>4166.666666666667</v>
      </c>
      <c r="C35" s="185">
        <f>SUM(M!E41:G41)</f>
        <v>6502.5906735751305</v>
      </c>
      <c r="D35" s="186">
        <f t="shared" si="4"/>
        <v>10669.257340241798</v>
      </c>
      <c r="E35" s="185">
        <f ca="1">SUM(M!H41:J41)</f>
        <v>10542.4610159407</v>
      </c>
      <c r="F35" s="185">
        <f ca="1">SUM(M!K41:M41)</f>
        <v>15110.860789515002</v>
      </c>
      <c r="G35" s="185">
        <f ca="1">SUM(M!N41:P41)</f>
        <v>130511.64002820745</v>
      </c>
      <c r="H35" s="185">
        <f ca="1">SUM(M!Q41:S41)</f>
        <v>49028.598668526443</v>
      </c>
      <c r="I35" s="186">
        <f t="shared" ca="1" si="5"/>
        <v>205193.56050218959</v>
      </c>
      <c r="J35" s="185">
        <f ca="1">SUM(M!T41:V41)</f>
        <v>15067.200020534332</v>
      </c>
      <c r="K35" s="185">
        <f ca="1">SUM(M!W41:Y41)</f>
        <v>17708.1621346957</v>
      </c>
      <c r="L35" s="185">
        <f ca="1">SUM(M!Z41:AB41)</f>
        <v>128213.13553037991</v>
      </c>
      <c r="M35" s="185">
        <f ca="1">SUM(M!AC41:AE41)</f>
        <v>49373.605257929259</v>
      </c>
      <c r="N35" s="186">
        <f t="shared" ca="1" si="6"/>
        <v>210362.10294353921</v>
      </c>
      <c r="O35" s="185">
        <f ca="1">SUM(M!AF41:AH41)</f>
        <v>10251.511079506836</v>
      </c>
      <c r="P35" s="185">
        <f ca="1">SUM(M!AI41:AK41)</f>
        <v>8583.8701412780938</v>
      </c>
      <c r="Q35" s="185">
        <f ca="1">SUM(M!AL41:AN41)</f>
        <v>37106.298430359646</v>
      </c>
      <c r="R35" s="185">
        <f ca="1">SUM(M!AO41:AQ41)</f>
        <v>10333.399562884964</v>
      </c>
      <c r="S35" s="186">
        <f t="shared" ca="1" si="7"/>
        <v>66275.079214029538</v>
      </c>
    </row>
    <row r="36" spans="1:19" x14ac:dyDescent="0.2">
      <c r="A36" s="192" t="s">
        <v>58</v>
      </c>
      <c r="B36" s="185">
        <f>SUM(M!C42:D42)</f>
        <v>0</v>
      </c>
      <c r="C36" s="185">
        <f>SUM(M!E42:G42)</f>
        <v>0</v>
      </c>
      <c r="D36" s="186">
        <f t="shared" si="4"/>
        <v>0</v>
      </c>
      <c r="E36" s="185">
        <f>SUM(M!H42:J42)</f>
        <v>0</v>
      </c>
      <c r="F36" s="185">
        <f>SUM(M!K42:M42)</f>
        <v>0</v>
      </c>
      <c r="G36" s="185">
        <f>SUM(M!N42:P42)</f>
        <v>-25000</v>
      </c>
      <c r="H36" s="185">
        <f>SUM(M!Q42:S42)</f>
        <v>-75000</v>
      </c>
      <c r="I36" s="186">
        <f t="shared" si="5"/>
        <v>-100000</v>
      </c>
      <c r="J36" s="185">
        <f>SUM(M!T42:V42)</f>
        <v>-18181.81818181818</v>
      </c>
      <c r="K36" s="185">
        <f>SUM(M!W42:Y42)</f>
        <v>-36363.63636363636</v>
      </c>
      <c r="L36" s="185">
        <f>SUM(M!Z42:AB42)</f>
        <v>-36363.636363636368</v>
      </c>
      <c r="M36" s="185">
        <f>SUM(M!AC42:AE42)</f>
        <v>-109090.9090909091</v>
      </c>
      <c r="N36" s="186">
        <f t="shared" si="6"/>
        <v>-200000</v>
      </c>
      <c r="O36" s="185">
        <f>SUM(M!AF42:AH42)</f>
        <v>-28571.428571428572</v>
      </c>
      <c r="P36" s="185">
        <f>SUM(M!AI42:AK42)</f>
        <v>-57142.857142857145</v>
      </c>
      <c r="Q36" s="185">
        <f>SUM(M!AL42:AN42)</f>
        <v>-28571.428571428572</v>
      </c>
      <c r="R36" s="185">
        <f>SUM(M!AO42:AQ42)</f>
        <v>-85714.28571428571</v>
      </c>
      <c r="S36" s="186">
        <f t="shared" si="7"/>
        <v>-200000</v>
      </c>
    </row>
    <row r="37" spans="1:19" ht="13.5" thickBot="1" x14ac:dyDescent="0.25">
      <c r="A37" s="192" t="s">
        <v>59</v>
      </c>
      <c r="B37" s="185">
        <f>SUM(M!C43:D43)</f>
        <v>-83.3333333333333</v>
      </c>
      <c r="C37" s="185">
        <f>SUM(M!E43:G43)</f>
        <v>-83.3333333333333</v>
      </c>
      <c r="D37" s="186">
        <f t="shared" si="4"/>
        <v>-166.6666666666666</v>
      </c>
      <c r="E37" s="185">
        <f>SUM(M!H43:J43)</f>
        <v>-60.606060606060588</v>
      </c>
      <c r="F37" s="185">
        <f>SUM(M!K43:M43)</f>
        <v>-30.303030303030294</v>
      </c>
      <c r="G37" s="185">
        <f>SUM(M!N43:P43)</f>
        <v>-121.2121212121212</v>
      </c>
      <c r="H37" s="185">
        <f>SUM(M!Q43:S43)</f>
        <v>-121.2121212121212</v>
      </c>
      <c r="I37" s="186">
        <f t="shared" si="5"/>
        <v>-333.33333333333326</v>
      </c>
      <c r="J37" s="185">
        <f>SUM(M!T43:V43)</f>
        <v>-95.238095238095212</v>
      </c>
      <c r="K37" s="185">
        <f>SUM(M!W43:Y43)</f>
        <v>-47.619047619047606</v>
      </c>
      <c r="L37" s="185">
        <f>SUM(M!Z43:AB43)</f>
        <v>-95.238095238095212</v>
      </c>
      <c r="M37" s="185">
        <f>SUM(M!AC43:AE43)</f>
        <v>-95.238095238095212</v>
      </c>
      <c r="N37" s="186">
        <f t="shared" si="6"/>
        <v>-333.33333333333326</v>
      </c>
      <c r="O37" s="185">
        <f>SUM(M!AF43:AH43)</f>
        <v>0</v>
      </c>
      <c r="P37" s="185">
        <f>SUM(M!AI43:AK43)</f>
        <v>0</v>
      </c>
      <c r="Q37" s="185">
        <f>SUM(M!AL43:AN43)</f>
        <v>0</v>
      </c>
      <c r="R37" s="185">
        <f>SUM(M!AO43:AQ43)</f>
        <v>0</v>
      </c>
      <c r="S37" s="186">
        <f t="shared" si="7"/>
        <v>0</v>
      </c>
    </row>
    <row r="38" spans="1:19" ht="13.5" thickBot="1" x14ac:dyDescent="0.25">
      <c r="A38" s="182" t="s">
        <v>55</v>
      </c>
      <c r="B38" s="183">
        <f t="shared" ref="B38:S38" si="10">SUM(B33:B37)</f>
        <v>4916.666666666667</v>
      </c>
      <c r="C38" s="183">
        <f t="shared" si="10"/>
        <v>12169.257340241797</v>
      </c>
      <c r="D38" s="184">
        <f t="shared" si="10"/>
        <v>12169.257340241798</v>
      </c>
      <c r="E38" s="183">
        <f t="shared" ca="1" si="10"/>
        <v>23257.172901637045</v>
      </c>
      <c r="F38" s="183">
        <f t="shared" ca="1" si="10"/>
        <v>38640.760963879315</v>
      </c>
      <c r="G38" s="183">
        <f t="shared" ca="1" si="10"/>
        <v>145243.31008299586</v>
      </c>
      <c r="H38" s="183">
        <f t="shared" ca="1" si="10"/>
        <v>120362.8178424314</v>
      </c>
      <c r="I38" s="184">
        <f t="shared" ca="1" si="10"/>
        <v>120362.81784243138</v>
      </c>
      <c r="J38" s="183">
        <f t="shared" ca="1" si="10"/>
        <v>118105.34253829038</v>
      </c>
      <c r="K38" s="183">
        <f t="shared" ca="1" si="10"/>
        <v>99878.439737921144</v>
      </c>
      <c r="L38" s="183">
        <f t="shared" ca="1" si="10"/>
        <v>192585.08176180755</v>
      </c>
      <c r="M38" s="183">
        <f t="shared" ca="1" si="10"/>
        <v>133724.92078597052</v>
      </c>
      <c r="N38" s="184">
        <f t="shared" ca="1" si="10"/>
        <v>133724.92078597055</v>
      </c>
      <c r="O38" s="183">
        <f t="shared" ca="1" si="10"/>
        <v>115405.0032940488</v>
      </c>
      <c r="P38" s="183">
        <f t="shared" ca="1" si="10"/>
        <v>66846.016292469751</v>
      </c>
      <c r="Q38" s="183">
        <f t="shared" ca="1" si="10"/>
        <v>75380.886151400831</v>
      </c>
      <c r="R38" s="183">
        <f t="shared" ca="1" si="10"/>
        <v>8.7311491370201111E-11</v>
      </c>
      <c r="S38" s="184">
        <f t="shared" ca="1" si="10"/>
        <v>8.7311491370201111E-11</v>
      </c>
    </row>
    <row r="39" spans="1:19" x14ac:dyDescent="0.2">
      <c r="A39" s="193"/>
    </row>
    <row r="40" spans="1:19" ht="13.5" thickBot="1" x14ac:dyDescent="0.25">
      <c r="A40" s="192" t="s">
        <v>61</v>
      </c>
    </row>
    <row r="41" spans="1:19" ht="13.5" thickBot="1" x14ac:dyDescent="0.25">
      <c r="A41" s="194" t="s">
        <v>53</v>
      </c>
      <c r="B41" s="195">
        <v>0</v>
      </c>
      <c r="C41" s="195">
        <f>B46</f>
        <v>2794.8266666666664</v>
      </c>
      <c r="D41" s="196">
        <f>B41</f>
        <v>0</v>
      </c>
      <c r="E41" s="195">
        <f>D46</f>
        <v>6441.621934369603</v>
      </c>
      <c r="F41" s="195">
        <f ca="1">E46</f>
        <v>10376.215935245556</v>
      </c>
      <c r="G41" s="195">
        <f ca="1">F46</f>
        <v>14571.827477915231</v>
      </c>
      <c r="H41" s="195">
        <f ca="1">G46</f>
        <v>32044.960845782702</v>
      </c>
      <c r="I41" s="196">
        <f>E41</f>
        <v>6441.621934369603</v>
      </c>
      <c r="J41" s="195">
        <f ca="1">I46</f>
        <v>26684.993343031372</v>
      </c>
      <c r="K41" s="195">
        <f ca="1">J46</f>
        <v>27924.730437020615</v>
      </c>
      <c r="L41" s="195">
        <f ca="1">K46</f>
        <v>25035.528939043154</v>
      </c>
      <c r="M41" s="195">
        <f ca="1">L46</f>
        <v>39388.740117084984</v>
      </c>
      <c r="N41" s="196">
        <f ca="1">J41</f>
        <v>26684.993343031372</v>
      </c>
      <c r="O41" s="195">
        <f ca="1">N46</f>
        <v>26482.35678456226</v>
      </c>
      <c r="P41" s="195">
        <f ca="1">O46</f>
        <v>23461.597922678764</v>
      </c>
      <c r="Q41" s="195">
        <f ca="1">P46</f>
        <v>14127.467396251433</v>
      </c>
      <c r="R41" s="195">
        <f ca="1">Q46</f>
        <v>15134.926636995857</v>
      </c>
      <c r="S41" s="196">
        <f ca="1">O41</f>
        <v>26482.35678456226</v>
      </c>
    </row>
    <row r="42" spans="1:19" x14ac:dyDescent="0.2">
      <c r="A42" s="192" t="s">
        <v>52</v>
      </c>
      <c r="B42" s="198">
        <f>SUM(M!C48:D48)</f>
        <v>1166.6666666666665</v>
      </c>
      <c r="C42" s="198">
        <f>SUM(M!E48:G48)</f>
        <v>1166.6666666666665</v>
      </c>
      <c r="D42" s="199">
        <f t="shared" si="4"/>
        <v>2333.333333333333</v>
      </c>
      <c r="E42" s="198">
        <f>SUM(M!H48:J48)</f>
        <v>848.48484848484838</v>
      </c>
      <c r="F42" s="198">
        <f>SUM(M!K48:M48)</f>
        <v>424.24242424242419</v>
      </c>
      <c r="G42" s="198">
        <f>SUM(M!N48:P48)</f>
        <v>1696.969696969697</v>
      </c>
      <c r="H42" s="198">
        <f>SUM(M!Q48:S48)</f>
        <v>1696.969696969697</v>
      </c>
      <c r="I42" s="199">
        <f t="shared" si="5"/>
        <v>4666.6666666666661</v>
      </c>
      <c r="J42" s="198">
        <f>SUM(M!T48:V48)</f>
        <v>1333.3333333333333</v>
      </c>
      <c r="K42" s="198">
        <f>SUM(M!W48:Y48)</f>
        <v>666.66666666666663</v>
      </c>
      <c r="L42" s="198">
        <f>SUM(M!Z48:AB48)</f>
        <v>1333.3333333333333</v>
      </c>
      <c r="M42" s="198">
        <f>SUM(M!AC48:AE48)</f>
        <v>1333.3333333333333</v>
      </c>
      <c r="N42" s="199">
        <f t="shared" si="6"/>
        <v>4666.6666666666661</v>
      </c>
      <c r="O42" s="198">
        <f>SUM(M!AF48:AH48)</f>
        <v>0</v>
      </c>
      <c r="P42" s="198">
        <f>SUM(M!AI48:AK48)</f>
        <v>0</v>
      </c>
      <c r="Q42" s="198">
        <f>SUM(M!AL48:AN48)</f>
        <v>0</v>
      </c>
      <c r="R42" s="198">
        <f>SUM(M!AO48:AQ48)</f>
        <v>0</v>
      </c>
      <c r="S42" s="199">
        <f t="shared" si="7"/>
        <v>0</v>
      </c>
    </row>
    <row r="43" spans="1:19" x14ac:dyDescent="0.2">
      <c r="A43" s="192" t="s">
        <v>198</v>
      </c>
      <c r="B43" s="198">
        <f>SUM(M!C49:D49)</f>
        <v>625</v>
      </c>
      <c r="C43" s="198">
        <f>SUM(M!E49:G49)</f>
        <v>975.38860103626939</v>
      </c>
      <c r="D43" s="199">
        <f t="shared" si="4"/>
        <v>1600.3886010362694</v>
      </c>
      <c r="E43" s="198">
        <f ca="1">SUM(M!H49:J49)</f>
        <v>1581.3691523911052</v>
      </c>
      <c r="F43" s="198">
        <f ca="1">SUM(M!K49:M49)</f>
        <v>2266.6291184272504</v>
      </c>
      <c r="G43" s="198">
        <f ca="1">SUM(M!N49:P49)</f>
        <v>19576.746004231114</v>
      </c>
      <c r="H43" s="198">
        <f ca="1">SUM(M!Q49:S49)</f>
        <v>7354.2898002789661</v>
      </c>
      <c r="I43" s="199">
        <f t="shared" ca="1" si="5"/>
        <v>30779.034075328436</v>
      </c>
      <c r="J43" s="198">
        <f ca="1">SUM(M!T49:V49)</f>
        <v>2260.0800030801502</v>
      </c>
      <c r="K43" s="198">
        <f ca="1">SUM(M!W49:Y49)</f>
        <v>2656.2243202043551</v>
      </c>
      <c r="L43" s="198">
        <f ca="1">SUM(M!Z49:AB49)</f>
        <v>19231.970329556985</v>
      </c>
      <c r="M43" s="198">
        <f ca="1">SUM(M!AC49:AE49)</f>
        <v>7406.040788689389</v>
      </c>
      <c r="N43" s="199">
        <f t="shared" ca="1" si="6"/>
        <v>31554.315441530878</v>
      </c>
      <c r="O43" s="198">
        <f ca="1">SUM(M!AF49:AH49)</f>
        <v>1537.7266619260249</v>
      </c>
      <c r="P43" s="198">
        <f ca="1">SUM(M!AI49:AK49)</f>
        <v>1287.5805211917138</v>
      </c>
      <c r="Q43" s="198">
        <f ca="1">SUM(M!AL49:AN49)</f>
        <v>5565.9447645539458</v>
      </c>
      <c r="R43" s="198">
        <f ca="1">SUM(M!AO49:AQ49)</f>
        <v>1550.0099344327448</v>
      </c>
      <c r="S43" s="199">
        <f t="shared" ca="1" si="7"/>
        <v>9941.2618821044289</v>
      </c>
    </row>
    <row r="44" spans="1:19" x14ac:dyDescent="0.2">
      <c r="A44" s="192" t="s">
        <v>199</v>
      </c>
      <c r="B44" s="198">
        <f>SUM(M!C50:D50)</f>
        <v>1003.16</v>
      </c>
      <c r="C44" s="198">
        <f>SUM(M!E50:G50)</f>
        <v>1504.74</v>
      </c>
      <c r="D44" s="199">
        <f t="shared" si="4"/>
        <v>2507.9</v>
      </c>
      <c r="E44" s="198">
        <f>SUM(M!H50:J50)</f>
        <v>1504.74</v>
      </c>
      <c r="F44" s="198">
        <f>SUM(M!K50:M50)</f>
        <v>1504.74</v>
      </c>
      <c r="G44" s="198">
        <f>SUM(M!N50:P50)</f>
        <v>1504.74</v>
      </c>
      <c r="H44" s="198">
        <f>SUM(M!Q50:S50)</f>
        <v>1504.74</v>
      </c>
      <c r="I44" s="199">
        <f t="shared" si="5"/>
        <v>6018.96</v>
      </c>
      <c r="J44" s="198">
        <f>SUM(M!T50:V50)</f>
        <v>1504.74</v>
      </c>
      <c r="K44" s="198">
        <f>SUM(M!W50:Y50)</f>
        <v>1504.74</v>
      </c>
      <c r="L44" s="198">
        <f>SUM(M!Z50:AB50)</f>
        <v>1504.74</v>
      </c>
      <c r="M44" s="198">
        <f>SUM(M!AC50:AE50)</f>
        <v>1504.74</v>
      </c>
      <c r="N44" s="199">
        <f t="shared" si="6"/>
        <v>6018.96</v>
      </c>
      <c r="O44" s="198">
        <f>SUM(M!AF50:AH50)</f>
        <v>1504.74</v>
      </c>
      <c r="P44" s="198">
        <f>SUM(M!AI50:AK50)</f>
        <v>1504.74</v>
      </c>
      <c r="Q44" s="198">
        <f>SUM(M!AL50:AN50)</f>
        <v>1504.74</v>
      </c>
      <c r="R44" s="198">
        <f>SUM(M!AO50:AQ50)</f>
        <v>1504.74</v>
      </c>
      <c r="S44" s="199">
        <f t="shared" si="7"/>
        <v>6018.96</v>
      </c>
    </row>
    <row r="45" spans="1:19" ht="13.5" thickBot="1" x14ac:dyDescent="0.25">
      <c r="A45" s="192" t="s">
        <v>217</v>
      </c>
      <c r="B45" s="198">
        <f>SUM(M!C51:D51)</f>
        <v>0</v>
      </c>
      <c r="C45" s="198">
        <f>SUM(M!E51:G51)</f>
        <v>0</v>
      </c>
      <c r="D45" s="199">
        <f t="shared" si="4"/>
        <v>0</v>
      </c>
      <c r="E45" s="198">
        <f>SUM(M!H51:J51)</f>
        <v>0</v>
      </c>
      <c r="F45" s="198">
        <f>SUM(M!K51:M51)</f>
        <v>0</v>
      </c>
      <c r="G45" s="198">
        <f>SUM(M!N51:P51)</f>
        <v>-5305.3223333333326</v>
      </c>
      <c r="H45" s="198">
        <f>SUM(M!Q51:S51)</f>
        <v>-15915.966999999997</v>
      </c>
      <c r="I45" s="199">
        <f t="shared" si="5"/>
        <v>-21221.28933333333</v>
      </c>
      <c r="J45" s="198">
        <f>SUM(M!T51:V51)</f>
        <v>-3858.4162424242418</v>
      </c>
      <c r="K45" s="198">
        <f>SUM(M!W51:Y51)</f>
        <v>-7716.8324848484835</v>
      </c>
      <c r="L45" s="198">
        <f>SUM(M!Z51:AB51)</f>
        <v>-7716.8324848484854</v>
      </c>
      <c r="M45" s="198">
        <f>SUM(M!AC51:AE51)</f>
        <v>-23150.497454545457</v>
      </c>
      <c r="N45" s="199">
        <f t="shared" si="6"/>
        <v>-42442.578666666668</v>
      </c>
      <c r="O45" s="198">
        <f>SUM(M!AF51:AH51)</f>
        <v>-6063.2255238095231</v>
      </c>
      <c r="P45" s="198">
        <f>SUM(M!AI51:AK51)</f>
        <v>-12126.451047619046</v>
      </c>
      <c r="Q45" s="198">
        <f>SUM(M!AL51:AN51)</f>
        <v>-6063.2255238095231</v>
      </c>
      <c r="R45" s="198">
        <f>SUM(M!AO51:AQ51)</f>
        <v>-18189.676571428568</v>
      </c>
      <c r="S45" s="199">
        <f t="shared" si="7"/>
        <v>-42442.578666666661</v>
      </c>
    </row>
    <row r="46" spans="1:19" ht="13.5" thickBot="1" x14ac:dyDescent="0.25">
      <c r="A46" s="194" t="s">
        <v>55</v>
      </c>
      <c r="B46" s="195">
        <f t="shared" ref="B46:S46" si="11">SUM(B41:B45)</f>
        <v>2794.8266666666664</v>
      </c>
      <c r="C46" s="195">
        <f t="shared" si="11"/>
        <v>6441.6219343696021</v>
      </c>
      <c r="D46" s="196">
        <f t="shared" si="11"/>
        <v>6441.621934369603</v>
      </c>
      <c r="E46" s="195">
        <f t="shared" ca="1" si="11"/>
        <v>10376.215935245556</v>
      </c>
      <c r="F46" s="195">
        <f t="shared" ca="1" si="11"/>
        <v>14571.827477915231</v>
      </c>
      <c r="G46" s="195">
        <f t="shared" ca="1" si="11"/>
        <v>32044.960845782702</v>
      </c>
      <c r="H46" s="195">
        <f t="shared" ca="1" si="11"/>
        <v>26684.993343031369</v>
      </c>
      <c r="I46" s="196">
        <f t="shared" ca="1" si="11"/>
        <v>26684.993343031372</v>
      </c>
      <c r="J46" s="195">
        <f t="shared" ca="1" si="11"/>
        <v>27924.730437020615</v>
      </c>
      <c r="K46" s="195">
        <f t="shared" ca="1" si="11"/>
        <v>25035.528939043154</v>
      </c>
      <c r="L46" s="195">
        <f t="shared" ca="1" si="11"/>
        <v>39388.740117084984</v>
      </c>
      <c r="M46" s="195">
        <f t="shared" ca="1" si="11"/>
        <v>26482.356784562249</v>
      </c>
      <c r="N46" s="196">
        <f t="shared" ca="1" si="11"/>
        <v>26482.35678456226</v>
      </c>
      <c r="O46" s="195">
        <f t="shared" ca="1" si="11"/>
        <v>23461.597922678764</v>
      </c>
      <c r="P46" s="195">
        <f t="shared" ca="1" si="11"/>
        <v>14127.467396251433</v>
      </c>
      <c r="Q46" s="195">
        <f t="shared" ca="1" si="11"/>
        <v>15134.926636995857</v>
      </c>
      <c r="R46" s="195">
        <f t="shared" ca="1" si="11"/>
        <v>3.637978807091713E-11</v>
      </c>
      <c r="S46" s="196">
        <f t="shared" ca="1" si="11"/>
        <v>0</v>
      </c>
    </row>
    <row r="47" spans="1:19" x14ac:dyDescent="0.2">
      <c r="A47" s="193"/>
      <c r="B47" s="200"/>
    </row>
    <row r="48" spans="1:19" ht="13.5" thickBot="1" x14ac:dyDescent="0.25">
      <c r="A48" s="176" t="s">
        <v>101</v>
      </c>
      <c r="B48" s="200"/>
    </row>
    <row r="49" spans="1:19" ht="13.5" thickBot="1" x14ac:dyDescent="0.25">
      <c r="A49" s="201" t="s">
        <v>218</v>
      </c>
      <c r="B49" s="202">
        <f>SUM(M!C55:D55)</f>
        <v>0</v>
      </c>
      <c r="C49" s="202">
        <f>SUM(M!E55:G55)</f>
        <v>0</v>
      </c>
      <c r="D49" s="203">
        <f>SUM(B49:C49)</f>
        <v>0</v>
      </c>
      <c r="E49" s="202">
        <f>SUM(M!H55:J55)</f>
        <v>0</v>
      </c>
      <c r="F49" s="202">
        <f>SUM(M!K55:M55)</f>
        <v>0</v>
      </c>
      <c r="G49" s="202">
        <f>SUM(M!N55:P55)</f>
        <v>9062.5</v>
      </c>
      <c r="H49" s="202">
        <f>SUM(M!Q55:S55)</f>
        <v>27187.5</v>
      </c>
      <c r="I49" s="203">
        <f>SUM(E49:H49)</f>
        <v>36250</v>
      </c>
      <c r="J49" s="202">
        <f>SUM(M!T55:V55)</f>
        <v>6590.9090909090901</v>
      </c>
      <c r="K49" s="202">
        <f>SUM(M!W55:Y55)</f>
        <v>13181.81818181818</v>
      </c>
      <c r="L49" s="202">
        <f>SUM(M!Z55:AB55)</f>
        <v>13181.818181818184</v>
      </c>
      <c r="M49" s="202">
        <f>SUM(M!AC55:AE55)</f>
        <v>39545.454545454551</v>
      </c>
      <c r="N49" s="203">
        <f>SUM(J49:M49)</f>
        <v>72500</v>
      </c>
      <c r="O49" s="202">
        <f>SUM(M!AF55:AH55)</f>
        <v>10357.142857142859</v>
      </c>
      <c r="P49" s="202">
        <f>SUM(M!AI55:AK55)</f>
        <v>20714.285714285717</v>
      </c>
      <c r="Q49" s="202">
        <f>SUM(M!AL55:AN55)</f>
        <v>10357.142857142859</v>
      </c>
      <c r="R49" s="202">
        <f>SUM(M!AO55:AQ55)</f>
        <v>31071.428571428576</v>
      </c>
      <c r="S49" s="203">
        <f>SUM(O49:R49)</f>
        <v>72500.000000000015</v>
      </c>
    </row>
    <row r="50" spans="1:19" outlineLevel="1" x14ac:dyDescent="0.2">
      <c r="A50" s="192" t="s">
        <v>7</v>
      </c>
      <c r="B50" s="185">
        <f>SUM(M!C56:D56)</f>
        <v>0</v>
      </c>
      <c r="C50" s="185">
        <f>SUM(M!E56:G56)</f>
        <v>0</v>
      </c>
      <c r="D50" s="186">
        <f>SUM(B50:C50)</f>
        <v>0</v>
      </c>
      <c r="E50" s="185">
        <f>SUM(M!H56:J56)</f>
        <v>0</v>
      </c>
      <c r="F50" s="185">
        <f>SUM(M!K56:M56)</f>
        <v>0</v>
      </c>
      <c r="G50" s="185">
        <f>SUM(M!N56:P56)</f>
        <v>750</v>
      </c>
      <c r="H50" s="185">
        <f>SUM(M!Q56:S56)</f>
        <v>2250</v>
      </c>
      <c r="I50" s="186">
        <f>SUM(E50:H50)</f>
        <v>3000</v>
      </c>
      <c r="J50" s="185">
        <f>SUM(M!T56:V56)</f>
        <v>545.45454545454538</v>
      </c>
      <c r="K50" s="185">
        <f>SUM(M!W56:Y56)</f>
        <v>1090.9090909090908</v>
      </c>
      <c r="L50" s="185">
        <f>SUM(M!Z56:AB56)</f>
        <v>1090.909090909091</v>
      </c>
      <c r="M50" s="185">
        <f>SUM(M!AC56:AE56)</f>
        <v>3272.727272727273</v>
      </c>
      <c r="N50" s="186">
        <f>SUM(J50:M50)</f>
        <v>6000</v>
      </c>
      <c r="O50" s="185">
        <f>SUM(M!AF56:AH56)</f>
        <v>857.14285714285711</v>
      </c>
      <c r="P50" s="185">
        <f>SUM(M!AI56:AK56)</f>
        <v>1714.2857142857142</v>
      </c>
      <c r="Q50" s="185">
        <f>SUM(M!AL56:AN56)</f>
        <v>857.14285714285711</v>
      </c>
      <c r="R50" s="185">
        <f>SUM(M!AO56:AQ56)</f>
        <v>2571.4285714285716</v>
      </c>
      <c r="S50" s="186">
        <f>SUM(O50:R50)</f>
        <v>6000</v>
      </c>
    </row>
    <row r="51" spans="1:19" outlineLevel="1" x14ac:dyDescent="0.2">
      <c r="A51" s="192" t="s">
        <v>8</v>
      </c>
      <c r="B51" s="185">
        <f>SUM(M!C57:D57)</f>
        <v>0</v>
      </c>
      <c r="C51" s="185">
        <f>SUM(M!E57:G57)</f>
        <v>0</v>
      </c>
      <c r="D51" s="186">
        <f>SUM(B51:C51)</f>
        <v>0</v>
      </c>
      <c r="E51" s="185">
        <f>SUM(M!H57:J57)</f>
        <v>0</v>
      </c>
      <c r="F51" s="185">
        <f>SUM(M!K57:M57)</f>
        <v>0</v>
      </c>
      <c r="G51" s="185">
        <f>SUM(M!N57:P57)</f>
        <v>7875</v>
      </c>
      <c r="H51" s="185">
        <f>SUM(M!Q57:S57)</f>
        <v>23625</v>
      </c>
      <c r="I51" s="186">
        <f>SUM(E51:H51)</f>
        <v>31500</v>
      </c>
      <c r="J51" s="185">
        <f>SUM(M!T57:V57)</f>
        <v>5727.272727272727</v>
      </c>
      <c r="K51" s="185">
        <f>SUM(M!W57:Y57)</f>
        <v>11454.545454545454</v>
      </c>
      <c r="L51" s="185">
        <f>SUM(M!Z57:AB57)</f>
        <v>11454.545454545458</v>
      </c>
      <c r="M51" s="185">
        <f>SUM(M!AC57:AE57)</f>
        <v>34363.636363636375</v>
      </c>
      <c r="N51" s="186">
        <f>SUM(J51:M51)</f>
        <v>63000.000000000015</v>
      </c>
      <c r="O51" s="185">
        <f>SUM(M!AF57:AH57)</f>
        <v>9000.0000000000018</v>
      </c>
      <c r="P51" s="185">
        <f>SUM(M!AI57:AK57)</f>
        <v>18000.000000000004</v>
      </c>
      <c r="Q51" s="185">
        <f>SUM(M!AL57:AN57)</f>
        <v>9000.0000000000018</v>
      </c>
      <c r="R51" s="185">
        <f>SUM(M!AO57:AQ57)</f>
        <v>27000.000000000007</v>
      </c>
      <c r="S51" s="186">
        <f>SUM(O51:R51)</f>
        <v>63000.000000000015</v>
      </c>
    </row>
    <row r="52" spans="1:19" outlineLevel="1" x14ac:dyDescent="0.2">
      <c r="A52" s="192" t="s">
        <v>9</v>
      </c>
      <c r="B52" s="185">
        <f>SUM(M!C58:D58)</f>
        <v>0</v>
      </c>
      <c r="C52" s="185">
        <f>SUM(M!E58:G58)</f>
        <v>0</v>
      </c>
      <c r="D52" s="186">
        <f>SUM(B52:C52)</f>
        <v>0</v>
      </c>
      <c r="E52" s="185">
        <f>SUM(M!H58:J58)</f>
        <v>0</v>
      </c>
      <c r="F52" s="185">
        <f>SUM(M!K58:M58)</f>
        <v>0</v>
      </c>
      <c r="G52" s="185">
        <f>SUM(M!N58:P58)</f>
        <v>437.5</v>
      </c>
      <c r="H52" s="185">
        <f>SUM(M!Q58:S58)</f>
        <v>1312.5</v>
      </c>
      <c r="I52" s="186">
        <f>SUM(E52:H52)</f>
        <v>1750</v>
      </c>
      <c r="J52" s="185">
        <f>SUM(M!T58:V58)</f>
        <v>318.18181818181819</v>
      </c>
      <c r="K52" s="185">
        <f>SUM(M!W58:Y58)</f>
        <v>636.36363636363637</v>
      </c>
      <c r="L52" s="185">
        <f>SUM(M!Z58:AB58)</f>
        <v>636.36363636363649</v>
      </c>
      <c r="M52" s="185">
        <f>SUM(M!AC58:AE58)</f>
        <v>1909.0909090909095</v>
      </c>
      <c r="N52" s="186">
        <f>SUM(J52:M52)</f>
        <v>3500.0000000000005</v>
      </c>
      <c r="O52" s="185">
        <f>SUM(M!AF58:AH58)</f>
        <v>500.00000000000006</v>
      </c>
      <c r="P52" s="185">
        <f>SUM(M!AI58:AK58)</f>
        <v>1000.0000000000001</v>
      </c>
      <c r="Q52" s="185">
        <f>SUM(M!AL58:AN58)</f>
        <v>500.00000000000006</v>
      </c>
      <c r="R52" s="185">
        <f>SUM(M!AO58:AQ58)</f>
        <v>1500.0000000000002</v>
      </c>
      <c r="S52" s="186">
        <f>SUM(O52:R52)</f>
        <v>3500.0000000000005</v>
      </c>
    </row>
    <row r="53" spans="1:19" ht="5.0999999999999996" customHeight="1" thickBot="1" x14ac:dyDescent="0.25">
      <c r="B53" s="200"/>
      <c r="C53" s="200"/>
      <c r="D53" s="204"/>
      <c r="E53" s="200"/>
      <c r="F53" s="200"/>
      <c r="G53" s="200"/>
      <c r="H53" s="200"/>
      <c r="I53" s="204"/>
      <c r="J53" s="200"/>
      <c r="K53" s="200"/>
      <c r="L53" s="200"/>
      <c r="M53" s="200"/>
      <c r="N53" s="204"/>
      <c r="O53" s="200"/>
      <c r="P53" s="200"/>
      <c r="Q53" s="200"/>
      <c r="R53" s="200"/>
      <c r="S53" s="204"/>
    </row>
    <row r="54" spans="1:19" ht="13.5" thickBot="1" x14ac:dyDescent="0.25">
      <c r="A54" s="201" t="s">
        <v>125</v>
      </c>
      <c r="B54" s="202">
        <f>SUM(M!C61:D61)</f>
        <v>1166.6666666666665</v>
      </c>
      <c r="C54" s="202">
        <f>SUM(M!E61:G61)</f>
        <v>1166.6666666666665</v>
      </c>
      <c r="D54" s="203">
        <f>SUM(B54:C54)</f>
        <v>2333.333333333333</v>
      </c>
      <c r="E54" s="202">
        <f>SUM(M!H61:J61)</f>
        <v>848.48484848484838</v>
      </c>
      <c r="F54" s="202">
        <f>SUM(M!K61:M61)</f>
        <v>424.24242424242419</v>
      </c>
      <c r="G54" s="202">
        <f>SUM(M!N61:P61)</f>
        <v>1696.969696969697</v>
      </c>
      <c r="H54" s="202">
        <f>SUM(M!Q61:S61)</f>
        <v>1696.969696969697</v>
      </c>
      <c r="I54" s="203">
        <f>SUM(E54:H54)</f>
        <v>4666.6666666666661</v>
      </c>
      <c r="J54" s="202">
        <f>SUM(M!T61:V61)</f>
        <v>1333.3333333333333</v>
      </c>
      <c r="K54" s="202">
        <f>SUM(M!W61:Y61)</f>
        <v>666.66666666666663</v>
      </c>
      <c r="L54" s="202">
        <f>SUM(M!Z61:AB61)</f>
        <v>1333.3333333333333</v>
      </c>
      <c r="M54" s="202">
        <f>SUM(M!AC61:AE61)</f>
        <v>1333.3333333333333</v>
      </c>
      <c r="N54" s="203">
        <f>SUM(J54:M54)</f>
        <v>4666.6666666666661</v>
      </c>
      <c r="O54" s="202">
        <f>SUM(M!AF61:AH61)</f>
        <v>0</v>
      </c>
      <c r="P54" s="202">
        <f>SUM(M!AI61:AK61)</f>
        <v>0</v>
      </c>
      <c r="Q54" s="202">
        <f>SUM(M!AL61:AN61)</f>
        <v>0</v>
      </c>
      <c r="R54" s="202">
        <f>SUM(M!AO61:AQ61)</f>
        <v>0</v>
      </c>
      <c r="S54" s="203">
        <f>SUM(O54:R54)</f>
        <v>0</v>
      </c>
    </row>
    <row r="55" spans="1:19" ht="5.0999999999999996" customHeight="1" thickBot="1" x14ac:dyDescent="0.25">
      <c r="B55" s="185"/>
      <c r="C55" s="185"/>
      <c r="D55" s="186"/>
      <c r="E55" s="185"/>
      <c r="F55" s="185"/>
      <c r="G55" s="185"/>
      <c r="H55" s="185"/>
      <c r="I55" s="186"/>
      <c r="J55" s="185"/>
      <c r="K55" s="185"/>
      <c r="L55" s="185"/>
      <c r="M55" s="185"/>
      <c r="N55" s="186"/>
      <c r="O55" s="185"/>
      <c r="P55" s="185"/>
      <c r="Q55" s="185"/>
      <c r="R55" s="185"/>
      <c r="S55" s="186"/>
    </row>
    <row r="56" spans="1:19" ht="13.5" thickBot="1" x14ac:dyDescent="0.25">
      <c r="A56" s="201" t="s">
        <v>14</v>
      </c>
      <c r="B56" s="202">
        <f>SUM(M!C65:D65)</f>
        <v>0</v>
      </c>
      <c r="C56" s="202">
        <f>SUM(M!E65:G65)</f>
        <v>0</v>
      </c>
      <c r="D56" s="203">
        <f>SUM(B56:C56)</f>
        <v>0</v>
      </c>
      <c r="E56" s="202">
        <f>SUM(M!H65:J65)</f>
        <v>0</v>
      </c>
      <c r="F56" s="202">
        <f>SUM(M!K65:M65)</f>
        <v>0</v>
      </c>
      <c r="G56" s="202">
        <f>SUM(M!N65:P65)</f>
        <v>9062.5</v>
      </c>
      <c r="H56" s="202">
        <f>SUM(M!Q65:S65)</f>
        <v>27187.5</v>
      </c>
      <c r="I56" s="203">
        <f>SUM(E56:H56)</f>
        <v>36250</v>
      </c>
      <c r="J56" s="202">
        <f>SUM(M!T65:V65)</f>
        <v>6590.9090909090901</v>
      </c>
      <c r="K56" s="202">
        <f>SUM(M!W65:Y65)</f>
        <v>13181.81818181818</v>
      </c>
      <c r="L56" s="202">
        <f>SUM(M!Z65:AB65)</f>
        <v>13181.818181818184</v>
      </c>
      <c r="M56" s="202">
        <f>SUM(M!AC65:AE65)</f>
        <v>39545.454545454551</v>
      </c>
      <c r="N56" s="203">
        <f>SUM(J56:M56)</f>
        <v>72500</v>
      </c>
      <c r="O56" s="202">
        <f>SUM(M!AF65:AH65)</f>
        <v>10357.142857142859</v>
      </c>
      <c r="P56" s="202">
        <f>SUM(M!AI65:AK65)</f>
        <v>20714.285714285717</v>
      </c>
      <c r="Q56" s="202">
        <f>SUM(M!AL65:AN65)</f>
        <v>10357.142857142859</v>
      </c>
      <c r="R56" s="202">
        <f>SUM(M!AO65:AQ65)</f>
        <v>31071.428571428576</v>
      </c>
      <c r="S56" s="203">
        <f>SUM(O56:R56)</f>
        <v>72500.000000000015</v>
      </c>
    </row>
    <row r="57" spans="1:19" ht="5.0999999999999996" customHeight="1" thickBot="1" x14ac:dyDescent="0.25">
      <c r="A57" s="205" t="s">
        <v>21</v>
      </c>
      <c r="B57" s="200"/>
      <c r="C57" s="200"/>
      <c r="D57" s="204"/>
      <c r="E57" s="200"/>
      <c r="F57" s="200"/>
      <c r="G57" s="200"/>
      <c r="H57" s="200"/>
      <c r="I57" s="204"/>
      <c r="J57" s="200"/>
      <c r="K57" s="200"/>
      <c r="L57" s="200"/>
      <c r="M57" s="200"/>
      <c r="N57" s="204"/>
      <c r="O57" s="200"/>
      <c r="P57" s="200"/>
      <c r="Q57" s="200"/>
      <c r="R57" s="200"/>
      <c r="S57" s="204"/>
    </row>
    <row r="58" spans="1:19" ht="13.5" thickBot="1" x14ac:dyDescent="0.25">
      <c r="A58" s="201" t="s">
        <v>22</v>
      </c>
      <c r="B58" s="202">
        <f>SUM(M!C74:D74)</f>
        <v>874.99999999999989</v>
      </c>
      <c r="C58" s="202">
        <f>SUM(M!E74:G74)</f>
        <v>1458.333333333333</v>
      </c>
      <c r="D58" s="203">
        <f>SUM(B58:C58)</f>
        <v>2333.333333333333</v>
      </c>
      <c r="E58" s="202">
        <f>SUM(M!H74:J74)</f>
        <v>636.36363636363626</v>
      </c>
      <c r="F58" s="202">
        <f>SUM(M!K74:M74)</f>
        <v>636.36363636363626</v>
      </c>
      <c r="G58" s="202">
        <f>SUM(M!N74:P74)</f>
        <v>1272.7272727272727</v>
      </c>
      <c r="H58" s="202">
        <f>SUM(M!Q74:S74)</f>
        <v>2121.212121212121</v>
      </c>
      <c r="I58" s="203">
        <f>SUM(E58:H58)</f>
        <v>4666.6666666666661</v>
      </c>
      <c r="J58" s="202">
        <f>SUM(M!T74:V74)</f>
        <v>1000</v>
      </c>
      <c r="K58" s="202">
        <f>SUM(M!W74:Y74)</f>
        <v>1000</v>
      </c>
      <c r="L58" s="202">
        <f>SUM(M!Z74:AB74)</f>
        <v>1000</v>
      </c>
      <c r="M58" s="202">
        <f>SUM(M!AC74:AE74)</f>
        <v>1666.6666666666665</v>
      </c>
      <c r="N58" s="203">
        <f>SUM(J58:M58)</f>
        <v>4666.6666666666661</v>
      </c>
      <c r="O58" s="202">
        <f>SUM(M!AF74:AH74)</f>
        <v>0</v>
      </c>
      <c r="P58" s="202">
        <f>SUM(M!AI74:AK74)</f>
        <v>0</v>
      </c>
      <c r="Q58" s="202">
        <f>SUM(M!AL74:AN74)</f>
        <v>0</v>
      </c>
      <c r="R58" s="202">
        <f>SUM(M!AO74:AQ74)</f>
        <v>0</v>
      </c>
      <c r="S58" s="203">
        <f>SUM(O58:R58)</f>
        <v>0</v>
      </c>
    </row>
    <row r="59" spans="1:19" ht="5.0999999999999996" customHeight="1" thickBot="1" x14ac:dyDescent="0.25">
      <c r="B59" s="200"/>
      <c r="C59" s="200"/>
      <c r="D59" s="204"/>
      <c r="E59" s="200"/>
      <c r="F59" s="200"/>
      <c r="G59" s="200"/>
      <c r="H59" s="200"/>
      <c r="I59" s="204"/>
      <c r="J59" s="200"/>
      <c r="K59" s="200"/>
      <c r="L59" s="200"/>
      <c r="M59" s="200"/>
      <c r="N59" s="204"/>
      <c r="O59" s="200"/>
      <c r="P59" s="200"/>
      <c r="Q59" s="200"/>
      <c r="R59" s="200"/>
      <c r="S59" s="204"/>
    </row>
    <row r="60" spans="1:19" ht="13.5" thickBot="1" x14ac:dyDescent="0.25">
      <c r="A60" s="201" t="s">
        <v>23</v>
      </c>
      <c r="B60" s="202">
        <f>SUM(M!C83:D83)</f>
        <v>675</v>
      </c>
      <c r="C60" s="202">
        <f>SUM(M!E83:G83)</f>
        <v>1050</v>
      </c>
      <c r="D60" s="203">
        <f>SUM(B60:C60)</f>
        <v>1725</v>
      </c>
      <c r="E60" s="202">
        <f>SUM(M!H83:J83)</f>
        <v>1500</v>
      </c>
      <c r="F60" s="202">
        <f>SUM(M!K83:M83)</f>
        <v>2250</v>
      </c>
      <c r="G60" s="202">
        <f>SUM(M!N83:P83)</f>
        <v>19650</v>
      </c>
      <c r="H60" s="202">
        <f>SUM(M!Q83:S83)</f>
        <v>7350</v>
      </c>
      <c r="I60" s="203">
        <f>SUM(E60:H60)</f>
        <v>30750</v>
      </c>
      <c r="J60" s="202">
        <f>SUM(M!T83:V83)</f>
        <v>2250</v>
      </c>
      <c r="K60" s="202">
        <f>SUM(M!W83:Y83)</f>
        <v>2700</v>
      </c>
      <c r="L60" s="202">
        <f>SUM(M!Z83:AB83)</f>
        <v>19350</v>
      </c>
      <c r="M60" s="202">
        <f>SUM(M!AC83:AE83)</f>
        <v>7650</v>
      </c>
      <c r="N60" s="203">
        <f>SUM(J60:M60)</f>
        <v>31950</v>
      </c>
      <c r="O60" s="202">
        <f>SUM(M!AF83:AH83)</f>
        <v>1050</v>
      </c>
      <c r="P60" s="202">
        <f>SUM(M!AI83:AK83)</f>
        <v>1350</v>
      </c>
      <c r="Q60" s="202">
        <f>SUM(M!AL83:AN83)</f>
        <v>5700</v>
      </c>
      <c r="R60" s="202">
        <f>SUM(M!AO83:AQ83)</f>
        <v>1350</v>
      </c>
      <c r="S60" s="203">
        <f>SUM(O60:R60)</f>
        <v>9450</v>
      </c>
    </row>
    <row r="61" spans="1:19" ht="15.75" x14ac:dyDescent="0.25">
      <c r="A61" s="206"/>
      <c r="B61" s="200"/>
    </row>
    <row r="62" spans="1:19" ht="16.5" thickBot="1" x14ac:dyDescent="0.3">
      <c r="A62" s="206" t="s">
        <v>90</v>
      </c>
      <c r="B62" s="200"/>
    </row>
    <row r="63" spans="1:19" ht="13.5" thickBot="1" x14ac:dyDescent="0.25">
      <c r="A63" s="207" t="s">
        <v>92</v>
      </c>
      <c r="B63" s="208">
        <f>SUM(M!C95:D95)</f>
        <v>0</v>
      </c>
      <c r="C63" s="208">
        <f>SUM(M!E95:G95)</f>
        <v>0</v>
      </c>
      <c r="D63" s="209">
        <f>SUM(B63:C63)</f>
        <v>0</v>
      </c>
      <c r="E63" s="208">
        <f>SUM(M!H95:J95)</f>
        <v>0</v>
      </c>
      <c r="F63" s="208">
        <f>SUM(M!K95:M95)</f>
        <v>0</v>
      </c>
      <c r="G63" s="208">
        <f>SUM(M!N95:P95)</f>
        <v>9062.5</v>
      </c>
      <c r="H63" s="208">
        <f>SUM(M!Q95:S95)</f>
        <v>27187.5</v>
      </c>
      <c r="I63" s="209">
        <f>SUM(E63:H63)</f>
        <v>36250</v>
      </c>
      <c r="J63" s="208">
        <f>SUM(M!T95:V95)</f>
        <v>6590.9090909090901</v>
      </c>
      <c r="K63" s="208">
        <f>SUM(M!W95:Y95)</f>
        <v>13181.81818181818</v>
      </c>
      <c r="L63" s="208">
        <f>SUM(M!Z95:AB95)</f>
        <v>13181.818181818184</v>
      </c>
      <c r="M63" s="208">
        <f>SUM(M!AC95:AE95)</f>
        <v>39545.454545454551</v>
      </c>
      <c r="N63" s="209">
        <f t="shared" ref="N63:N69" si="12">SUM(J63:M63)</f>
        <v>72500</v>
      </c>
      <c r="O63" s="208">
        <f>SUM(M!AF95:AH95)</f>
        <v>10357.142857142859</v>
      </c>
      <c r="P63" s="208">
        <f>SUM(M!AI95:AK95)</f>
        <v>20714.285714285717</v>
      </c>
      <c r="Q63" s="208">
        <f>SUM(M!AL95:AN95)</f>
        <v>10357.142857142859</v>
      </c>
      <c r="R63" s="208">
        <f>SUM(M!AO95:AQ95)</f>
        <v>31071.428571428576</v>
      </c>
      <c r="S63" s="209">
        <f t="shared" ref="S63:S69" si="13">SUM(O63:R63)</f>
        <v>72500.000000000015</v>
      </c>
    </row>
    <row r="64" spans="1:19" ht="13.5" thickBot="1" x14ac:dyDescent="0.25">
      <c r="A64" s="177" t="s">
        <v>91</v>
      </c>
      <c r="B64" s="210">
        <f>SUM(M!C96:D96)</f>
        <v>0</v>
      </c>
      <c r="C64" s="210">
        <f>SUM(M!E96:G96)</f>
        <v>0</v>
      </c>
      <c r="D64" s="211">
        <f>SUM(B64:C64)</f>
        <v>0</v>
      </c>
      <c r="E64" s="210">
        <f>SUM(M!H96:J96)</f>
        <v>0</v>
      </c>
      <c r="F64" s="210">
        <f>SUM(M!K96:M96)</f>
        <v>0</v>
      </c>
      <c r="G64" s="210">
        <f>SUM(M!N96:P96)</f>
        <v>-5305.3223333333326</v>
      </c>
      <c r="H64" s="210">
        <f>SUM(M!Q96:S96)</f>
        <v>-15915.966999999997</v>
      </c>
      <c r="I64" s="211">
        <f>SUM(E64:H64)</f>
        <v>-21221.28933333333</v>
      </c>
      <c r="J64" s="210">
        <f>SUM(M!T96:V96)</f>
        <v>-3858.4162424242418</v>
      </c>
      <c r="K64" s="210">
        <f>SUM(M!W96:Y96)</f>
        <v>-7716.8324848484835</v>
      </c>
      <c r="L64" s="210">
        <f>SUM(M!Z96:AB96)</f>
        <v>-7716.8324848484854</v>
      </c>
      <c r="M64" s="210">
        <f>SUM(M!AC96:AE96)</f>
        <v>-23150.497454545457</v>
      </c>
      <c r="N64" s="211">
        <f t="shared" si="12"/>
        <v>-42442.578666666668</v>
      </c>
      <c r="O64" s="210">
        <f>SUM(M!AF96:AH96)</f>
        <v>-6063.2255238095231</v>
      </c>
      <c r="P64" s="210">
        <f>SUM(M!AI96:AK96)</f>
        <v>-12126.451047619046</v>
      </c>
      <c r="Q64" s="210">
        <f>SUM(M!AL96:AN96)</f>
        <v>-6063.2255238095231</v>
      </c>
      <c r="R64" s="210">
        <f>SUM(M!AO96:AQ96)</f>
        <v>-18189.676571428568</v>
      </c>
      <c r="S64" s="211">
        <f t="shared" si="13"/>
        <v>-42442.578666666661</v>
      </c>
    </row>
    <row r="65" spans="1:19" ht="13.5" thickBot="1" x14ac:dyDescent="0.25">
      <c r="A65" s="207" t="s">
        <v>76</v>
      </c>
      <c r="B65" s="208">
        <f>SUM(M!C97:D97)</f>
        <v>0</v>
      </c>
      <c r="C65" s="208">
        <f>SUM(M!E97:G97)</f>
        <v>0</v>
      </c>
      <c r="D65" s="209">
        <f>SUM(B65:C65)</f>
        <v>0</v>
      </c>
      <c r="E65" s="208">
        <f>SUM(M!H97:J97)</f>
        <v>0</v>
      </c>
      <c r="F65" s="208">
        <f>SUM(M!K97:M97)</f>
        <v>0</v>
      </c>
      <c r="G65" s="208">
        <f>SUM(M!N97:P97)</f>
        <v>3757.1776666666674</v>
      </c>
      <c r="H65" s="208">
        <f>SUM(M!Q97:S97)</f>
        <v>11271.533000000003</v>
      </c>
      <c r="I65" s="209">
        <f>SUM(E65:H65)</f>
        <v>15028.71066666667</v>
      </c>
      <c r="J65" s="208">
        <f>SUM(M!T97:V97)</f>
        <v>2732.4928484848483</v>
      </c>
      <c r="K65" s="208">
        <f>SUM(M!W97:Y97)</f>
        <v>5464.9856969696966</v>
      </c>
      <c r="L65" s="208">
        <f>SUM(M!Z97:AB97)</f>
        <v>5464.9856969696984</v>
      </c>
      <c r="M65" s="208">
        <f>SUM(M!AC97:AE97)</f>
        <v>16394.957090909094</v>
      </c>
      <c r="N65" s="209">
        <f t="shared" si="12"/>
        <v>30057.421333333339</v>
      </c>
      <c r="O65" s="208">
        <f>SUM(M!AF97:AH97)</f>
        <v>4293.9173333333356</v>
      </c>
      <c r="P65" s="208">
        <f>SUM(M!AI97:AK97)</f>
        <v>8587.8346666666712</v>
      </c>
      <c r="Q65" s="208">
        <f>SUM(M!AL97:AN97)</f>
        <v>4293.9173333333356</v>
      </c>
      <c r="R65" s="208">
        <f>SUM(M!AO97:AQ97)</f>
        <v>12881.752000000008</v>
      </c>
      <c r="S65" s="209">
        <f t="shared" si="13"/>
        <v>30057.42133333335</v>
      </c>
    </row>
    <row r="66" spans="1:19" ht="13.5" thickBot="1" x14ac:dyDescent="0.25">
      <c r="A66" s="207" t="s">
        <v>200</v>
      </c>
      <c r="B66" s="208">
        <f>SUM(M!C98:D98)</f>
        <v>0</v>
      </c>
      <c r="C66" s="208">
        <f>SUM(M!E98:G98)</f>
        <v>0</v>
      </c>
      <c r="D66" s="209"/>
      <c r="E66" s="208">
        <f>SUM(M!H98:J98)</f>
        <v>931.5</v>
      </c>
      <c r="F66" s="208">
        <f>SUM(M!K98:M98)</f>
        <v>0</v>
      </c>
      <c r="G66" s="208">
        <f>SUM(M!N98:P98)</f>
        <v>0</v>
      </c>
      <c r="H66" s="208">
        <f>SUM(M!Q98:S98)</f>
        <v>0</v>
      </c>
      <c r="I66" s="209"/>
      <c r="J66" s="208">
        <f>SUM(M!T98:V98)</f>
        <v>9315</v>
      </c>
      <c r="K66" s="208">
        <f>SUM(M!W98:Y98)</f>
        <v>0</v>
      </c>
      <c r="L66" s="208">
        <f>SUM(M!Z98:AB98)</f>
        <v>0</v>
      </c>
      <c r="M66" s="208">
        <f>SUM(M!AC98:AE98)</f>
        <v>0</v>
      </c>
      <c r="N66" s="209">
        <f t="shared" si="12"/>
        <v>9315</v>
      </c>
      <c r="O66" s="208">
        <f>SUM(M!AF98:AH98)</f>
        <v>9750</v>
      </c>
      <c r="P66" s="208">
        <f>SUM(M!AI98:AK98)</f>
        <v>0</v>
      </c>
      <c r="Q66" s="208">
        <f>SUM(M!AL98:AN98)</f>
        <v>0</v>
      </c>
      <c r="R66" s="208">
        <f>SUM(M!AO98:AQ98)</f>
        <v>1890</v>
      </c>
      <c r="S66" s="209">
        <f t="shared" si="13"/>
        <v>11640</v>
      </c>
    </row>
    <row r="67" spans="1:19" x14ac:dyDescent="0.2">
      <c r="A67" s="212" t="s">
        <v>175</v>
      </c>
      <c r="B67" s="213">
        <f>SUM(M!C101:D101)</f>
        <v>-219.50519999999997</v>
      </c>
      <c r="C67" s="214">
        <f>SUM(M!E101:G101)</f>
        <v>-382.05779999999993</v>
      </c>
      <c r="D67" s="211">
        <f>SUM(B67:C67)</f>
        <v>-601.56299999999987</v>
      </c>
      <c r="E67" s="210">
        <f>SUM(M!H101:J101)</f>
        <v>-382.05779999999993</v>
      </c>
      <c r="F67" s="210">
        <f>SUM(M!K101:M101)</f>
        <v>-382.05779999999993</v>
      </c>
      <c r="G67" s="210">
        <f>SUM(M!N101:P101)</f>
        <v>-382.05779999999993</v>
      </c>
      <c r="H67" s="210">
        <f>SUM(M!Q101:S101)</f>
        <v>-382.05779999999993</v>
      </c>
      <c r="I67" s="211">
        <f>SUM(E67:H67)</f>
        <v>-1528.2311999999997</v>
      </c>
      <c r="J67" s="210">
        <f>SUM(M!M101:O101)</f>
        <v>-382.05779999999993</v>
      </c>
      <c r="K67" s="210">
        <f>SUM(M!P101:R101)</f>
        <v>-382.05779999999993</v>
      </c>
      <c r="L67" s="210">
        <f>SUM(M!S101:U101)</f>
        <v>-382.05779999999993</v>
      </c>
      <c r="M67" s="210">
        <f>SUM(M!V101:X101)</f>
        <v>-382.05779999999993</v>
      </c>
      <c r="N67" s="211">
        <f t="shared" si="12"/>
        <v>-1528.2311999999997</v>
      </c>
      <c r="O67" s="210">
        <f>SUM(M!R101:T101)</f>
        <v>-382.05779999999993</v>
      </c>
      <c r="P67" s="210">
        <f>SUM(M!U101:W101)</f>
        <v>-382.05779999999993</v>
      </c>
      <c r="Q67" s="210">
        <f>SUM(M!X101:Z101)</f>
        <v>-382.05779999999993</v>
      </c>
      <c r="R67" s="210">
        <f>SUM(M!AA101:AC101)</f>
        <v>-382.05779999999993</v>
      </c>
      <c r="S67" s="211">
        <f t="shared" si="13"/>
        <v>-1528.2311999999997</v>
      </c>
    </row>
    <row r="68" spans="1:19" ht="13.5" thickBot="1" x14ac:dyDescent="0.25">
      <c r="A68" s="215" t="s">
        <v>179</v>
      </c>
      <c r="B68" s="216">
        <f>SUM(M!C117:D117)</f>
        <v>-505.5548</v>
      </c>
      <c r="C68" s="217">
        <f>SUM(M!E117:G117)</f>
        <v>-758.33220000000006</v>
      </c>
      <c r="D68" s="211">
        <f>SUM(B68:C68)</f>
        <v>-1263.8870000000002</v>
      </c>
      <c r="E68" s="210">
        <f>SUM(M!H117:J117)</f>
        <v>-758.33220000000006</v>
      </c>
      <c r="F68" s="210">
        <f>SUM(M!K117:M117)</f>
        <v>-758.33220000000006</v>
      </c>
      <c r="G68" s="210">
        <f>SUM(M!N117:P117)</f>
        <v>-758.33220000000006</v>
      </c>
      <c r="H68" s="210">
        <f>SUM(M!Q117:S117)</f>
        <v>-758.33220000000006</v>
      </c>
      <c r="I68" s="211">
        <f>SUM(E68:H68)</f>
        <v>-3033.3288000000002</v>
      </c>
      <c r="J68" s="210">
        <f>SUM(M!M117:O117)</f>
        <v>-758.33220000000006</v>
      </c>
      <c r="K68" s="210">
        <f>SUM(M!P117:R117)</f>
        <v>-758.33220000000006</v>
      </c>
      <c r="L68" s="210">
        <f>SUM(M!S117:U117)</f>
        <v>-758.33220000000006</v>
      </c>
      <c r="M68" s="210">
        <f>SUM(M!V117:X117)</f>
        <v>-758.33220000000006</v>
      </c>
      <c r="N68" s="211">
        <f t="shared" si="12"/>
        <v>-3033.3288000000002</v>
      </c>
      <c r="O68" s="210">
        <f>SUM(M!R117:T117)</f>
        <v>-758.33220000000006</v>
      </c>
      <c r="P68" s="210">
        <f>SUM(M!U117:W117)</f>
        <v>-758.33220000000006</v>
      </c>
      <c r="Q68" s="210">
        <f>SUM(M!X117:Z117)</f>
        <v>-758.33220000000006</v>
      </c>
      <c r="R68" s="210">
        <f>SUM(M!AA117:AC117)</f>
        <v>-758.33220000000006</v>
      </c>
      <c r="S68" s="211">
        <f t="shared" si="13"/>
        <v>-3033.3288000000002</v>
      </c>
    </row>
    <row r="69" spans="1:19" ht="13.5" thickBot="1" x14ac:dyDescent="0.25">
      <c r="A69" s="207" t="s">
        <v>108</v>
      </c>
      <c r="B69" s="208">
        <f>SUM(M!C130:D130)</f>
        <v>-725.06</v>
      </c>
      <c r="C69" s="208">
        <f>SUM(M!E130:G130)</f>
        <v>-1140.3899999999999</v>
      </c>
      <c r="D69" s="209">
        <f>SUM(B69:C69)</f>
        <v>-1865.4499999999998</v>
      </c>
      <c r="E69" s="208">
        <f>SUM(M!H130:J130)</f>
        <v>-208.88999999999987</v>
      </c>
      <c r="F69" s="208">
        <f>SUM(M!K130:M130)</f>
        <v>-1140.3899999999999</v>
      </c>
      <c r="G69" s="208">
        <f>SUM(M!N130:P130)</f>
        <v>2616.787666666668</v>
      </c>
      <c r="H69" s="208">
        <f>SUM(M!Q130:S130)</f>
        <v>10131.143000000004</v>
      </c>
      <c r="I69" s="209">
        <f>SUM(E69:H69)</f>
        <v>11398.650666666672</v>
      </c>
      <c r="J69" s="208">
        <f>SUM(M!T130:V130)</f>
        <v>10907.102848484848</v>
      </c>
      <c r="K69" s="208">
        <f>SUM(M!W130:Y130)</f>
        <v>4324.5956969696972</v>
      </c>
      <c r="L69" s="208">
        <f>SUM(M!Z130:AB130)</f>
        <v>4324.595696969699</v>
      </c>
      <c r="M69" s="208">
        <f>SUM(M!AC130:AE130)</f>
        <v>15254.567090909097</v>
      </c>
      <c r="N69" s="209">
        <f t="shared" si="12"/>
        <v>34810.861333333341</v>
      </c>
      <c r="O69" s="208">
        <f>SUM(M!AF130:AH130)</f>
        <v>12903.527333333335</v>
      </c>
      <c r="P69" s="208">
        <f>SUM(M!AI130:AK130)</f>
        <v>7447.4446666666718</v>
      </c>
      <c r="Q69" s="208">
        <f>SUM(M!AL130:AN130)</f>
        <v>3153.5273333333362</v>
      </c>
      <c r="R69" s="208">
        <f>SUM(M!AO130:AQ130)</f>
        <v>13631.362000000008</v>
      </c>
      <c r="S69" s="209">
        <f t="shared" si="13"/>
        <v>37135.861333333349</v>
      </c>
    </row>
    <row r="70" spans="1:19" s="220" customFormat="1" outlineLevel="1" thickBot="1" x14ac:dyDescent="0.25">
      <c r="A70" s="173" t="s">
        <v>109</v>
      </c>
      <c r="B70" s="218"/>
      <c r="C70" s="218"/>
      <c r="D70" s="219"/>
      <c r="E70" s="218"/>
      <c r="F70" s="218"/>
      <c r="G70" s="218"/>
      <c r="H70" s="218"/>
      <c r="I70" s="238">
        <f>I69/I63</f>
        <v>0.31444553563218403</v>
      </c>
      <c r="J70" s="218"/>
      <c r="K70" s="218"/>
      <c r="L70" s="218"/>
      <c r="M70" s="218"/>
      <c r="N70" s="238">
        <f>N69/N63</f>
        <v>0.48014981149425301</v>
      </c>
      <c r="O70" s="218"/>
      <c r="P70" s="218"/>
      <c r="Q70" s="218"/>
      <c r="R70" s="218"/>
      <c r="S70" s="238">
        <f>S69/S63</f>
        <v>0.51221877701149432</v>
      </c>
    </row>
    <row r="71" spans="1:19" ht="13.5" thickBot="1" x14ac:dyDescent="0.25">
      <c r="A71" s="221" t="s">
        <v>70</v>
      </c>
      <c r="B71" s="222">
        <f>SUM(M!C132:D132)</f>
        <v>-317.5</v>
      </c>
      <c r="C71" s="222">
        <f>SUM(M!E132:G132)</f>
        <v>-660</v>
      </c>
      <c r="D71" s="223">
        <f>SUM(B71:C71)</f>
        <v>-977.5</v>
      </c>
      <c r="E71" s="222">
        <f>SUM(M!H132:J132)</f>
        <v>-830</v>
      </c>
      <c r="F71" s="222">
        <f>SUM(M!K132:M132)</f>
        <v>-1067.5</v>
      </c>
      <c r="G71" s="222">
        <f>SUM(M!N132:P132)</f>
        <v>-1618.75</v>
      </c>
      <c r="H71" s="222">
        <f>SUM(M!Q132:S132)</f>
        <v>-1758.75</v>
      </c>
      <c r="I71" s="223">
        <f>SUM(E71:H71)</f>
        <v>-5275</v>
      </c>
      <c r="J71" s="222">
        <f>SUM(M!T132:V132)</f>
        <v>-1758.75</v>
      </c>
      <c r="K71" s="222">
        <f>SUM(M!W132:Y132)</f>
        <v>-1758.75</v>
      </c>
      <c r="L71" s="222">
        <f>SUM(M!Z132:AB132)</f>
        <v>-1446.25</v>
      </c>
      <c r="M71" s="222">
        <f>SUM(M!AC132:AE132)</f>
        <v>-636.25</v>
      </c>
      <c r="N71" s="223">
        <f>SUM(J71:M71)</f>
        <v>-5600</v>
      </c>
      <c r="O71" s="222">
        <f>SUM(M!AF132:AH132)</f>
        <v>0</v>
      </c>
      <c r="P71" s="222">
        <f>SUM(M!AI132:AK132)</f>
        <v>0</v>
      </c>
      <c r="Q71" s="222">
        <f>SUM(M!AL132:AN132)</f>
        <v>0</v>
      </c>
      <c r="R71" s="222">
        <f>SUM(M!AO132:AQ132)</f>
        <v>0</v>
      </c>
      <c r="S71" s="223">
        <f>SUM(O71:R71)</f>
        <v>0</v>
      </c>
    </row>
    <row r="72" spans="1:19" ht="13.5" thickBot="1" x14ac:dyDescent="0.25">
      <c r="A72" s="221" t="s">
        <v>107</v>
      </c>
      <c r="B72" s="222">
        <f>SUM(M!C133:D133)</f>
        <v>-83.333333333333329</v>
      </c>
      <c r="C72" s="222">
        <f>SUM(M!E133:G133)</f>
        <v>-245.85643325617286</v>
      </c>
      <c r="D72" s="223">
        <f>SUM(B72:C72)</f>
        <v>-329.18976658950618</v>
      </c>
      <c r="E72" s="222">
        <f>SUM(M!H133:J133)</f>
        <v>-239.7611002370017</v>
      </c>
      <c r="F72" s="222">
        <f>SUM(M!K133:M133)</f>
        <v>-233.816884209656</v>
      </c>
      <c r="G72" s="222">
        <f>SUM(M!N133:P133)</f>
        <v>-228.02003864459471</v>
      </c>
      <c r="H72" s="222">
        <f>SUM(M!Q133:S133)</f>
        <v>-222.36690989715663</v>
      </c>
      <c r="I72" s="223">
        <f>SUM(E72:H72)</f>
        <v>-923.96493298840892</v>
      </c>
      <c r="J72" s="222">
        <f>SUM(M!T133:V133)</f>
        <v>-216.85393490473524</v>
      </c>
      <c r="K72" s="222">
        <f>SUM(M!W133:Y133)</f>
        <v>-211.47763894104673</v>
      </c>
      <c r="L72" s="222">
        <f>SUM(M!Z133:AB133)</f>
        <v>-206.23463342607369</v>
      </c>
      <c r="M72" s="222">
        <f>SUM(M!AC133:AE133)</f>
        <v>-201.12161379030607</v>
      </c>
      <c r="N72" s="223">
        <f>SUM(J72:M72)</f>
        <v>-835.68782106216167</v>
      </c>
      <c r="O72" s="222">
        <f>SUM(M!AF133:AH133)</f>
        <v>-196.13535739193196</v>
      </c>
      <c r="P72" s="222">
        <f>SUM(M!AI133:AK133)</f>
        <v>-191.27272148566593</v>
      </c>
      <c r="Q72" s="222">
        <f>SUM(M!AL133:AN133)</f>
        <v>-186.53064124193475</v>
      </c>
      <c r="R72" s="222">
        <f>SUM(M!AO133:AQ133)</f>
        <v>-181.9061278151722</v>
      </c>
      <c r="S72" s="223">
        <f>SUM(O72:R72)</f>
        <v>-755.84484793470483</v>
      </c>
    </row>
    <row r="73" spans="1:19" ht="13.5" thickBot="1" x14ac:dyDescent="0.25">
      <c r="A73" s="207" t="s">
        <v>88</v>
      </c>
      <c r="B73" s="208">
        <f>SUM(M!C134:D134)</f>
        <v>-1125.8933333333334</v>
      </c>
      <c r="C73" s="208">
        <f>SUM(M!E134:G134)</f>
        <v>-2046.2464332561726</v>
      </c>
      <c r="D73" s="209">
        <f>SUM(B73:C73)</f>
        <v>-3172.1397665895061</v>
      </c>
      <c r="E73" s="208">
        <f>SUM(M!H134:J134)</f>
        <v>-1278.6511002370016</v>
      </c>
      <c r="F73" s="208">
        <f>SUM(M!K134:M134)</f>
        <v>-2441.706884209656</v>
      </c>
      <c r="G73" s="208">
        <f>SUM(M!N134:P134)</f>
        <v>770.01762802207304</v>
      </c>
      <c r="H73" s="208">
        <f>SUM(M!Q134:S134)</f>
        <v>8150.026090102846</v>
      </c>
      <c r="I73" s="209">
        <f>SUM(E73:H73)</f>
        <v>5199.6857336782614</v>
      </c>
      <c r="J73" s="208">
        <f>SUM(M!T134:V134)</f>
        <v>8931.4989135801134</v>
      </c>
      <c r="K73" s="208">
        <f>SUM(M!W134:Y134)</f>
        <v>2354.36805802865</v>
      </c>
      <c r="L73" s="208">
        <f>SUM(M!Z134:AB134)</f>
        <v>2672.1110635436253</v>
      </c>
      <c r="M73" s="208">
        <f>SUM(M!AC134:AE134)</f>
        <v>14417.195477118792</v>
      </c>
      <c r="N73" s="209">
        <f>SUM(J73:M73)</f>
        <v>28375.173512271183</v>
      </c>
      <c r="O73" s="208">
        <f>SUM(M!AF134:AH134)</f>
        <v>12707.391975941404</v>
      </c>
      <c r="P73" s="208">
        <f>SUM(M!AI134:AK134)</f>
        <v>7256.1719451810059</v>
      </c>
      <c r="Q73" s="208">
        <f>SUM(M!AL134:AN134)</f>
        <v>2966.9966920914012</v>
      </c>
      <c r="R73" s="208">
        <f>SUM(M!AO134:AQ134)</f>
        <v>13449.455872184833</v>
      </c>
      <c r="S73" s="209">
        <f>SUM(O73:R73)</f>
        <v>36380.01648539865</v>
      </c>
    </row>
    <row r="74" spans="1:19" ht="13.5" thickBot="1" x14ac:dyDescent="0.25">
      <c r="A74" s="221" t="s">
        <v>207</v>
      </c>
      <c r="B74" s="222">
        <f>SUM(M!C135:D135)</f>
        <v>0</v>
      </c>
      <c r="C74" s="222">
        <f>SUM(M!E135:G135)</f>
        <v>0</v>
      </c>
      <c r="D74" s="223">
        <f>SUM(B74:C74)</f>
        <v>0</v>
      </c>
      <c r="E74" s="222">
        <f>SUM(M!H135:J135)</f>
        <v>0</v>
      </c>
      <c r="F74" s="222">
        <f>SUM(M!K135:M135)</f>
        <v>0</v>
      </c>
      <c r="G74" s="222">
        <f>SUM(M!N135:P135)</f>
        <v>-225.43066000000005</v>
      </c>
      <c r="H74" s="222">
        <f>SUM(M!Q135:S135)</f>
        <v>-676.29198000000019</v>
      </c>
      <c r="I74" s="223">
        <f>SUM(E74:H74)</f>
        <v>-901.72264000000018</v>
      </c>
      <c r="J74" s="222">
        <f>SUM(M!T135:V135)</f>
        <v>-163.94957090909088</v>
      </c>
      <c r="K74" s="222">
        <f>SUM(M!W135:Y135)</f>
        <v>-327.89914181818176</v>
      </c>
      <c r="L74" s="222">
        <f>SUM(M!Z135:AB135)</f>
        <v>-327.89914181818187</v>
      </c>
      <c r="M74" s="222">
        <f>SUM(M!AC135:AE135)</f>
        <v>-983.69742545454562</v>
      </c>
      <c r="N74" s="223">
        <f>SUM(J74:M74)</f>
        <v>-1803.4452800000001</v>
      </c>
      <c r="O74" s="222">
        <f>SUM(M!AF135:AH135)</f>
        <v>-257.63504000000012</v>
      </c>
      <c r="P74" s="222">
        <f>SUM(M!AI135:AK135)</f>
        <v>-515.27008000000023</v>
      </c>
      <c r="Q74" s="222">
        <f>SUM(M!AL135:AN135)</f>
        <v>-257.63504000000012</v>
      </c>
      <c r="R74" s="222">
        <f>SUM(M!AO135:AQ135)</f>
        <v>-772.90512000000047</v>
      </c>
      <c r="S74" s="223">
        <f>SUM(O74:R74)</f>
        <v>-1803.4452800000008</v>
      </c>
    </row>
    <row r="75" spans="1:19" ht="13.5" thickBot="1" x14ac:dyDescent="0.25">
      <c r="A75" s="207" t="s">
        <v>208</v>
      </c>
      <c r="B75" s="208">
        <f>SUM(B73:B74)</f>
        <v>-1125.8933333333334</v>
      </c>
      <c r="C75" s="208">
        <f>SUM(C73:C74)</f>
        <v>-2046.2464332561726</v>
      </c>
      <c r="D75" s="209">
        <f>SUM(B75:C75)</f>
        <v>-3172.1397665895061</v>
      </c>
      <c r="E75" s="208">
        <f>SUM(E73:E74)</f>
        <v>-1278.6511002370016</v>
      </c>
      <c r="F75" s="208">
        <f>SUM(F73:F74)</f>
        <v>-2441.706884209656</v>
      </c>
      <c r="G75" s="208">
        <f>SUM(G73:G74)</f>
        <v>544.58696802207305</v>
      </c>
      <c r="H75" s="208">
        <f>SUM(H73:H74)</f>
        <v>7473.734110102846</v>
      </c>
      <c r="I75" s="209">
        <f>SUM(E75:H75)</f>
        <v>4297.9630936782614</v>
      </c>
      <c r="J75" s="208">
        <f>SUM(J73:J74)</f>
        <v>8767.5493426710218</v>
      </c>
      <c r="K75" s="208">
        <f>SUM(K73:K74)</f>
        <v>2026.4689162104683</v>
      </c>
      <c r="L75" s="208">
        <f>SUM(L73:L74)</f>
        <v>2344.2119217254435</v>
      </c>
      <c r="M75" s="208">
        <f>SUM(M73:M74)</f>
        <v>13433.498051664246</v>
      </c>
      <c r="N75" s="209">
        <f>SUM(J75:M75)</f>
        <v>26571.72823227118</v>
      </c>
      <c r="O75" s="208">
        <f>SUM(O73:O74)</f>
        <v>12449.756935941405</v>
      </c>
      <c r="P75" s="208">
        <f>SUM(P73:P74)</f>
        <v>6740.9018651810056</v>
      </c>
      <c r="Q75" s="208">
        <f>SUM(Q73:Q74)</f>
        <v>2709.3616520914011</v>
      </c>
      <c r="R75" s="208">
        <f>SUM(R73:R74)</f>
        <v>12676.550752184832</v>
      </c>
      <c r="S75" s="209">
        <f>SUM(O75:R75)</f>
        <v>34576.571205398643</v>
      </c>
    </row>
    <row r="76" spans="1:19" s="170" customFormat="1" x14ac:dyDescent="0.2">
      <c r="B76" s="224"/>
      <c r="C76" s="224"/>
      <c r="D76" s="225"/>
      <c r="E76" s="224"/>
      <c r="F76" s="224"/>
      <c r="G76" s="224"/>
      <c r="H76" s="224"/>
      <c r="I76" s="226">
        <f>I75/I63</f>
        <v>0.11856449913595205</v>
      </c>
      <c r="J76" s="224"/>
      <c r="K76" s="224"/>
      <c r="L76" s="224"/>
      <c r="M76" s="224"/>
      <c r="N76" s="226">
        <f>N75/N63</f>
        <v>0.36650659630718868</v>
      </c>
      <c r="O76" s="224"/>
      <c r="P76" s="224"/>
      <c r="Q76" s="224"/>
      <c r="R76" s="224"/>
      <c r="S76" s="226">
        <f>S75/S63</f>
        <v>0.47691822352273983</v>
      </c>
    </row>
    <row r="77" spans="1:19" s="170" customFormat="1" ht="16.5" thickBot="1" x14ac:dyDescent="0.3">
      <c r="A77" s="227" t="s">
        <v>111</v>
      </c>
      <c r="B77" s="224"/>
      <c r="C77" s="224"/>
      <c r="D77" s="225"/>
      <c r="E77" s="224"/>
      <c r="F77" s="224"/>
      <c r="G77" s="224"/>
      <c r="H77" s="224"/>
      <c r="I77" s="225"/>
      <c r="J77" s="224"/>
      <c r="K77" s="224"/>
      <c r="L77" s="224"/>
      <c r="M77" s="224"/>
      <c r="N77" s="225"/>
      <c r="O77" s="224"/>
      <c r="P77" s="224"/>
      <c r="Q77" s="224"/>
      <c r="R77" s="224"/>
      <c r="S77" s="225"/>
    </row>
    <row r="78" spans="1:19" ht="13.5" thickBot="1" x14ac:dyDescent="0.25">
      <c r="A78" s="207" t="s">
        <v>63</v>
      </c>
      <c r="B78" s="208">
        <f>SUM(M!C141:D141)</f>
        <v>-3595.72</v>
      </c>
      <c r="C78" s="208">
        <f>SUM(M!E141:G141)</f>
        <v>-5813.4633333333331</v>
      </c>
      <c r="D78" s="209">
        <f t="shared" ref="D78:D92" si="14">SUM(B78:C78)</f>
        <v>-9409.1833333333325</v>
      </c>
      <c r="E78" s="208">
        <f>SUM(M!H141:J141)</f>
        <v>-4679.9936363636361</v>
      </c>
      <c r="F78" s="208">
        <f>SUM(M!K141:M141)</f>
        <v>-6598.9936363636371</v>
      </c>
      <c r="G78" s="208">
        <f>SUM(M!N141:P141)</f>
        <v>-16124.107272727273</v>
      </c>
      <c r="H78" s="208">
        <f>SUM(M!Q141:S141)</f>
        <v>13086.977218787881</v>
      </c>
      <c r="I78" s="209">
        <f t="shared" ref="I78:I92" si="15">SUM(E78:H78)</f>
        <v>-14316.117326666666</v>
      </c>
      <c r="J78" s="208">
        <f>SUM(M!T141:V141)</f>
        <v>7575.7371109090909</v>
      </c>
      <c r="K78" s="208">
        <f>SUM(M!W141:Y141)</f>
        <v>4913.9886109090912</v>
      </c>
      <c r="L78" s="208">
        <f>SUM(M!Z141:AB141)</f>
        <v>-11587.460959999997</v>
      </c>
      <c r="M78" s="208">
        <f>SUM(M!AC141:AE141)</f>
        <v>26619.508736969699</v>
      </c>
      <c r="N78" s="209">
        <f t="shared" ref="N78:N92" si="16">SUM(J78:M78)</f>
        <v>27521.773498787887</v>
      </c>
      <c r="O78" s="208">
        <f>SUM(M!AF141:AH141)</f>
        <v>15428.315431688312</v>
      </c>
      <c r="P78" s="208">
        <f>SUM(M!AI141:AK141)</f>
        <v>16461.520674285715</v>
      </c>
      <c r="Q78" s="208">
        <f>SUM(M!AL141:AN141)</f>
        <v>1496.7427771428593</v>
      </c>
      <c r="R78" s="208">
        <f>SUM(M!AO141:AQ141)</f>
        <v>27935.758411428578</v>
      </c>
      <c r="S78" s="209">
        <f t="shared" ref="S78:S92" si="17">SUM(O78:R78)</f>
        <v>61322.337294545468</v>
      </c>
    </row>
    <row r="79" spans="1:19" x14ac:dyDescent="0.2">
      <c r="A79" s="177" t="s">
        <v>64</v>
      </c>
      <c r="B79" s="210">
        <f>SUM(M!C142:D142)</f>
        <v>0</v>
      </c>
      <c r="C79" s="210">
        <f>SUM(M!E142:G142)</f>
        <v>0</v>
      </c>
      <c r="D79" s="211">
        <f t="shared" si="14"/>
        <v>0</v>
      </c>
      <c r="E79" s="210">
        <f>SUM(M!H142:J142)</f>
        <v>0</v>
      </c>
      <c r="F79" s="210">
        <f>SUM(M!K142:M142)</f>
        <v>0</v>
      </c>
      <c r="G79" s="210">
        <f>SUM(M!N142:P142)</f>
        <v>9062.5</v>
      </c>
      <c r="H79" s="210">
        <f>SUM(M!Q142:S142)</f>
        <v>27187.5</v>
      </c>
      <c r="I79" s="211">
        <f t="shared" si="15"/>
        <v>36250</v>
      </c>
      <c r="J79" s="210">
        <f>SUM(M!T142:V142)</f>
        <v>6590.9090909090901</v>
      </c>
      <c r="K79" s="210">
        <f>SUM(M!W142:Y142)</f>
        <v>13181.81818181818</v>
      </c>
      <c r="L79" s="210">
        <f>SUM(M!Z142:AB142)</f>
        <v>13181.818181818184</v>
      </c>
      <c r="M79" s="210">
        <f>SUM(M!AC142:AE142)</f>
        <v>39545.454545454551</v>
      </c>
      <c r="N79" s="211">
        <f t="shared" si="16"/>
        <v>72500</v>
      </c>
      <c r="O79" s="210">
        <f>SUM(M!AF142:AH142)</f>
        <v>10357.142857142859</v>
      </c>
      <c r="P79" s="210">
        <f>SUM(M!AI142:AK142)</f>
        <v>20714.285714285717</v>
      </c>
      <c r="Q79" s="210">
        <f>SUM(M!AL142:AN142)</f>
        <v>10357.142857142859</v>
      </c>
      <c r="R79" s="210">
        <f>SUM(M!AO142:AQ142)</f>
        <v>31071.428571428576</v>
      </c>
      <c r="S79" s="211">
        <f t="shared" si="17"/>
        <v>72500.000000000015</v>
      </c>
    </row>
    <row r="80" spans="1:19" x14ac:dyDescent="0.2">
      <c r="A80" s="177" t="s">
        <v>205</v>
      </c>
      <c r="B80" s="210">
        <f>SUM(M!C143:D143)</f>
        <v>0</v>
      </c>
      <c r="C80" s="210">
        <f>SUM(M!E143:G143)</f>
        <v>0</v>
      </c>
      <c r="D80" s="211">
        <f t="shared" ref="D80:D86" si="18">SUM(B80:C80)</f>
        <v>0</v>
      </c>
      <c r="E80" s="210">
        <f>SUM(M!H143:J143)</f>
        <v>931.5</v>
      </c>
      <c r="F80" s="210">
        <f>SUM(M!K143:M143)</f>
        <v>0</v>
      </c>
      <c r="G80" s="210">
        <f>SUM(M!N143:P143)</f>
        <v>0</v>
      </c>
      <c r="H80" s="210">
        <f>SUM(M!Q143:S143)</f>
        <v>0</v>
      </c>
      <c r="I80" s="211">
        <f t="shared" ref="I80:I86" si="19">SUM(E80:H80)</f>
        <v>931.5</v>
      </c>
      <c r="J80" s="210">
        <f>SUM(M!T143:V143)</f>
        <v>9315</v>
      </c>
      <c r="K80" s="210">
        <f>SUM(M!W143:Y143)</f>
        <v>0</v>
      </c>
      <c r="L80" s="210">
        <f>SUM(M!Z143:AB143)</f>
        <v>0</v>
      </c>
      <c r="M80" s="210">
        <f>SUM(M!AC143:AE143)</f>
        <v>0</v>
      </c>
      <c r="N80" s="211">
        <f t="shared" ref="N80:N86" si="20">SUM(J80:M80)</f>
        <v>9315</v>
      </c>
      <c r="O80" s="210">
        <f>SUM(M!AF143:AH143)</f>
        <v>9750</v>
      </c>
      <c r="P80" s="210">
        <f>SUM(M!AI143:AK143)</f>
        <v>0</v>
      </c>
      <c r="Q80" s="210">
        <f>SUM(M!AL143:AN143)</f>
        <v>0</v>
      </c>
      <c r="R80" s="210">
        <f>SUM(M!AO143:AQ143)</f>
        <v>1890</v>
      </c>
      <c r="S80" s="211">
        <f t="shared" ref="S80:S86" si="21">SUM(O80:R80)</f>
        <v>11640</v>
      </c>
    </row>
    <row r="81" spans="1:19" x14ac:dyDescent="0.2">
      <c r="A81" s="177" t="s">
        <v>65</v>
      </c>
      <c r="B81" s="210">
        <f>SUM(M!C144:D144)</f>
        <v>-1550</v>
      </c>
      <c r="C81" s="210">
        <f>SUM(M!E144:G144)</f>
        <v>-2508.333333333333</v>
      </c>
      <c r="D81" s="211">
        <f t="shared" si="18"/>
        <v>-4058.333333333333</v>
      </c>
      <c r="E81" s="210">
        <f>SUM(M!H144:J144)</f>
        <v>-2136.363636363636</v>
      </c>
      <c r="F81" s="210">
        <f>SUM(M!K144:M144)</f>
        <v>-2886.3636363636365</v>
      </c>
      <c r="G81" s="210">
        <f>SUM(M!N144:P144)</f>
        <v>-20922.727272727272</v>
      </c>
      <c r="H81" s="210">
        <f>SUM(M!Q144:S144)</f>
        <v>-9471.2121212121201</v>
      </c>
      <c r="I81" s="211">
        <f t="shared" si="19"/>
        <v>-35416.666666666664</v>
      </c>
      <c r="J81" s="210">
        <f>SUM(M!T144:V144)</f>
        <v>-3250</v>
      </c>
      <c r="K81" s="210">
        <f>SUM(M!W144:Y144)</f>
        <v>-3700</v>
      </c>
      <c r="L81" s="210">
        <f>SUM(M!Z144:AB144)</f>
        <v>-20350</v>
      </c>
      <c r="M81" s="210">
        <f>SUM(M!AC144:AE144)</f>
        <v>-9316.6666666666679</v>
      </c>
      <c r="N81" s="211">
        <f t="shared" si="20"/>
        <v>-36616.666666666672</v>
      </c>
      <c r="O81" s="210">
        <f>SUM(M!AF144:AH144)</f>
        <v>-1050</v>
      </c>
      <c r="P81" s="210">
        <f>SUM(M!AI144:AK144)</f>
        <v>-1350</v>
      </c>
      <c r="Q81" s="210">
        <f>SUM(M!AL144:AN144)</f>
        <v>-5700</v>
      </c>
      <c r="R81" s="210">
        <f>SUM(M!AO144:AQ144)</f>
        <v>-1350</v>
      </c>
      <c r="S81" s="211">
        <f t="shared" si="21"/>
        <v>-9450</v>
      </c>
    </row>
    <row r="82" spans="1:19" x14ac:dyDescent="0.2">
      <c r="A82" s="177" t="s">
        <v>75</v>
      </c>
      <c r="B82" s="210">
        <f>SUM(M!C145:D145)</f>
        <v>-1003.16</v>
      </c>
      <c r="C82" s="210">
        <f>SUM(M!E145:G145)</f>
        <v>-1504.74</v>
      </c>
      <c r="D82" s="211">
        <f t="shared" si="18"/>
        <v>-2507.9</v>
      </c>
      <c r="E82" s="210">
        <f>SUM(M!H145:J145)</f>
        <v>-1504.74</v>
      </c>
      <c r="F82" s="210">
        <f>SUM(M!K145:M145)</f>
        <v>-1504.74</v>
      </c>
      <c r="G82" s="210">
        <f>SUM(M!N145:P145)</f>
        <v>-1504.74</v>
      </c>
      <c r="H82" s="210">
        <f>SUM(M!Q145:S145)</f>
        <v>-1504.74</v>
      </c>
      <c r="I82" s="211">
        <f t="shared" si="19"/>
        <v>-6018.96</v>
      </c>
      <c r="J82" s="210">
        <f>SUM(M!T145:V145)</f>
        <v>-1504.74</v>
      </c>
      <c r="K82" s="210">
        <f>SUM(M!W145:Y145)</f>
        <v>-1504.74</v>
      </c>
      <c r="L82" s="210">
        <f>SUM(M!Z145:AB145)</f>
        <v>-1504.74</v>
      </c>
      <c r="M82" s="210">
        <f>SUM(M!AC145:AE145)</f>
        <v>-1504.74</v>
      </c>
      <c r="N82" s="211">
        <f t="shared" si="20"/>
        <v>-6018.96</v>
      </c>
      <c r="O82" s="210">
        <f>SUM(M!AF145:AH145)</f>
        <v>-1504.74</v>
      </c>
      <c r="P82" s="210">
        <f>SUM(M!AI145:AK145)</f>
        <v>-1504.74</v>
      </c>
      <c r="Q82" s="210">
        <f>SUM(M!AL145:AN145)</f>
        <v>-1504.74</v>
      </c>
      <c r="R82" s="210">
        <f>SUM(M!AO145:AQ145)</f>
        <v>-1504.74</v>
      </c>
      <c r="S82" s="211">
        <f t="shared" si="21"/>
        <v>-6018.96</v>
      </c>
    </row>
    <row r="83" spans="1:19" x14ac:dyDescent="0.2">
      <c r="A83" s="177" t="s">
        <v>215</v>
      </c>
      <c r="B83" s="210">
        <f>SUM(M!C152:D152)</f>
        <v>-219.50519999999997</v>
      </c>
      <c r="C83" s="210">
        <f>SUM(M!E152:G152)</f>
        <v>-382.05779999999993</v>
      </c>
      <c r="D83" s="211">
        <f t="shared" si="18"/>
        <v>-601.56299999999987</v>
      </c>
      <c r="E83" s="210">
        <f>SUM(M!H152:J152)</f>
        <v>-382.05779999999993</v>
      </c>
      <c r="F83" s="210">
        <f>SUM(M!K152:M152)</f>
        <v>-382.05779999999993</v>
      </c>
      <c r="G83" s="210">
        <f>SUM(M!N152:P152)</f>
        <v>-382.05779999999993</v>
      </c>
      <c r="H83" s="210">
        <f>SUM(M!Q152:S152)</f>
        <v>-382.05779999999993</v>
      </c>
      <c r="I83" s="211">
        <f t="shared" si="19"/>
        <v>-1528.2311999999997</v>
      </c>
      <c r="J83" s="210">
        <f>SUM(M!T152:V152)</f>
        <v>-382.05779999999993</v>
      </c>
      <c r="K83" s="210">
        <f>SUM(M!W152:Y152)</f>
        <v>-382.05779999999993</v>
      </c>
      <c r="L83" s="210">
        <f>SUM(M!Z152:AB152)</f>
        <v>-382.05779999999993</v>
      </c>
      <c r="M83" s="210">
        <f>SUM(M!AC152:AE152)</f>
        <v>-382.05779999999993</v>
      </c>
      <c r="N83" s="211">
        <f t="shared" si="20"/>
        <v>-1528.2311999999997</v>
      </c>
      <c r="O83" s="210">
        <f>SUM(M!AF152:AH152)</f>
        <v>-382.05779999999993</v>
      </c>
      <c r="P83" s="210">
        <f>SUM(M!AI152:AK152)</f>
        <v>-382.05779999999993</v>
      </c>
      <c r="Q83" s="210">
        <f>SUM(M!AL152:AN152)</f>
        <v>-382.05779999999993</v>
      </c>
      <c r="R83" s="210">
        <f>SUM(M!AO152:AQ152)</f>
        <v>-382.05779999999993</v>
      </c>
      <c r="S83" s="211">
        <f t="shared" si="21"/>
        <v>-1528.2311999999997</v>
      </c>
    </row>
    <row r="84" spans="1:19" x14ac:dyDescent="0.2">
      <c r="A84" s="177" t="s">
        <v>216</v>
      </c>
      <c r="B84" s="210">
        <f>SUM(M!C153:D153)</f>
        <v>-505.5548</v>
      </c>
      <c r="C84" s="210">
        <f>SUM(M!E153:G153)</f>
        <v>-758.33220000000006</v>
      </c>
      <c r="D84" s="211">
        <f t="shared" si="18"/>
        <v>-1263.8870000000002</v>
      </c>
      <c r="E84" s="210">
        <f>SUM(M!H153:J153)</f>
        <v>-758.33220000000006</v>
      </c>
      <c r="F84" s="210">
        <f>SUM(M!K153:M153)</f>
        <v>-758.33220000000006</v>
      </c>
      <c r="G84" s="210">
        <f>SUM(M!N153:P153)</f>
        <v>-758.33220000000006</v>
      </c>
      <c r="H84" s="210">
        <f>SUM(M!Q153:S153)</f>
        <v>-758.33220000000006</v>
      </c>
      <c r="I84" s="211">
        <f t="shared" si="19"/>
        <v>-3033.3288000000002</v>
      </c>
      <c r="J84" s="210">
        <f>SUM(M!T153:V153)</f>
        <v>-758.33220000000006</v>
      </c>
      <c r="K84" s="210">
        <f>SUM(M!W153:Y153)</f>
        <v>-758.33220000000006</v>
      </c>
      <c r="L84" s="210">
        <f>SUM(M!Z153:AB153)</f>
        <v>-758.33220000000006</v>
      </c>
      <c r="M84" s="210">
        <f>SUM(M!AC153:AE153)</f>
        <v>-758.33220000000006</v>
      </c>
      <c r="N84" s="211">
        <f t="shared" si="20"/>
        <v>-3033.3288000000002</v>
      </c>
      <c r="O84" s="210">
        <f>SUM(M!AF153:AH153)</f>
        <v>-758.33220000000006</v>
      </c>
      <c r="P84" s="210">
        <f>SUM(M!AI153:AK153)</f>
        <v>-758.33220000000006</v>
      </c>
      <c r="Q84" s="210">
        <f>SUM(M!AL153:AN153)</f>
        <v>-758.33220000000006</v>
      </c>
      <c r="R84" s="210">
        <f>SUM(M!AO153:AQ153)</f>
        <v>-758.33220000000006</v>
      </c>
      <c r="S84" s="211">
        <f t="shared" si="21"/>
        <v>-3033.3288000000002</v>
      </c>
    </row>
    <row r="85" spans="1:19" x14ac:dyDescent="0.2">
      <c r="A85" s="177" t="s">
        <v>70</v>
      </c>
      <c r="B85" s="210">
        <f>SUM(M!C154:D154)</f>
        <v>-317.5</v>
      </c>
      <c r="C85" s="210">
        <f>SUM(M!E154:G154)</f>
        <v>-660</v>
      </c>
      <c r="D85" s="211">
        <f t="shared" si="18"/>
        <v>-977.5</v>
      </c>
      <c r="E85" s="210">
        <f>SUM(M!H154:J154)</f>
        <v>-830</v>
      </c>
      <c r="F85" s="210">
        <f>SUM(M!K154:M154)</f>
        <v>-1067.5</v>
      </c>
      <c r="G85" s="210">
        <f>SUM(M!N154:P154)</f>
        <v>-1618.75</v>
      </c>
      <c r="H85" s="210">
        <f>SUM(M!Q154:S154)</f>
        <v>-1758.75</v>
      </c>
      <c r="I85" s="211">
        <f t="shared" si="19"/>
        <v>-5275</v>
      </c>
      <c r="J85" s="210">
        <f>SUM(M!T154:V154)</f>
        <v>-1758.75</v>
      </c>
      <c r="K85" s="210">
        <f>SUM(M!W154:Y154)</f>
        <v>-1758.75</v>
      </c>
      <c r="L85" s="210">
        <f>SUM(M!Z154:AB154)</f>
        <v>-1446.25</v>
      </c>
      <c r="M85" s="210">
        <f>SUM(M!AC154:AE154)</f>
        <v>-636.25</v>
      </c>
      <c r="N85" s="211">
        <f t="shared" si="20"/>
        <v>-5600</v>
      </c>
      <c r="O85" s="210">
        <f>SUM(M!AF154:AH154)</f>
        <v>0</v>
      </c>
      <c r="P85" s="210">
        <f>SUM(M!AI154:AK154)</f>
        <v>0</v>
      </c>
      <c r="Q85" s="210">
        <f>SUM(M!AL154:AN154)</f>
        <v>0</v>
      </c>
      <c r="R85" s="210">
        <f>SUM(M!AO154:AQ154)</f>
        <v>0</v>
      </c>
      <c r="S85" s="211">
        <f t="shared" si="21"/>
        <v>0</v>
      </c>
    </row>
    <row r="86" spans="1:19" ht="13.5" thickBot="1" x14ac:dyDescent="0.25">
      <c r="A86" s="177" t="s">
        <v>207</v>
      </c>
      <c r="B86" s="210">
        <f>SUM(M!C155:D155)</f>
        <v>0</v>
      </c>
      <c r="C86" s="210">
        <f>SUM(M!E155:G155)</f>
        <v>0</v>
      </c>
      <c r="D86" s="211">
        <f t="shared" si="18"/>
        <v>0</v>
      </c>
      <c r="E86" s="210">
        <f>SUM(M!H155:J155)</f>
        <v>0</v>
      </c>
      <c r="F86" s="210">
        <f>SUM(M!K155:M155)</f>
        <v>0</v>
      </c>
      <c r="G86" s="210">
        <f>SUM(M!N155:P155)</f>
        <v>0</v>
      </c>
      <c r="H86" s="210">
        <f>SUM(M!Q155:S155)</f>
        <v>-225.43066000000005</v>
      </c>
      <c r="I86" s="211">
        <f t="shared" si="19"/>
        <v>-225.43066000000005</v>
      </c>
      <c r="J86" s="210">
        <f>SUM(M!T155:V155)</f>
        <v>-676.29198000000019</v>
      </c>
      <c r="K86" s="210">
        <f>SUM(M!W155:Y155)</f>
        <v>-163.94957090909088</v>
      </c>
      <c r="L86" s="210">
        <f>SUM(M!Z155:AB155)</f>
        <v>-327.89914181818176</v>
      </c>
      <c r="M86" s="210">
        <f>SUM(M!AC155:AE155)</f>
        <v>-327.89914181818187</v>
      </c>
      <c r="N86" s="211">
        <f t="shared" si="20"/>
        <v>-1496.0398345454546</v>
      </c>
      <c r="O86" s="210">
        <f>SUM(M!AF155:AH155)</f>
        <v>-983.69742545454562</v>
      </c>
      <c r="P86" s="210">
        <f>SUM(M!AI155:AK155)</f>
        <v>-257.63504000000012</v>
      </c>
      <c r="Q86" s="210">
        <f>SUM(M!AL155:AN155)</f>
        <v>-515.27008000000023</v>
      </c>
      <c r="R86" s="210">
        <f>SUM(M!AO155:AQ155)</f>
        <v>-1030.5401600000005</v>
      </c>
      <c r="S86" s="211">
        <f t="shared" si="21"/>
        <v>-2787.1427054545466</v>
      </c>
    </row>
    <row r="87" spans="1:19" ht="13.5" thickBot="1" x14ac:dyDescent="0.25">
      <c r="A87" s="207" t="s">
        <v>66</v>
      </c>
      <c r="B87" s="208">
        <f>SUM(M!C156:D156)</f>
        <v>-10000</v>
      </c>
      <c r="C87" s="208">
        <f>SUM(M!E156:G156)</f>
        <v>0</v>
      </c>
      <c r="D87" s="209">
        <f t="shared" si="14"/>
        <v>-10000</v>
      </c>
      <c r="E87" s="208">
        <f>SUM(M!H156:J156)</f>
        <v>0</v>
      </c>
      <c r="F87" s="208">
        <f>SUM(M!K156:M156)</f>
        <v>0</v>
      </c>
      <c r="G87" s="208">
        <f>SUM(M!N156:P156)</f>
        <v>0</v>
      </c>
      <c r="H87" s="208">
        <f>SUM(M!Q156:S156)</f>
        <v>0</v>
      </c>
      <c r="I87" s="209">
        <f t="shared" si="15"/>
        <v>0</v>
      </c>
      <c r="J87" s="208">
        <f>SUM(M!T156:V156)</f>
        <v>0</v>
      </c>
      <c r="K87" s="208">
        <f>SUM(M!W156:Y156)</f>
        <v>0</v>
      </c>
      <c r="L87" s="208">
        <f>SUM(M!Z156:AB156)</f>
        <v>0</v>
      </c>
      <c r="M87" s="208">
        <f>SUM(M!AC156:AE156)</f>
        <v>0</v>
      </c>
      <c r="N87" s="209">
        <f t="shared" si="16"/>
        <v>0</v>
      </c>
      <c r="O87" s="208">
        <f>SUM(M!AF156:AH156)</f>
        <v>0</v>
      </c>
      <c r="P87" s="208">
        <f>SUM(M!AI156:AK156)</f>
        <v>0</v>
      </c>
      <c r="Q87" s="208">
        <f>SUM(M!AL156:AN156)</f>
        <v>0</v>
      </c>
      <c r="R87" s="208">
        <f>SUM(M!AO156:AQ156)</f>
        <v>0</v>
      </c>
      <c r="S87" s="209">
        <f t="shared" si="17"/>
        <v>0</v>
      </c>
    </row>
    <row r="88" spans="1:19" ht="13.5" thickBot="1" x14ac:dyDescent="0.25">
      <c r="A88" s="177" t="s">
        <v>106</v>
      </c>
      <c r="B88" s="210">
        <f>SUM(M!C157:D157)</f>
        <v>-10000</v>
      </c>
      <c r="C88" s="210">
        <f>SUM(M!E157:G157)</f>
        <v>0</v>
      </c>
      <c r="D88" s="211">
        <f t="shared" si="14"/>
        <v>-10000</v>
      </c>
      <c r="E88" s="210">
        <f>SUM(M!H157:J157)</f>
        <v>0</v>
      </c>
      <c r="F88" s="210">
        <f>SUM(M!K157:M157)</f>
        <v>0</v>
      </c>
      <c r="G88" s="210">
        <f>SUM(M!N157:P157)</f>
        <v>0</v>
      </c>
      <c r="H88" s="210">
        <f>SUM(M!Q157:S157)</f>
        <v>0</v>
      </c>
      <c r="I88" s="211">
        <f t="shared" si="15"/>
        <v>0</v>
      </c>
      <c r="J88" s="210">
        <f>SUM(M!T157:V157)</f>
        <v>0</v>
      </c>
      <c r="K88" s="210">
        <f>SUM(M!W157:Y157)</f>
        <v>0</v>
      </c>
      <c r="L88" s="210">
        <f>SUM(M!Z157:AB157)</f>
        <v>0</v>
      </c>
      <c r="M88" s="210">
        <f>SUM(M!AC157:AE157)</f>
        <v>0</v>
      </c>
      <c r="N88" s="211">
        <f t="shared" si="16"/>
        <v>0</v>
      </c>
      <c r="O88" s="210">
        <f>SUM(M!AF157:AH157)</f>
        <v>0</v>
      </c>
      <c r="P88" s="210">
        <f>SUM(M!AI157:AK157)</f>
        <v>0</v>
      </c>
      <c r="Q88" s="210">
        <f>SUM(M!AL157:AN157)</f>
        <v>0</v>
      </c>
      <c r="R88" s="210">
        <f>SUM(M!AO157:AQ157)</f>
        <v>0</v>
      </c>
      <c r="S88" s="211">
        <f t="shared" si="17"/>
        <v>0</v>
      </c>
    </row>
    <row r="89" spans="1:19" ht="13.5" thickBot="1" x14ac:dyDescent="0.25">
      <c r="A89" s="207" t="s">
        <v>67</v>
      </c>
      <c r="B89" s="208">
        <f>SUM(M!C158:D158)</f>
        <v>13700</v>
      </c>
      <c r="C89" s="208">
        <f>SUM(M!E158:G158)</f>
        <v>5800</v>
      </c>
      <c r="D89" s="209">
        <f t="shared" si="14"/>
        <v>19500</v>
      </c>
      <c r="E89" s="208">
        <f>SUM(M!H158:J158)</f>
        <v>4600</v>
      </c>
      <c r="F89" s="208">
        <f>SUM(M!K158:M158)</f>
        <v>6600</v>
      </c>
      <c r="G89" s="208">
        <f>SUM(M!N158:P158)</f>
        <v>16200</v>
      </c>
      <c r="H89" s="208">
        <f>SUM(M!Q158:S158)</f>
        <v>0</v>
      </c>
      <c r="I89" s="209">
        <f t="shared" si="15"/>
        <v>27400</v>
      </c>
      <c r="J89" s="208">
        <f>SUM(M!T158:V158)</f>
        <v>0</v>
      </c>
      <c r="K89" s="208">
        <f>SUM(M!W158:Y158)</f>
        <v>0</v>
      </c>
      <c r="L89" s="208">
        <f>SUM(M!Z158:AB158)</f>
        <v>-14000</v>
      </c>
      <c r="M89" s="208">
        <f>SUM(M!AC158:AE158)</f>
        <v>-26600</v>
      </c>
      <c r="N89" s="209">
        <f t="shared" si="16"/>
        <v>-40600</v>
      </c>
      <c r="O89" s="208">
        <f>SUM(M!AF158:AH158)</f>
        <v>-6300</v>
      </c>
      <c r="P89" s="208">
        <f>SUM(M!AI158:AK158)</f>
        <v>0</v>
      </c>
      <c r="Q89" s="208">
        <f>SUM(M!AL158:AN158)</f>
        <v>0</v>
      </c>
      <c r="R89" s="208">
        <f>SUM(M!AO158:AQ158)</f>
        <v>0</v>
      </c>
      <c r="S89" s="209">
        <f t="shared" si="17"/>
        <v>-6300</v>
      </c>
    </row>
    <row r="90" spans="1:19" x14ac:dyDescent="0.2">
      <c r="A90" s="177" t="s">
        <v>68</v>
      </c>
      <c r="B90" s="210">
        <f>SUM(M!C159:D159)</f>
        <v>13700</v>
      </c>
      <c r="C90" s="210">
        <f>SUM(M!E159:G159)</f>
        <v>5800</v>
      </c>
      <c r="D90" s="211">
        <f t="shared" si="14"/>
        <v>19500</v>
      </c>
      <c r="E90" s="210">
        <f>SUM(M!H159:J159)</f>
        <v>4600</v>
      </c>
      <c r="F90" s="210">
        <f>SUM(M!K159:M159)</f>
        <v>6600</v>
      </c>
      <c r="G90" s="210">
        <f>SUM(M!N159:P159)</f>
        <v>16200</v>
      </c>
      <c r="H90" s="210">
        <f>SUM(M!Q159:S159)</f>
        <v>0</v>
      </c>
      <c r="I90" s="211">
        <f t="shared" si="15"/>
        <v>27400</v>
      </c>
      <c r="J90" s="210">
        <f>SUM(M!T159:V159)</f>
        <v>0</v>
      </c>
      <c r="K90" s="210">
        <f>SUM(M!W159:Y159)</f>
        <v>0</v>
      </c>
      <c r="L90" s="210">
        <f>SUM(M!Z159:AB159)</f>
        <v>0</v>
      </c>
      <c r="M90" s="210">
        <f>SUM(M!AC159:AE159)</f>
        <v>0</v>
      </c>
      <c r="N90" s="211">
        <f t="shared" si="16"/>
        <v>0</v>
      </c>
      <c r="O90" s="210">
        <f>SUM(M!AF159:AH159)</f>
        <v>0</v>
      </c>
      <c r="P90" s="210">
        <f>SUM(M!AI159:AK159)</f>
        <v>0</v>
      </c>
      <c r="Q90" s="210">
        <f>SUM(M!AL159:AN159)</f>
        <v>0</v>
      </c>
      <c r="R90" s="210">
        <f>SUM(M!AO159:AQ159)</f>
        <v>0</v>
      </c>
      <c r="S90" s="211">
        <f t="shared" si="17"/>
        <v>0</v>
      </c>
    </row>
    <row r="91" spans="1:19" ht="13.5" thickBot="1" x14ac:dyDescent="0.25">
      <c r="A91" s="177" t="s">
        <v>69</v>
      </c>
      <c r="B91" s="210">
        <f>SUM(M!C160:D160)</f>
        <v>0</v>
      </c>
      <c r="C91" s="210">
        <f>SUM(M!E160:G160)</f>
        <v>0</v>
      </c>
      <c r="D91" s="211">
        <f t="shared" si="14"/>
        <v>0</v>
      </c>
      <c r="E91" s="210">
        <f>SUM(M!H160:J160)</f>
        <v>0</v>
      </c>
      <c r="F91" s="210">
        <f>SUM(M!K160:M160)</f>
        <v>0</v>
      </c>
      <c r="G91" s="210">
        <f>SUM(M!N160:P160)</f>
        <v>0</v>
      </c>
      <c r="H91" s="210">
        <f>SUM(M!Q160:S160)</f>
        <v>0</v>
      </c>
      <c r="I91" s="211">
        <f t="shared" si="15"/>
        <v>0</v>
      </c>
      <c r="J91" s="210">
        <f>SUM(M!T160:V160)</f>
        <v>0</v>
      </c>
      <c r="K91" s="210">
        <f>SUM(M!W160:Y160)</f>
        <v>0</v>
      </c>
      <c r="L91" s="210">
        <f>SUM(M!Z160:AB160)</f>
        <v>-14000</v>
      </c>
      <c r="M91" s="210">
        <f>SUM(M!AC160:AE160)</f>
        <v>-26600</v>
      </c>
      <c r="N91" s="211">
        <f t="shared" si="16"/>
        <v>-40600</v>
      </c>
      <c r="O91" s="210">
        <f>SUM(M!AF160:AH160)</f>
        <v>-6300</v>
      </c>
      <c r="P91" s="210">
        <f>SUM(M!AI160:AK160)</f>
        <v>0</v>
      </c>
      <c r="Q91" s="210">
        <f>SUM(M!AL160:AN160)</f>
        <v>0</v>
      </c>
      <c r="R91" s="210">
        <f>SUM(M!AO160:AQ160)</f>
        <v>0</v>
      </c>
      <c r="S91" s="211">
        <f t="shared" si="17"/>
        <v>-6300</v>
      </c>
    </row>
    <row r="92" spans="1:19" ht="13.5" thickBot="1" x14ac:dyDescent="0.25">
      <c r="A92" s="228" t="s">
        <v>71</v>
      </c>
      <c r="B92" s="229">
        <f>SUM(M!C161:D161)</f>
        <v>104.2800000000002</v>
      </c>
      <c r="C92" s="229">
        <f>SUM(M!E161:G161)</f>
        <v>-13.463333333332912</v>
      </c>
      <c r="D92" s="230">
        <f t="shared" si="14"/>
        <v>90.816666666667288</v>
      </c>
      <c r="E92" s="229">
        <f>SUM(M!H161:J161)</f>
        <v>-79.993636363636256</v>
      </c>
      <c r="F92" s="229">
        <f>SUM(M!K161:M161)</f>
        <v>1.0063636363638579</v>
      </c>
      <c r="G92" s="229">
        <f>SUM(M!N161:P161)</f>
        <v>75.892727272727598</v>
      </c>
      <c r="H92" s="229">
        <f>SUM(M!Q161:S161)</f>
        <v>13086.977218787881</v>
      </c>
      <c r="I92" s="230">
        <f t="shared" si="15"/>
        <v>13083.882673333335</v>
      </c>
      <c r="J92" s="229">
        <f>SUM(M!T161:V161)</f>
        <v>7575.7371109090909</v>
      </c>
      <c r="K92" s="229">
        <f>SUM(M!W161:Y161)</f>
        <v>4913.9886109090912</v>
      </c>
      <c r="L92" s="229">
        <f>SUM(M!Z161:AB161)</f>
        <v>-25587.460959999997</v>
      </c>
      <c r="M92" s="229">
        <f>SUM(M!AC161:AE161)</f>
        <v>19.508736969701204</v>
      </c>
      <c r="N92" s="230">
        <f t="shared" si="16"/>
        <v>-13078.226501212113</v>
      </c>
      <c r="O92" s="229">
        <f>SUM(M!AF161:AH161)</f>
        <v>9128.3154316883119</v>
      </c>
      <c r="P92" s="229">
        <f>SUM(M!AI161:AK161)</f>
        <v>16461.520674285715</v>
      </c>
      <c r="Q92" s="229">
        <f>SUM(M!AL161:AN161)</f>
        <v>1496.7427771428593</v>
      </c>
      <c r="R92" s="229">
        <f>SUM(M!AO161:AQ161)</f>
        <v>27935.758411428578</v>
      </c>
      <c r="S92" s="230">
        <f t="shared" si="17"/>
        <v>55022.337294545461</v>
      </c>
    </row>
    <row r="93" spans="1:19" x14ac:dyDescent="0.2">
      <c r="A93" s="177" t="s">
        <v>72</v>
      </c>
      <c r="B93" s="210">
        <v>0</v>
      </c>
      <c r="C93" s="210">
        <f>B94</f>
        <v>104.2800000000002</v>
      </c>
      <c r="D93" s="211">
        <f>B93</f>
        <v>0</v>
      </c>
      <c r="E93" s="210">
        <f>D94</f>
        <v>90.816666666667288</v>
      </c>
      <c r="F93" s="210">
        <f>E94</f>
        <v>10.823030303031032</v>
      </c>
      <c r="G93" s="210">
        <f>F94</f>
        <v>11.82939393939489</v>
      </c>
      <c r="H93" s="210">
        <f>G94</f>
        <v>87.722121212122488</v>
      </c>
      <c r="I93" s="211">
        <f>E93</f>
        <v>90.816666666667288</v>
      </c>
      <c r="J93" s="210">
        <f>I94</f>
        <v>13174.699340000003</v>
      </c>
      <c r="K93" s="210">
        <f>J94</f>
        <v>20750.436450909092</v>
      </c>
      <c r="L93" s="210">
        <f>K94</f>
        <v>25664.425061818183</v>
      </c>
      <c r="M93" s="210">
        <f>L94</f>
        <v>76.964101818189192</v>
      </c>
      <c r="N93" s="211">
        <f>J93</f>
        <v>13174.699340000003</v>
      </c>
      <c r="O93" s="210">
        <f>N94</f>
        <v>96.472838787890396</v>
      </c>
      <c r="P93" s="210">
        <f>O94</f>
        <v>9224.7882704762033</v>
      </c>
      <c r="Q93" s="210">
        <f>P94</f>
        <v>25686.308944761917</v>
      </c>
      <c r="R93" s="210">
        <f>Q94</f>
        <v>27183.051721904772</v>
      </c>
      <c r="S93" s="211">
        <f>O93</f>
        <v>96.472838787890396</v>
      </c>
    </row>
    <row r="94" spans="1:19" x14ac:dyDescent="0.2">
      <c r="A94" s="187" t="s">
        <v>73</v>
      </c>
      <c r="B94" s="231">
        <f>M!D163</f>
        <v>104.2800000000002</v>
      </c>
      <c r="C94" s="231">
        <f>M!G163</f>
        <v>90.816666666667288</v>
      </c>
      <c r="D94" s="232">
        <f>C94</f>
        <v>90.816666666667288</v>
      </c>
      <c r="E94" s="231">
        <f>M!J163</f>
        <v>10.823030303031032</v>
      </c>
      <c r="F94" s="231">
        <f>M!M163</f>
        <v>11.82939393939489</v>
      </c>
      <c r="G94" s="231">
        <f>M!P163</f>
        <v>87.722121212122488</v>
      </c>
      <c r="H94" s="231">
        <f>M!S163</f>
        <v>13174.699340000003</v>
      </c>
      <c r="I94" s="232">
        <f>H94</f>
        <v>13174.699340000003</v>
      </c>
      <c r="J94" s="231">
        <f>M!V163</f>
        <v>20750.436450909092</v>
      </c>
      <c r="K94" s="231">
        <f>M!Y163</f>
        <v>25664.425061818183</v>
      </c>
      <c r="L94" s="231">
        <f>M!AB163</f>
        <v>76.964101818189192</v>
      </c>
      <c r="M94" s="231">
        <f>M!AE163</f>
        <v>96.472838787890396</v>
      </c>
      <c r="N94" s="232">
        <f>M94</f>
        <v>96.472838787890396</v>
      </c>
      <c r="O94" s="231">
        <f>M!AH163</f>
        <v>9224.7882704762033</v>
      </c>
      <c r="P94" s="231">
        <f>M!AK163</f>
        <v>25686.308944761917</v>
      </c>
      <c r="Q94" s="231">
        <f>M!AN163</f>
        <v>27183.051721904772</v>
      </c>
      <c r="R94" s="231">
        <f>M!AQ163</f>
        <v>55118.810133333347</v>
      </c>
      <c r="S94" s="232">
        <f>R94</f>
        <v>55118.810133333347</v>
      </c>
    </row>
    <row r="95" spans="1:19" x14ac:dyDescent="0.2">
      <c r="B95" s="210"/>
    </row>
    <row r="96" spans="1:19" ht="15.75" x14ac:dyDescent="0.25">
      <c r="A96" s="206" t="s">
        <v>214</v>
      </c>
      <c r="B96" s="210"/>
    </row>
    <row r="97" spans="1:19" x14ac:dyDescent="0.2">
      <c r="A97" s="233" t="s">
        <v>111</v>
      </c>
      <c r="B97" s="234">
        <f>M!D169</f>
        <v>104.2800000000002</v>
      </c>
      <c r="C97" s="234">
        <f>M!G169</f>
        <v>90.816666666667288</v>
      </c>
      <c r="D97" s="235">
        <f>C97</f>
        <v>90.816666666667288</v>
      </c>
      <c r="E97" s="234">
        <f>M!J169</f>
        <v>10.823030303031032</v>
      </c>
      <c r="F97" s="234">
        <f>M!M169</f>
        <v>11.82939393939489</v>
      </c>
      <c r="G97" s="234">
        <f>M!P169</f>
        <v>87.722121212122488</v>
      </c>
      <c r="H97" s="234">
        <f>M!S169</f>
        <v>13174.699340000003</v>
      </c>
      <c r="I97" s="235">
        <f>H97</f>
        <v>13174.699340000003</v>
      </c>
      <c r="J97" s="234">
        <f>M!V169</f>
        <v>20750.436450909092</v>
      </c>
      <c r="K97" s="234">
        <f>M!Y169</f>
        <v>25664.425061818183</v>
      </c>
      <c r="L97" s="234">
        <f>M!AB169</f>
        <v>76.964101818189192</v>
      </c>
      <c r="M97" s="234">
        <f>M!AE169</f>
        <v>96.472838787890396</v>
      </c>
      <c r="N97" s="235">
        <f>M97</f>
        <v>96.472838787890396</v>
      </c>
      <c r="O97" s="234">
        <f>M!AH169</f>
        <v>9224.7882704762033</v>
      </c>
      <c r="P97" s="234">
        <f>M!AK169</f>
        <v>25686.308944761917</v>
      </c>
      <c r="Q97" s="234">
        <f>M!AN169</f>
        <v>27183.051721904772</v>
      </c>
      <c r="R97" s="234">
        <f>M!AQ169</f>
        <v>55118.810133333347</v>
      </c>
      <c r="S97" s="235">
        <f>R97</f>
        <v>55118.810133333347</v>
      </c>
    </row>
    <row r="98" spans="1:19" x14ac:dyDescent="0.2">
      <c r="A98" s="177" t="s">
        <v>112</v>
      </c>
      <c r="B98" s="210">
        <f>M!D170</f>
        <v>0</v>
      </c>
      <c r="C98" s="210">
        <f>M!G170</f>
        <v>0</v>
      </c>
      <c r="D98" s="236">
        <f t="shared" ref="D98:D108" si="22">C98</f>
        <v>0</v>
      </c>
      <c r="E98" s="210">
        <f>M!J170</f>
        <v>0</v>
      </c>
      <c r="F98" s="210">
        <f>M!M170</f>
        <v>0</v>
      </c>
      <c r="G98" s="210">
        <f>M!P170</f>
        <v>0</v>
      </c>
      <c r="H98" s="210">
        <f>M!S170</f>
        <v>0</v>
      </c>
      <c r="I98" s="236">
        <f t="shared" ref="I98:I108" si="23">H98</f>
        <v>0</v>
      </c>
      <c r="J98" s="210">
        <f>M!V170</f>
        <v>0</v>
      </c>
      <c r="K98" s="210">
        <f>M!Y170</f>
        <v>0</v>
      </c>
      <c r="L98" s="210">
        <f>M!AB170</f>
        <v>0</v>
      </c>
      <c r="M98" s="210">
        <f>M!AE170</f>
        <v>0</v>
      </c>
      <c r="N98" s="236">
        <f t="shared" ref="N98:N108" si="24">M98</f>
        <v>0</v>
      </c>
      <c r="O98" s="210">
        <f>M!AH170</f>
        <v>0</v>
      </c>
      <c r="P98" s="210">
        <f>M!AK170</f>
        <v>0</v>
      </c>
      <c r="Q98" s="210">
        <f>M!AN170</f>
        <v>0</v>
      </c>
      <c r="R98" s="210">
        <f>M!AQ170</f>
        <v>0</v>
      </c>
      <c r="S98" s="236">
        <f t="shared" ref="S98:S108" si="25">R98</f>
        <v>0</v>
      </c>
    </row>
    <row r="99" spans="1:19" x14ac:dyDescent="0.2">
      <c r="A99" s="177" t="s">
        <v>113</v>
      </c>
      <c r="B99" s="210">
        <f>M!D171</f>
        <v>2844.8266666666664</v>
      </c>
      <c r="C99" s="210">
        <f>M!G171</f>
        <v>6566.2333333333327</v>
      </c>
      <c r="D99" s="236">
        <f t="shared" si="22"/>
        <v>6566.2333333333327</v>
      </c>
      <c r="E99" s="210">
        <f ca="1">M!J171</f>
        <v>10419.458181818181</v>
      </c>
      <c r="F99" s="210">
        <f ca="1">M!M171</f>
        <v>14598.440606060607</v>
      </c>
      <c r="G99" s="210">
        <f ca="1">M!P171</f>
        <v>32144.827969696977</v>
      </c>
      <c r="H99" s="210">
        <f ca="1">M!S171</f>
        <v>26780.570666666688</v>
      </c>
      <c r="I99" s="236">
        <f t="shared" ca="1" si="23"/>
        <v>26780.570666666688</v>
      </c>
      <c r="J99" s="210">
        <f ca="1">M!V171</f>
        <v>28010.227757575791</v>
      </c>
      <c r="K99" s="210">
        <f ca="1">M!Y171</f>
        <v>25164.801939393983</v>
      </c>
      <c r="L99" s="210">
        <f ca="1">M!AB171</f>
        <v>39636.04278787884</v>
      </c>
      <c r="M99" s="210">
        <f ca="1">M!AE171</f>
        <v>26973.618666666724</v>
      </c>
      <c r="N99" s="236">
        <f t="shared" ca="1" si="24"/>
        <v>26973.618666666724</v>
      </c>
      <c r="O99" s="210">
        <f ca="1">M!AH171</f>
        <v>23465.133142857205</v>
      </c>
      <c r="P99" s="210">
        <f ca="1">M!AK171</f>
        <v>14193.422095238157</v>
      </c>
      <c r="Q99" s="210">
        <f ca="1">M!AN171</f>
        <v>15334.936571428636</v>
      </c>
      <c r="R99" s="210">
        <f ca="1">M!AQ171</f>
        <v>6.8894223659299314E-11</v>
      </c>
      <c r="S99" s="236">
        <f t="shared" ca="1" si="25"/>
        <v>6.8894223659299314E-11</v>
      </c>
    </row>
    <row r="100" spans="1:19" s="220" customFormat="1" ht="12" outlineLevel="1" x14ac:dyDescent="0.2">
      <c r="A100" s="173" t="s">
        <v>127</v>
      </c>
      <c r="B100" s="218">
        <f>M!D172</f>
        <v>2794.8266666666664</v>
      </c>
      <c r="C100" s="218">
        <f>M!G172</f>
        <v>6441.6219343696021</v>
      </c>
      <c r="D100" s="237">
        <f t="shared" si="22"/>
        <v>6441.6219343696021</v>
      </c>
      <c r="E100" s="218">
        <f ca="1">M!J172</f>
        <v>10376.215935245556</v>
      </c>
      <c r="F100" s="218">
        <f ca="1">M!M172</f>
        <v>14571.827477915233</v>
      </c>
      <c r="G100" s="218">
        <f ca="1">M!P172</f>
        <v>32044.960845782716</v>
      </c>
      <c r="H100" s="218">
        <f ca="1">M!S172</f>
        <v>26684.993343031394</v>
      </c>
      <c r="I100" s="237">
        <f t="shared" ca="1" si="23"/>
        <v>26684.993343031394</v>
      </c>
      <c r="J100" s="218">
        <f ca="1">M!V172</f>
        <v>27924.730437020648</v>
      </c>
      <c r="K100" s="218">
        <f ca="1">M!Y172</f>
        <v>25035.528939043194</v>
      </c>
      <c r="L100" s="218">
        <f ca="1">M!AB172</f>
        <v>39388.740117085035</v>
      </c>
      <c r="M100" s="218">
        <f ca="1">M!AE172</f>
        <v>26482.356784562311</v>
      </c>
      <c r="N100" s="237">
        <f t="shared" ca="1" si="24"/>
        <v>26482.356784562311</v>
      </c>
      <c r="O100" s="218">
        <f ca="1">M!AH172</f>
        <v>23461.597922678815</v>
      </c>
      <c r="P100" s="218">
        <f ca="1">M!AK172</f>
        <v>14127.467396251483</v>
      </c>
      <c r="Q100" s="218">
        <f ca="1">M!AN172</f>
        <v>15134.926636995908</v>
      </c>
      <c r="R100" s="218">
        <f ca="1">M!AQ172</f>
        <v>8.5492501966655254E-11</v>
      </c>
      <c r="S100" s="237">
        <f t="shared" ca="1" si="25"/>
        <v>8.5492501966655254E-11</v>
      </c>
    </row>
    <row r="101" spans="1:19" s="220" customFormat="1" ht="12" outlineLevel="1" x14ac:dyDescent="0.2">
      <c r="A101" s="173" t="s">
        <v>128</v>
      </c>
      <c r="B101" s="218">
        <f>M!D173</f>
        <v>50</v>
      </c>
      <c r="C101" s="218">
        <f>M!G173</f>
        <v>124.61139896373055</v>
      </c>
      <c r="D101" s="237">
        <f t="shared" si="22"/>
        <v>124.61139896373055</v>
      </c>
      <c r="E101" s="218">
        <f ca="1">M!J173</f>
        <v>43.242246572625504</v>
      </c>
      <c r="F101" s="218">
        <f ca="1">M!M173</f>
        <v>26.613128145375185</v>
      </c>
      <c r="G101" s="218">
        <f ca="1">M!P173</f>
        <v>99.867123914260446</v>
      </c>
      <c r="H101" s="218">
        <f ca="1">M!S173</f>
        <v>95.577323635294874</v>
      </c>
      <c r="I101" s="237">
        <f t="shared" ca="1" si="23"/>
        <v>95.577323635294874</v>
      </c>
      <c r="J101" s="218">
        <f ca="1">M!V173</f>
        <v>85.497320555144938</v>
      </c>
      <c r="K101" s="218">
        <f ca="1">M!Y173</f>
        <v>129.27300035078997</v>
      </c>
      <c r="L101" s="218">
        <f ca="1">M!AB173</f>
        <v>247.30267079380246</v>
      </c>
      <c r="M101" s="218">
        <f ca="1">M!AE173</f>
        <v>491.26188210441353</v>
      </c>
      <c r="N101" s="237">
        <f t="shared" ca="1" si="24"/>
        <v>491.26188210441353</v>
      </c>
      <c r="O101" s="218">
        <f ca="1">M!AH173</f>
        <v>3.5352201783884993</v>
      </c>
      <c r="P101" s="218">
        <f ca="1">M!AK173</f>
        <v>65.954698986674657</v>
      </c>
      <c r="Q101" s="218">
        <f ca="1">M!AN173</f>
        <v>200.00993443272819</v>
      </c>
      <c r="R101" s="218">
        <f ca="1">M!AQ173</f>
        <v>-1.659827830735594E-11</v>
      </c>
      <c r="S101" s="237">
        <f t="shared" ca="1" si="25"/>
        <v>-1.659827830735594E-11</v>
      </c>
    </row>
    <row r="102" spans="1:19" ht="13.5" outlineLevel="1" thickBot="1" x14ac:dyDescent="0.25">
      <c r="A102" s="177" t="s">
        <v>114</v>
      </c>
      <c r="B102" s="210">
        <f>M!D174</f>
        <v>9916.6666666666661</v>
      </c>
      <c r="C102" s="210">
        <f>M!G174</f>
        <v>9670.8102334104933</v>
      </c>
      <c r="D102" s="236">
        <f>C102</f>
        <v>9670.8102334104933</v>
      </c>
      <c r="E102" s="210">
        <f>M!J174</f>
        <v>9431.049133173492</v>
      </c>
      <c r="F102" s="210">
        <f>M!M174</f>
        <v>9197.2322489638354</v>
      </c>
      <c r="G102" s="210">
        <f>M!P174</f>
        <v>8969.2122103192414</v>
      </c>
      <c r="H102" s="210">
        <f>M!S174</f>
        <v>8746.8453004220846</v>
      </c>
      <c r="I102" s="236">
        <f>H102</f>
        <v>8746.8453004220846</v>
      </c>
      <c r="J102" s="210">
        <f>M!V174</f>
        <v>8529.9913655173495</v>
      </c>
      <c r="K102" s="210">
        <f>M!Y174</f>
        <v>8318.5137265763024</v>
      </c>
      <c r="L102" s="210">
        <f>M!AB174</f>
        <v>8112.2790931502286</v>
      </c>
      <c r="M102" s="210">
        <f>M!AE174</f>
        <v>7911.1574793599229</v>
      </c>
      <c r="N102" s="236">
        <f>M102</f>
        <v>7911.1574793599229</v>
      </c>
      <c r="O102" s="210">
        <f>M!AH174</f>
        <v>7715.0221219679906</v>
      </c>
      <c r="P102" s="210">
        <f>M!AK174</f>
        <v>7523.7494004823247</v>
      </c>
      <c r="Q102" s="210">
        <f>M!AN174</f>
        <v>7337.2187592403898</v>
      </c>
      <c r="R102" s="210">
        <f>M!AQ174</f>
        <v>7155.3126314252168</v>
      </c>
      <c r="S102" s="236">
        <f>R102</f>
        <v>7155.3126314252168</v>
      </c>
    </row>
    <row r="103" spans="1:19" ht="13.5" thickBot="1" x14ac:dyDescent="0.25">
      <c r="A103" s="228" t="s">
        <v>115</v>
      </c>
      <c r="B103" s="229">
        <f>M!D175</f>
        <v>12865.773333333333</v>
      </c>
      <c r="C103" s="229">
        <f>M!G175</f>
        <v>16327.860233410494</v>
      </c>
      <c r="D103" s="230">
        <f t="shared" si="22"/>
        <v>16327.860233410494</v>
      </c>
      <c r="E103" s="229">
        <f ca="1">M!J175</f>
        <v>19861.330345294704</v>
      </c>
      <c r="F103" s="229">
        <f ca="1">M!M175</f>
        <v>23807.502248963836</v>
      </c>
      <c r="G103" s="229">
        <f ca="1">M!P175</f>
        <v>41201.762301228344</v>
      </c>
      <c r="H103" s="229">
        <f ca="1">M!S175</f>
        <v>48702.115307088774</v>
      </c>
      <c r="I103" s="230">
        <f t="shared" ca="1" si="23"/>
        <v>48702.115307088774</v>
      </c>
      <c r="J103" s="229">
        <f ca="1">M!V175</f>
        <v>57290.655574002238</v>
      </c>
      <c r="K103" s="229">
        <f ca="1">M!Y175</f>
        <v>59147.74072778847</v>
      </c>
      <c r="L103" s="229">
        <f ca="1">M!AB175</f>
        <v>47825.285982847257</v>
      </c>
      <c r="M103" s="229">
        <f ca="1">M!AE175</f>
        <v>34981.248984814534</v>
      </c>
      <c r="N103" s="230">
        <f t="shared" ca="1" si="24"/>
        <v>34981.248984814534</v>
      </c>
      <c r="O103" s="229">
        <f ca="1">M!AH175</f>
        <v>40404.943535301398</v>
      </c>
      <c r="P103" s="229">
        <f ca="1">M!AK175</f>
        <v>47403.480440482395</v>
      </c>
      <c r="Q103" s="229">
        <f ca="1">M!AN175</f>
        <v>49855.207052573794</v>
      </c>
      <c r="R103" s="229">
        <f ca="1">M!AQ175</f>
        <v>62274.122764758627</v>
      </c>
      <c r="S103" s="230">
        <f t="shared" ca="1" si="25"/>
        <v>62274.122764758627</v>
      </c>
    </row>
    <row r="105" spans="1:19" x14ac:dyDescent="0.2">
      <c r="A105" s="233" t="s">
        <v>116</v>
      </c>
      <c r="B105" s="234">
        <f>M!D178</f>
        <v>13700</v>
      </c>
      <c r="C105" s="234">
        <f>M!G178</f>
        <v>19500</v>
      </c>
      <c r="D105" s="235">
        <f t="shared" si="22"/>
        <v>19500</v>
      </c>
      <c r="E105" s="234">
        <f>M!J178</f>
        <v>24100</v>
      </c>
      <c r="F105" s="234">
        <f>M!M178</f>
        <v>30700</v>
      </c>
      <c r="G105" s="234">
        <f>M!P178</f>
        <v>46900</v>
      </c>
      <c r="H105" s="234">
        <f>M!S178</f>
        <v>46900</v>
      </c>
      <c r="I105" s="235">
        <f t="shared" si="23"/>
        <v>46900</v>
      </c>
      <c r="J105" s="234">
        <f>M!V178</f>
        <v>46900</v>
      </c>
      <c r="K105" s="234">
        <f>M!Y178</f>
        <v>46900</v>
      </c>
      <c r="L105" s="234">
        <f>M!AB178</f>
        <v>32900</v>
      </c>
      <c r="M105" s="234">
        <f>M!AE178</f>
        <v>6300</v>
      </c>
      <c r="N105" s="235">
        <f t="shared" si="24"/>
        <v>6300</v>
      </c>
      <c r="O105" s="234">
        <f>M!AH178</f>
        <v>0</v>
      </c>
      <c r="P105" s="234">
        <f>M!AK178</f>
        <v>0</v>
      </c>
      <c r="Q105" s="234">
        <f>M!AN178</f>
        <v>0</v>
      </c>
      <c r="R105" s="234">
        <f>M!AQ178</f>
        <v>0</v>
      </c>
      <c r="S105" s="235">
        <f t="shared" si="25"/>
        <v>0</v>
      </c>
    </row>
    <row r="106" spans="1:19" x14ac:dyDescent="0.2">
      <c r="A106" s="177" t="s">
        <v>117</v>
      </c>
      <c r="B106" s="210">
        <f>M!D179</f>
        <v>291.66666666666663</v>
      </c>
      <c r="C106" s="210">
        <f>M!G179</f>
        <v>0</v>
      </c>
      <c r="D106" s="236">
        <f t="shared" si="22"/>
        <v>0</v>
      </c>
      <c r="E106" s="210">
        <f>M!J179</f>
        <v>212.12121212121201</v>
      </c>
      <c r="F106" s="210">
        <f>M!M179</f>
        <v>0</v>
      </c>
      <c r="G106" s="210">
        <f>M!P179</f>
        <v>649.67308424242401</v>
      </c>
      <c r="H106" s="210">
        <f>M!S179</f>
        <v>676.29198000000019</v>
      </c>
      <c r="I106" s="236">
        <f t="shared" si="23"/>
        <v>676.29198000000019</v>
      </c>
      <c r="J106" s="210">
        <f>M!V179</f>
        <v>497.28290424242482</v>
      </c>
      <c r="K106" s="210">
        <f>M!Y179</f>
        <v>327.89914181818176</v>
      </c>
      <c r="L106" s="210">
        <f>M!AB179</f>
        <v>661.23247515151388</v>
      </c>
      <c r="M106" s="210">
        <f>M!AE179</f>
        <v>983.69742545454574</v>
      </c>
      <c r="N106" s="236">
        <f t="shared" si="24"/>
        <v>983.69742545454574</v>
      </c>
      <c r="O106" s="210">
        <f>M!AH179</f>
        <v>257.63504000000012</v>
      </c>
      <c r="P106" s="210">
        <f>M!AK179</f>
        <v>515.27008000000023</v>
      </c>
      <c r="Q106" s="210">
        <f>M!AN179</f>
        <v>257.63504000000012</v>
      </c>
      <c r="R106" s="210">
        <f>M!AQ179</f>
        <v>0</v>
      </c>
      <c r="S106" s="236">
        <f t="shared" si="25"/>
        <v>0</v>
      </c>
    </row>
    <row r="107" spans="1:19" ht="13.5" thickBot="1" x14ac:dyDescent="0.25">
      <c r="A107" s="177" t="s">
        <v>118</v>
      </c>
      <c r="B107" s="210">
        <f>M!D180</f>
        <v>-1125.8933333333334</v>
      </c>
      <c r="C107" s="210">
        <f>M!G180</f>
        <v>-3172.1397665895061</v>
      </c>
      <c r="D107" s="236">
        <f t="shared" si="22"/>
        <v>-3172.1397665895061</v>
      </c>
      <c r="E107" s="210">
        <f>M!J180</f>
        <v>-4450.7908668265072</v>
      </c>
      <c r="F107" s="210">
        <f>M!M180</f>
        <v>-6892.4977510361632</v>
      </c>
      <c r="G107" s="210">
        <f>M!P180</f>
        <v>-6347.9107830140892</v>
      </c>
      <c r="H107" s="210">
        <f>M!S180</f>
        <v>1125.8233270887572</v>
      </c>
      <c r="I107" s="236">
        <f t="shared" si="23"/>
        <v>1125.8233270887572</v>
      </c>
      <c r="J107" s="210">
        <f>M!V180</f>
        <v>9893.3726697597795</v>
      </c>
      <c r="K107" s="210">
        <f>M!Y180</f>
        <v>11919.841585970247</v>
      </c>
      <c r="L107" s="210">
        <f>M!AB180</f>
        <v>14264.053507695691</v>
      </c>
      <c r="M107" s="210">
        <f>M!AE180</f>
        <v>27697.551559359938</v>
      </c>
      <c r="N107" s="236">
        <f t="shared" si="24"/>
        <v>27697.551559359938</v>
      </c>
      <c r="O107" s="210">
        <f>M!AH180</f>
        <v>40147.308495301339</v>
      </c>
      <c r="P107" s="210">
        <f>M!AK180</f>
        <v>46888.210360482342</v>
      </c>
      <c r="Q107" s="210">
        <f>M!AN180</f>
        <v>49597.572012573743</v>
      </c>
      <c r="R107" s="210">
        <f>M!AQ180</f>
        <v>62274.122764758577</v>
      </c>
      <c r="S107" s="236">
        <f t="shared" si="25"/>
        <v>62274.122764758577</v>
      </c>
    </row>
    <row r="108" spans="1:19" ht="13.5" thickBot="1" x14ac:dyDescent="0.25">
      <c r="A108" s="228" t="s">
        <v>119</v>
      </c>
      <c r="B108" s="229">
        <f>M!D181</f>
        <v>12865.773333333333</v>
      </c>
      <c r="C108" s="229">
        <f>M!G181</f>
        <v>16327.860233410494</v>
      </c>
      <c r="D108" s="230">
        <f t="shared" si="22"/>
        <v>16327.860233410494</v>
      </c>
      <c r="E108" s="229">
        <f>M!J181</f>
        <v>19861.330345294704</v>
      </c>
      <c r="F108" s="229">
        <f>M!M181</f>
        <v>23807.502248963836</v>
      </c>
      <c r="G108" s="229">
        <f>M!P181</f>
        <v>41201.762301228329</v>
      </c>
      <c r="H108" s="229">
        <f>M!S181</f>
        <v>48702.115307088759</v>
      </c>
      <c r="I108" s="230">
        <f t="shared" si="23"/>
        <v>48702.115307088759</v>
      </c>
      <c r="J108" s="229">
        <f>M!V181</f>
        <v>57290.655574002209</v>
      </c>
      <c r="K108" s="229">
        <f>M!Y181</f>
        <v>59147.740727788434</v>
      </c>
      <c r="L108" s="229">
        <f>M!AB181</f>
        <v>47825.285982847199</v>
      </c>
      <c r="M108" s="229">
        <f>M!AE181</f>
        <v>34981.248984814483</v>
      </c>
      <c r="N108" s="230">
        <f t="shared" si="24"/>
        <v>34981.248984814483</v>
      </c>
      <c r="O108" s="229">
        <f>M!AH181</f>
        <v>40404.94353530134</v>
      </c>
      <c r="P108" s="229">
        <f>M!AK181</f>
        <v>47403.480440482344</v>
      </c>
      <c r="Q108" s="229">
        <f>M!AN181</f>
        <v>49855.207052573744</v>
      </c>
      <c r="R108" s="229">
        <f>M!AQ181</f>
        <v>62274.122764758577</v>
      </c>
      <c r="S108" s="230">
        <f t="shared" si="25"/>
        <v>62274.122764758577</v>
      </c>
    </row>
    <row r="110" spans="1:19" x14ac:dyDescent="0.2">
      <c r="A110" s="177" t="s">
        <v>24</v>
      </c>
      <c r="B110" s="77">
        <f t="shared" ref="B110:S110" si="26">ROUND(B103-B108,5)</f>
        <v>0</v>
      </c>
      <c r="C110" s="77">
        <f t="shared" si="26"/>
        <v>0</v>
      </c>
      <c r="D110" s="77">
        <f t="shared" si="26"/>
        <v>0</v>
      </c>
      <c r="E110" s="77">
        <f t="shared" ca="1" si="26"/>
        <v>0</v>
      </c>
      <c r="F110" s="77">
        <f t="shared" ca="1" si="26"/>
        <v>0</v>
      </c>
      <c r="G110" s="77">
        <f t="shared" ca="1" si="26"/>
        <v>0</v>
      </c>
      <c r="H110" s="77">
        <f t="shared" ca="1" si="26"/>
        <v>0</v>
      </c>
      <c r="I110" s="77">
        <f t="shared" ca="1" si="26"/>
        <v>0</v>
      </c>
      <c r="J110" s="77">
        <f t="shared" ca="1" si="26"/>
        <v>0</v>
      </c>
      <c r="K110" s="77">
        <f t="shared" ca="1" si="26"/>
        <v>0</v>
      </c>
      <c r="L110" s="77">
        <f t="shared" ca="1" si="26"/>
        <v>0</v>
      </c>
      <c r="M110" s="77">
        <f t="shared" ca="1" si="26"/>
        <v>0</v>
      </c>
      <c r="N110" s="77">
        <f t="shared" ca="1" si="26"/>
        <v>0</v>
      </c>
      <c r="O110" s="77">
        <f t="shared" ca="1" si="26"/>
        <v>0</v>
      </c>
      <c r="P110" s="77">
        <f t="shared" ca="1" si="26"/>
        <v>0</v>
      </c>
      <c r="Q110" s="77">
        <f t="shared" ca="1" si="26"/>
        <v>0</v>
      </c>
      <c r="R110" s="77">
        <f t="shared" ca="1" si="26"/>
        <v>0</v>
      </c>
      <c r="S110" s="77">
        <f t="shared" ca="1" si="26"/>
        <v>0</v>
      </c>
    </row>
  </sheetData>
  <mergeCells count="4">
    <mergeCell ref="B1:D1"/>
    <mergeCell ref="E1:I1"/>
    <mergeCell ref="J1:N1"/>
    <mergeCell ref="O1:S1"/>
  </mergeCells>
  <conditionalFormatting sqref="B110:S110">
    <cfRule type="cellIs" dxfId="2" priority="2" operator="equal">
      <formula>0</formula>
    </cfRule>
  </conditionalFormatting>
  <pageMargins left="0.7" right="0.7" top="0.75" bottom="0.75" header="0.3" footer="0.3"/>
  <pageSetup paperSize="8" scale="83" orientation="landscape" r:id="rId1"/>
  <rowBreaks count="1" manualBreakCount="1">
    <brk id="61" max="16383" man="1"/>
  </rowBreaks>
  <ignoredErrors>
    <ignoredError sqref="B92:N92 B90:D91 N90:N91 B93:D93 F93:N93" formula="1"/>
    <ignoredError sqref="E90:M91" formula="1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O110"/>
  <sheetViews>
    <sheetView zoomScale="70" zoomScaleNormal="70" workbookViewId="0">
      <pane ySplit="2" topLeftCell="A54" activePane="bottomLeft" state="frozen"/>
      <selection activeCell="H89" sqref="H89"/>
      <selection pane="bottomLeft" activeCell="A90" sqref="A90:L91"/>
    </sheetView>
  </sheetViews>
  <sheetFormatPr defaultRowHeight="12.75" outlineLevelRow="1" outlineLevelCol="1" x14ac:dyDescent="0.2"/>
  <cols>
    <col min="1" max="1" width="34.140625" style="177" customWidth="1"/>
    <col min="2" max="15" width="10.7109375" style="177" customWidth="1" outlineLevel="1"/>
    <col min="16" max="16384" width="9.140625" style="177"/>
  </cols>
  <sheetData>
    <row r="1" spans="1:15" x14ac:dyDescent="0.2">
      <c r="A1" s="176" t="s">
        <v>102</v>
      </c>
      <c r="B1" s="270">
        <v>2017</v>
      </c>
      <c r="C1" s="270"/>
      <c r="D1" s="270">
        <v>2018</v>
      </c>
      <c r="E1" s="270"/>
      <c r="F1" s="270"/>
      <c r="G1" s="270"/>
      <c r="H1" s="270">
        <v>2019</v>
      </c>
      <c r="I1" s="270"/>
      <c r="J1" s="270"/>
      <c r="K1" s="270"/>
      <c r="L1" s="270">
        <v>2020</v>
      </c>
      <c r="M1" s="270"/>
      <c r="N1" s="270"/>
      <c r="O1" s="270"/>
    </row>
    <row r="2" spans="1:15" x14ac:dyDescent="0.2">
      <c r="B2" s="239" t="s">
        <v>221</v>
      </c>
      <c r="C2" s="240" t="s">
        <v>222</v>
      </c>
      <c r="D2" s="241" t="s">
        <v>223</v>
      </c>
      <c r="E2" s="239" t="s">
        <v>224</v>
      </c>
      <c r="F2" s="239" t="s">
        <v>225</v>
      </c>
      <c r="G2" s="240" t="s">
        <v>226</v>
      </c>
      <c r="H2" s="241" t="s">
        <v>227</v>
      </c>
      <c r="I2" s="239" t="s">
        <v>228</v>
      </c>
      <c r="J2" s="239" t="s">
        <v>229</v>
      </c>
      <c r="K2" s="240" t="s">
        <v>230</v>
      </c>
      <c r="L2" s="241" t="s">
        <v>231</v>
      </c>
      <c r="M2" s="239" t="s">
        <v>232</v>
      </c>
      <c r="N2" s="239" t="s">
        <v>233</v>
      </c>
      <c r="O2" s="240" t="s">
        <v>234</v>
      </c>
    </row>
    <row r="3" spans="1:15" ht="13.5" thickBot="1" x14ac:dyDescent="0.25">
      <c r="A3" s="177" t="s">
        <v>27</v>
      </c>
    </row>
    <row r="4" spans="1:15" ht="13.5" thickBot="1" x14ac:dyDescent="0.25">
      <c r="A4" s="182" t="s">
        <v>6</v>
      </c>
      <c r="B4" s="183">
        <f t="shared" ref="B4:O4" si="0">SUM(B5:B7)</f>
        <v>0</v>
      </c>
      <c r="C4" s="183">
        <f t="shared" si="0"/>
        <v>0</v>
      </c>
      <c r="D4" s="183">
        <f t="shared" si="0"/>
        <v>0</v>
      </c>
      <c r="E4" s="183">
        <f t="shared" si="0"/>
        <v>0</v>
      </c>
      <c r="F4" s="183">
        <f t="shared" si="0"/>
        <v>25000</v>
      </c>
      <c r="G4" s="183">
        <f t="shared" si="0"/>
        <v>75000</v>
      </c>
      <c r="H4" s="183">
        <f t="shared" si="0"/>
        <v>18181.81818181818</v>
      </c>
      <c r="I4" s="183">
        <f t="shared" si="0"/>
        <v>36363.63636363636</v>
      </c>
      <c r="J4" s="183">
        <f t="shared" si="0"/>
        <v>36363.636363636368</v>
      </c>
      <c r="K4" s="183">
        <f t="shared" si="0"/>
        <v>109090.9090909091</v>
      </c>
      <c r="L4" s="183">
        <f t="shared" si="0"/>
        <v>28571.428571428572</v>
      </c>
      <c r="M4" s="183">
        <f t="shared" si="0"/>
        <v>57142.857142857145</v>
      </c>
      <c r="N4" s="183">
        <f t="shared" si="0"/>
        <v>28571.428571428572</v>
      </c>
      <c r="O4" s="183">
        <f t="shared" si="0"/>
        <v>85714.285714285739</v>
      </c>
    </row>
    <row r="5" spans="1:15" x14ac:dyDescent="0.2">
      <c r="A5" s="177" t="s">
        <v>7</v>
      </c>
      <c r="B5" s="185">
        <f>SUM(M!C6:D6)</f>
        <v>0</v>
      </c>
      <c r="C5" s="185">
        <f>SUM(M!E6:G6)</f>
        <v>0</v>
      </c>
      <c r="D5" s="185">
        <f>SUM(M!H6:J6)</f>
        <v>0</v>
      </c>
      <c r="E5" s="185">
        <f>SUM(M!K6:M6)</f>
        <v>0</v>
      </c>
      <c r="F5" s="185">
        <f>SUM(M!N6:P6)</f>
        <v>1250</v>
      </c>
      <c r="G5" s="185">
        <f>SUM(M!Q6:S6)</f>
        <v>3750</v>
      </c>
      <c r="H5" s="185">
        <f>SUM(M!T6:V6)</f>
        <v>909.09090909090901</v>
      </c>
      <c r="I5" s="185">
        <f>SUM(M!W6:Y6)</f>
        <v>1818.181818181818</v>
      </c>
      <c r="J5" s="185">
        <f>SUM(M!Z6:AB6)</f>
        <v>1818.1818181818185</v>
      </c>
      <c r="K5" s="185">
        <f>SUM(M!AC6:AE6)</f>
        <v>5454.5454545454559</v>
      </c>
      <c r="L5" s="185">
        <f>SUM(M!AF6:AH6)</f>
        <v>1428.5714285714287</v>
      </c>
      <c r="M5" s="185">
        <f>SUM(M!AI6:AK6)</f>
        <v>2857.1428571428573</v>
      </c>
      <c r="N5" s="185">
        <f>SUM(M!AL6:AN6)</f>
        <v>1428.5714285714287</v>
      </c>
      <c r="O5" s="185">
        <f>SUM(M!AO6:AQ6)</f>
        <v>4285.7142857142862</v>
      </c>
    </row>
    <row r="6" spans="1:15" x14ac:dyDescent="0.2">
      <c r="A6" s="177" t="s">
        <v>8</v>
      </c>
      <c r="B6" s="185">
        <f>SUM(M!C7:D7)</f>
        <v>0</v>
      </c>
      <c r="C6" s="185">
        <f>SUM(M!E7:G7)</f>
        <v>0</v>
      </c>
      <c r="D6" s="185">
        <f>SUM(M!H7:J7)</f>
        <v>0</v>
      </c>
      <c r="E6" s="185">
        <f>SUM(M!K7:M7)</f>
        <v>0</v>
      </c>
      <c r="F6" s="185">
        <f>SUM(M!N7:P7)</f>
        <v>22500</v>
      </c>
      <c r="G6" s="185">
        <f>SUM(M!Q7:S7)</f>
        <v>67500</v>
      </c>
      <c r="H6" s="185">
        <f>SUM(M!T7:V7)</f>
        <v>16363.636363636362</v>
      </c>
      <c r="I6" s="185">
        <f>SUM(M!W7:Y7)</f>
        <v>32727.272727272724</v>
      </c>
      <c r="J6" s="185">
        <f>SUM(M!Z7:AB7)</f>
        <v>32727.272727272732</v>
      </c>
      <c r="K6" s="185">
        <f>SUM(M!AC7:AE7)</f>
        <v>98181.818181818191</v>
      </c>
      <c r="L6" s="185">
        <f>SUM(M!AF7:AH7)</f>
        <v>25714.285714285717</v>
      </c>
      <c r="M6" s="185">
        <f>SUM(M!AI7:AK7)</f>
        <v>51428.571428571435</v>
      </c>
      <c r="N6" s="185">
        <f>SUM(M!AL7:AN7)</f>
        <v>25714.285714285717</v>
      </c>
      <c r="O6" s="185">
        <f>SUM(M!AO7:AQ7)</f>
        <v>77142.857142857159</v>
      </c>
    </row>
    <row r="7" spans="1:15" x14ac:dyDescent="0.2">
      <c r="A7" s="187" t="s">
        <v>9</v>
      </c>
      <c r="B7" s="188">
        <f>SUM(M!C8:D8)</f>
        <v>0</v>
      </c>
      <c r="C7" s="188">
        <f>SUM(M!E8:G8)</f>
        <v>0</v>
      </c>
      <c r="D7" s="188">
        <f>SUM(M!H8:J8)</f>
        <v>0</v>
      </c>
      <c r="E7" s="188">
        <f>SUM(M!K8:M8)</f>
        <v>0</v>
      </c>
      <c r="F7" s="188">
        <f>SUM(M!N8:P8)</f>
        <v>1250</v>
      </c>
      <c r="G7" s="188">
        <f>SUM(M!Q8:S8)</f>
        <v>3750</v>
      </c>
      <c r="H7" s="188">
        <f>SUM(M!T8:V8)</f>
        <v>909.09090909090901</v>
      </c>
      <c r="I7" s="188">
        <f>SUM(M!W8:Y8)</f>
        <v>1818.181818181818</v>
      </c>
      <c r="J7" s="188">
        <f>SUM(M!Z8:AB8)</f>
        <v>1818.1818181818185</v>
      </c>
      <c r="K7" s="188">
        <f>SUM(M!AC8:AE8)</f>
        <v>5454.5454545454559</v>
      </c>
      <c r="L7" s="188">
        <f>SUM(M!AF8:AH8)</f>
        <v>1428.5714285714287</v>
      </c>
      <c r="M7" s="188">
        <f>SUM(M!AI8:AK8)</f>
        <v>2857.1428571428573</v>
      </c>
      <c r="N7" s="188">
        <f>SUM(M!AL8:AN8)</f>
        <v>1428.5714285714287</v>
      </c>
      <c r="O7" s="188">
        <f>SUM(M!AO8:AQ8)</f>
        <v>4285.7142857142862</v>
      </c>
    </row>
    <row r="9" spans="1:15" ht="13.5" thickBot="1" x14ac:dyDescent="0.25">
      <c r="A9" s="177" t="s">
        <v>110</v>
      </c>
    </row>
    <row r="10" spans="1:15" ht="13.5" thickBot="1" x14ac:dyDescent="0.25">
      <c r="A10" s="182" t="s">
        <v>6</v>
      </c>
      <c r="B10" s="183">
        <f>SUM(M!C11:D11)</f>
        <v>833.33333333333326</v>
      </c>
      <c r="C10" s="183">
        <f>SUM(M!E11:G11)</f>
        <v>833.33333333333326</v>
      </c>
      <c r="D10" s="183">
        <f>SUM(M!H11:J11)</f>
        <v>606.06060606060601</v>
      </c>
      <c r="E10" s="183">
        <f>SUM(M!K11:M11)</f>
        <v>303.030303030303</v>
      </c>
      <c r="F10" s="183">
        <f>SUM(M!N11:P11)</f>
        <v>1212.1212121212122</v>
      </c>
      <c r="G10" s="183">
        <f>SUM(M!Q11:S11)</f>
        <v>1212.1212121212122</v>
      </c>
      <c r="H10" s="183">
        <f>SUM(M!T11:V11)</f>
        <v>952.38095238095229</v>
      </c>
      <c r="I10" s="183">
        <f>SUM(M!W11:Y11)</f>
        <v>476.19047619047615</v>
      </c>
      <c r="J10" s="183">
        <f>SUM(M!Z11:AB11)</f>
        <v>952.38095238095229</v>
      </c>
      <c r="K10" s="183">
        <f>SUM(M!AC11:AE11)</f>
        <v>952.38095238095229</v>
      </c>
      <c r="L10" s="183">
        <f>SUM(M!AF11:AH11)</f>
        <v>0</v>
      </c>
      <c r="M10" s="183">
        <f>SUM(M!AI11:AK11)</f>
        <v>0</v>
      </c>
      <c r="N10" s="183">
        <f>SUM(M!AL11:AN11)</f>
        <v>0</v>
      </c>
      <c r="O10" s="183">
        <f>SUM(M!AO11:AQ11)</f>
        <v>0</v>
      </c>
    </row>
    <row r="11" spans="1:15" x14ac:dyDescent="0.2">
      <c r="B11" s="185">
        <f>SUM(M!C12:D12)</f>
        <v>833.33333333333326</v>
      </c>
      <c r="C11" s="185">
        <f>SUM(M!E12:G12)</f>
        <v>833.33333333333326</v>
      </c>
      <c r="D11" s="185">
        <f>SUM(M!H12:J12)</f>
        <v>606.06060606060601</v>
      </c>
      <c r="E11" s="185">
        <f>SUM(M!K12:M12)</f>
        <v>303.030303030303</v>
      </c>
      <c r="F11" s="185">
        <f>SUM(M!N12:P12)</f>
        <v>1212.1212121212122</v>
      </c>
      <c r="G11" s="185">
        <f>SUM(M!Q12:S12)</f>
        <v>1212.1212121212122</v>
      </c>
      <c r="H11" s="185">
        <f>SUM(M!T12:V12)</f>
        <v>952.38095238095229</v>
      </c>
      <c r="I11" s="185">
        <f>SUM(M!W12:Y12)</f>
        <v>476.19047619047615</v>
      </c>
      <c r="J11" s="185">
        <f>SUM(M!Z12:AB12)</f>
        <v>952.38095238095229</v>
      </c>
      <c r="K11" s="185">
        <f>SUM(M!AC12:AE12)</f>
        <v>952.38095238095229</v>
      </c>
      <c r="L11" s="185">
        <f>SUM(M!AF12:AH12)</f>
        <v>0</v>
      </c>
      <c r="M11" s="185">
        <f>SUM(M!AI12:AK12)</f>
        <v>0</v>
      </c>
      <c r="N11" s="185">
        <f>SUM(M!AL12:AN12)</f>
        <v>0</v>
      </c>
      <c r="O11" s="185">
        <f>SUM(M!AO12:AQ12)</f>
        <v>0</v>
      </c>
    </row>
    <row r="12" spans="1:15" ht="13.5" thickBot="1" x14ac:dyDescent="0.25"/>
    <row r="13" spans="1:15" ht="13.5" thickBot="1" x14ac:dyDescent="0.25">
      <c r="A13" s="182" t="s">
        <v>45</v>
      </c>
      <c r="B13" s="183">
        <f>SUM(M!C16:D16)</f>
        <v>4166.666666666667</v>
      </c>
      <c r="C13" s="183">
        <f>SUM(M!E16:G16)</f>
        <v>6502.5906735751305</v>
      </c>
      <c r="D13" s="183">
        <f ca="1">SUM(M!H16:J16)</f>
        <v>10542.4610159407</v>
      </c>
      <c r="E13" s="183">
        <f ca="1">SUM(M!K16:M16)</f>
        <v>15110.860789515002</v>
      </c>
      <c r="F13" s="183">
        <f ca="1">SUM(M!N16:P16)</f>
        <v>130511.64002820745</v>
      </c>
      <c r="G13" s="183">
        <f ca="1">SUM(M!Q16:S16)</f>
        <v>49028.598668526443</v>
      </c>
      <c r="H13" s="183">
        <f ca="1">SUM(M!T16:V16)</f>
        <v>15067.200020534332</v>
      </c>
      <c r="I13" s="183">
        <f ca="1">SUM(M!W16:Y16)</f>
        <v>17708.1621346957</v>
      </c>
      <c r="J13" s="183">
        <f ca="1">SUM(M!Z16:AB16)</f>
        <v>128213.13553037991</v>
      </c>
      <c r="K13" s="183">
        <f ca="1">SUM(M!AC16:AE16)</f>
        <v>49373.605257929259</v>
      </c>
      <c r="L13" s="183">
        <f ca="1">SUM(M!AF16:AH16)</f>
        <v>10251.511079506836</v>
      </c>
      <c r="M13" s="183">
        <f ca="1">SUM(M!AI16:AK16)</f>
        <v>8583.8701412780938</v>
      </c>
      <c r="N13" s="183">
        <f ca="1">SUM(M!AL16:AN16)</f>
        <v>37106.298430359646</v>
      </c>
      <c r="O13" s="183">
        <f ca="1">SUM(M!AO16:AQ16)</f>
        <v>10333.399562884964</v>
      </c>
    </row>
    <row r="14" spans="1:15" x14ac:dyDescent="0.2">
      <c r="A14" s="177" t="s">
        <v>40</v>
      </c>
      <c r="B14" s="185">
        <f>SUM(M!C17:D17)</f>
        <v>4166.666666666667</v>
      </c>
      <c r="C14" s="185">
        <f>SUM(M!E17:G17)</f>
        <v>6502.5906735751305</v>
      </c>
      <c r="D14" s="185">
        <f>SUM(M!H17:J17)</f>
        <v>7007.7720207253897</v>
      </c>
      <c r="E14" s="185">
        <f>SUM(M!K17:M17)</f>
        <v>10044.473229706389</v>
      </c>
      <c r="F14" s="185">
        <f>SUM(M!N17:P17)</f>
        <v>55361.398963730579</v>
      </c>
      <c r="G14" s="185">
        <f>SUM(M!Q17:S17)</f>
        <v>15417.098445595855</v>
      </c>
      <c r="H14" s="185">
        <f>SUM(M!T17:V17)</f>
        <v>0</v>
      </c>
      <c r="I14" s="185">
        <f>SUM(M!W17:Y17)</f>
        <v>0</v>
      </c>
      <c r="J14" s="185">
        <f>SUM(M!Z17:AB17)</f>
        <v>0</v>
      </c>
      <c r="K14" s="185">
        <f>SUM(M!AC17:AE17)</f>
        <v>0</v>
      </c>
      <c r="L14" s="185">
        <f>SUM(M!AF17:AH17)</f>
        <v>0</v>
      </c>
      <c r="M14" s="185">
        <f>SUM(M!AI17:AK17)</f>
        <v>0</v>
      </c>
      <c r="N14" s="185">
        <f>SUM(M!AL17:AN17)</f>
        <v>0</v>
      </c>
      <c r="O14" s="185">
        <f>SUM(M!AO17:AQ17)</f>
        <v>0</v>
      </c>
    </row>
    <row r="15" spans="1:15" x14ac:dyDescent="0.2">
      <c r="A15" s="177" t="s">
        <v>41</v>
      </c>
      <c r="B15" s="185">
        <f>SUM(M!C18:D18)</f>
        <v>0</v>
      </c>
      <c r="C15" s="185">
        <f>SUM(M!E18:G18)</f>
        <v>0</v>
      </c>
      <c r="D15" s="185">
        <f ca="1">SUM(M!H18:J18)</f>
        <v>3534.688995215311</v>
      </c>
      <c r="E15" s="185">
        <f ca="1">SUM(M!K18:M18)</f>
        <v>5066.3875598086124</v>
      </c>
      <c r="F15" s="185">
        <f ca="1">SUM(M!N18:P18)</f>
        <v>27924.043062200959</v>
      </c>
      <c r="G15" s="185">
        <f ca="1">SUM(M!Q18:S18)</f>
        <v>12489.234449760765</v>
      </c>
      <c r="H15" s="185">
        <f ca="1">SUM(M!T18:V18)</f>
        <v>3534.688995215311</v>
      </c>
      <c r="I15" s="185">
        <f ca="1">SUM(M!W18:Y18)</f>
        <v>1178.2296650717703</v>
      </c>
      <c r="J15" s="185">
        <f>SUM(M!Z18:AB18)</f>
        <v>0</v>
      </c>
      <c r="K15" s="185">
        <f>SUM(M!AC18:AE18)</f>
        <v>0</v>
      </c>
      <c r="L15" s="185">
        <f>SUM(M!AF18:AH18)</f>
        <v>0</v>
      </c>
      <c r="M15" s="185">
        <f>SUM(M!AI18:AK18)</f>
        <v>0</v>
      </c>
      <c r="N15" s="185">
        <f>SUM(M!AL18:AN18)</f>
        <v>0</v>
      </c>
      <c r="O15" s="185">
        <f>SUM(M!AO18:AQ18)</f>
        <v>0</v>
      </c>
    </row>
    <row r="16" spans="1:15" x14ac:dyDescent="0.2">
      <c r="A16" s="177" t="s">
        <v>42</v>
      </c>
      <c r="B16" s="185">
        <f>SUM(M!C19:D19)</f>
        <v>0</v>
      </c>
      <c r="C16" s="185">
        <f>SUM(M!E19:G19)</f>
        <v>0</v>
      </c>
      <c r="D16" s="185">
        <f>SUM(M!H19:J19)</f>
        <v>0</v>
      </c>
      <c r="E16" s="185">
        <f>SUM(M!K19:M19)</f>
        <v>0</v>
      </c>
      <c r="F16" s="185">
        <f ca="1">SUM(M!N19:P19)</f>
        <v>47226.198002275909</v>
      </c>
      <c r="G16" s="185">
        <f ca="1">SUM(M!Q19:S19)</f>
        <v>21122.265773169816</v>
      </c>
      <c r="H16" s="185">
        <f ca="1">SUM(M!T19:V19)</f>
        <v>5977.9997471235329</v>
      </c>
      <c r="I16" s="185">
        <f ca="1">SUM(M!W19:Y19)</f>
        <v>8568.4663042103966</v>
      </c>
      <c r="J16" s="185">
        <f ca="1">SUM(M!Z19:AB19)</f>
        <v>47226.198002275909</v>
      </c>
      <c r="K16" s="185">
        <f ca="1">SUM(M!AC19:AE19)</f>
        <v>13151.599443671772</v>
      </c>
      <c r="L16" s="185">
        <f>SUM(M!AF19:AH19)</f>
        <v>0</v>
      </c>
      <c r="M16" s="185">
        <f>SUM(M!AI19:AK19)</f>
        <v>0</v>
      </c>
      <c r="N16" s="185">
        <f>SUM(M!AL19:AN19)</f>
        <v>0</v>
      </c>
      <c r="O16" s="185">
        <f>SUM(M!AO19:AQ19)</f>
        <v>0</v>
      </c>
    </row>
    <row r="17" spans="1:15" x14ac:dyDescent="0.2">
      <c r="A17" s="177" t="s">
        <v>43</v>
      </c>
      <c r="B17" s="185">
        <f>SUM(M!C20:D20)</f>
        <v>0</v>
      </c>
      <c r="C17" s="185">
        <f>SUM(M!E20:G20)</f>
        <v>0</v>
      </c>
      <c r="D17" s="185">
        <f>SUM(M!H20:J20)</f>
        <v>0</v>
      </c>
      <c r="E17" s="185">
        <f>SUM(M!K20:M20)</f>
        <v>0</v>
      </c>
      <c r="F17" s="185">
        <f>SUM(M!N20:P20)</f>
        <v>0</v>
      </c>
      <c r="G17" s="185">
        <f>SUM(M!Q20:S20)</f>
        <v>0</v>
      </c>
      <c r="H17" s="185">
        <f ca="1">SUM(M!T20:V20)</f>
        <v>5554.5112781954876</v>
      </c>
      <c r="I17" s="185">
        <f ca="1">SUM(M!W20:Y20)</f>
        <v>7961.4661654135325</v>
      </c>
      <c r="J17" s="185">
        <f ca="1">SUM(M!Z20:AB20)</f>
        <v>43880.639097744352</v>
      </c>
      <c r="K17" s="185">
        <f ca="1">SUM(M!AC20:AE20)</f>
        <v>19625.939849624057</v>
      </c>
      <c r="L17" s="185">
        <f ca="1">SUM(M!AF20:AH20)</f>
        <v>5554.5112781954876</v>
      </c>
      <c r="M17" s="185">
        <f ca="1">SUM(M!AI20:AK20)</f>
        <v>1851.503759398496</v>
      </c>
      <c r="N17" s="185">
        <f>SUM(M!AL20:AN20)</f>
        <v>0</v>
      </c>
      <c r="O17" s="185">
        <f>SUM(M!AO20:AQ20)</f>
        <v>0</v>
      </c>
    </row>
    <row r="18" spans="1:15" x14ac:dyDescent="0.2">
      <c r="A18" s="187" t="s">
        <v>44</v>
      </c>
      <c r="B18" s="188">
        <f>SUM(M!C21:D21)</f>
        <v>0</v>
      </c>
      <c r="C18" s="188">
        <f>SUM(M!E21:G21)</f>
        <v>0</v>
      </c>
      <c r="D18" s="188">
        <f>SUM(M!H21:J21)</f>
        <v>0</v>
      </c>
      <c r="E18" s="188">
        <f>SUM(M!K21:M21)</f>
        <v>0</v>
      </c>
      <c r="F18" s="188">
        <f>SUM(M!N21:P21)</f>
        <v>0</v>
      </c>
      <c r="G18" s="188">
        <f>SUM(M!Q21:S21)</f>
        <v>0</v>
      </c>
      <c r="H18" s="188">
        <f>SUM(M!T21:V21)</f>
        <v>0</v>
      </c>
      <c r="I18" s="188">
        <f>SUM(M!W21:Y21)</f>
        <v>0</v>
      </c>
      <c r="J18" s="188">
        <f ca="1">SUM(M!Z21:AB21)</f>
        <v>37106.298430359646</v>
      </c>
      <c r="K18" s="188">
        <f ca="1">SUM(M!AC21:AE21)</f>
        <v>16596.065964633428</v>
      </c>
      <c r="L18" s="188">
        <f ca="1">SUM(M!AF21:AH21)</f>
        <v>4696.9998013113473</v>
      </c>
      <c r="M18" s="188">
        <f ca="1">SUM(M!AI21:AK21)</f>
        <v>6732.3663818795976</v>
      </c>
      <c r="N18" s="188">
        <f ca="1">SUM(M!AL21:AN21)</f>
        <v>37106.298430359646</v>
      </c>
      <c r="O18" s="188">
        <f ca="1">SUM(M!AO21:AQ21)</f>
        <v>10333.399562884964</v>
      </c>
    </row>
    <row r="20" spans="1:15" ht="13.5" thickBot="1" x14ac:dyDescent="0.25">
      <c r="A20" s="191" t="s">
        <v>50</v>
      </c>
    </row>
    <row r="21" spans="1:15" ht="13.5" thickBot="1" x14ac:dyDescent="0.25">
      <c r="A21" s="182" t="s">
        <v>53</v>
      </c>
      <c r="B21" s="183">
        <v>0</v>
      </c>
      <c r="C21" s="183">
        <f>B24</f>
        <v>333.33333333333303</v>
      </c>
      <c r="D21" s="183">
        <f t="shared" ref="D21:O21" si="1">C24</f>
        <v>830.74265975820254</v>
      </c>
      <c r="E21" s="183">
        <f t="shared" ca="1" si="1"/>
        <v>288.28164381750139</v>
      </c>
      <c r="F21" s="183">
        <f t="shared" ca="1" si="1"/>
        <v>177.42085430249972</v>
      </c>
      <c r="G21" s="183">
        <f t="shared" ca="1" si="1"/>
        <v>665.78082609505509</v>
      </c>
      <c r="H21" s="183">
        <f t="shared" ca="1" si="1"/>
        <v>637.18215756861173</v>
      </c>
      <c r="I21" s="183">
        <f t="shared" ca="1" si="1"/>
        <v>569.98213703427973</v>
      </c>
      <c r="J21" s="183">
        <f t="shared" ca="1" si="1"/>
        <v>861.8200023385798</v>
      </c>
      <c r="K21" s="183">
        <f t="shared" ca="1" si="1"/>
        <v>1648.6844719586807</v>
      </c>
      <c r="L21" s="183">
        <f t="shared" ca="1" si="1"/>
        <v>3275.0792140294216</v>
      </c>
      <c r="M21" s="183">
        <f t="shared" ca="1" si="1"/>
        <v>23.568134522585751</v>
      </c>
      <c r="N21" s="183">
        <f t="shared" ca="1" si="1"/>
        <v>439.69799324449195</v>
      </c>
      <c r="O21" s="183">
        <f t="shared" ca="1" si="1"/>
        <v>1333.3995628848497</v>
      </c>
    </row>
    <row r="22" spans="1:15" x14ac:dyDescent="0.2">
      <c r="A22" s="192" t="s">
        <v>56</v>
      </c>
      <c r="B22" s="185">
        <f>SUM(M!C28:D28)</f>
        <v>4500</v>
      </c>
      <c r="C22" s="185">
        <f>SUM(M!E28:G28)</f>
        <v>7000</v>
      </c>
      <c r="D22" s="185">
        <f>SUM(M!H28:J28)</f>
        <v>10000</v>
      </c>
      <c r="E22" s="185">
        <f>SUM(M!K28:M28)</f>
        <v>15000</v>
      </c>
      <c r="F22" s="185">
        <f>SUM(M!N28:P28)</f>
        <v>131000</v>
      </c>
      <c r="G22" s="185">
        <f>SUM(M!Q28:S28)</f>
        <v>49000</v>
      </c>
      <c r="H22" s="185">
        <f>SUM(M!T28:V28)</f>
        <v>15000</v>
      </c>
      <c r="I22" s="185">
        <f>SUM(M!W28:Y28)</f>
        <v>18000</v>
      </c>
      <c r="J22" s="185">
        <f>SUM(M!Z28:AB28)</f>
        <v>129000</v>
      </c>
      <c r="K22" s="185">
        <f>SUM(M!AC28:AE28)</f>
        <v>51000</v>
      </c>
      <c r="L22" s="185">
        <f>SUM(M!AF28:AH28)</f>
        <v>7000</v>
      </c>
      <c r="M22" s="185">
        <f>SUM(M!AI28:AK28)</f>
        <v>9000</v>
      </c>
      <c r="N22" s="185">
        <f>SUM(M!AL28:AN28)</f>
        <v>38000</v>
      </c>
      <c r="O22" s="185">
        <f>SUM(M!AO28:AQ28)</f>
        <v>9000</v>
      </c>
    </row>
    <row r="23" spans="1:15" ht="13.5" thickBot="1" x14ac:dyDescent="0.25">
      <c r="A23" s="192" t="s">
        <v>57</v>
      </c>
      <c r="B23" s="185">
        <f>SUM(M!C29:D29)</f>
        <v>-4166.666666666667</v>
      </c>
      <c r="C23" s="185">
        <f>SUM(M!E29:G29)</f>
        <v>-6502.5906735751305</v>
      </c>
      <c r="D23" s="185">
        <f ca="1">SUM(M!H29:J29)</f>
        <v>-10542.4610159407</v>
      </c>
      <c r="E23" s="185">
        <f ca="1">SUM(M!K29:M29)</f>
        <v>-15110.860789515002</v>
      </c>
      <c r="F23" s="185">
        <f ca="1">SUM(M!N29:P29)</f>
        <v>-130511.64002820745</v>
      </c>
      <c r="G23" s="185">
        <f ca="1">SUM(M!Q29:S29)</f>
        <v>-49028.598668526443</v>
      </c>
      <c r="H23" s="185">
        <f ca="1">SUM(M!T29:V29)</f>
        <v>-15067.200020534332</v>
      </c>
      <c r="I23" s="185">
        <f ca="1">SUM(M!W29:Y29)</f>
        <v>-17708.1621346957</v>
      </c>
      <c r="J23" s="185">
        <f ca="1">SUM(M!Z29:AB29)</f>
        <v>-128213.13553037991</v>
      </c>
      <c r="K23" s="185">
        <f ca="1">SUM(M!AC29:AE29)</f>
        <v>-49373.605257929259</v>
      </c>
      <c r="L23" s="185">
        <f ca="1">SUM(M!AF29:AH29)</f>
        <v>-10251.511079506836</v>
      </c>
      <c r="M23" s="185">
        <f ca="1">SUM(M!AI29:AK29)</f>
        <v>-8583.8701412780938</v>
      </c>
      <c r="N23" s="185">
        <f ca="1">SUM(M!AL29:AN29)</f>
        <v>-37106.298430359646</v>
      </c>
      <c r="O23" s="185">
        <f ca="1">SUM(M!AO29:AQ29)</f>
        <v>-10333.399562884964</v>
      </c>
    </row>
    <row r="24" spans="1:15" ht="13.5" thickBot="1" x14ac:dyDescent="0.25">
      <c r="A24" s="182" t="s">
        <v>55</v>
      </c>
      <c r="B24" s="183">
        <f t="shared" ref="B24:G24" si="2">SUM(B21:B23)</f>
        <v>333.33333333333303</v>
      </c>
      <c r="C24" s="183">
        <f t="shared" si="2"/>
        <v>830.74265975820254</v>
      </c>
      <c r="D24" s="183">
        <f t="shared" ca="1" si="2"/>
        <v>288.28164381750139</v>
      </c>
      <c r="E24" s="183">
        <f t="shared" ca="1" si="2"/>
        <v>177.42085430249972</v>
      </c>
      <c r="F24" s="183">
        <f t="shared" ca="1" si="2"/>
        <v>665.78082609505509</v>
      </c>
      <c r="G24" s="183">
        <f t="shared" ca="1" si="2"/>
        <v>637.18215756861173</v>
      </c>
      <c r="H24" s="183">
        <f t="shared" ref="H24:O24" ca="1" si="3">SUM(H21:H23)</f>
        <v>569.98213703427973</v>
      </c>
      <c r="I24" s="183">
        <f t="shared" ca="1" si="3"/>
        <v>861.8200023385798</v>
      </c>
      <c r="J24" s="183">
        <f t="shared" ca="1" si="3"/>
        <v>1648.6844719586807</v>
      </c>
      <c r="K24" s="183">
        <f t="shared" ca="1" si="3"/>
        <v>3275.0792140294216</v>
      </c>
      <c r="L24" s="183">
        <f t="shared" ca="1" si="3"/>
        <v>23.568134522585751</v>
      </c>
      <c r="M24" s="183">
        <f t="shared" ca="1" si="3"/>
        <v>439.69799324449195</v>
      </c>
      <c r="N24" s="183">
        <f t="shared" ca="1" si="3"/>
        <v>1333.3995628848497</v>
      </c>
      <c r="O24" s="183">
        <f t="shared" ca="1" si="3"/>
        <v>-1.1459633242338896E-10</v>
      </c>
    </row>
    <row r="25" spans="1:15" x14ac:dyDescent="0.2">
      <c r="A25" s="193"/>
    </row>
    <row r="26" spans="1:15" ht="13.5" thickBot="1" x14ac:dyDescent="0.25">
      <c r="A26" s="191" t="s">
        <v>60</v>
      </c>
    </row>
    <row r="27" spans="1:15" ht="13.5" thickBot="1" x14ac:dyDescent="0.25">
      <c r="A27" s="194" t="s">
        <v>53</v>
      </c>
      <c r="B27" s="195">
        <v>0</v>
      </c>
      <c r="C27" s="195">
        <f>B30</f>
        <v>50</v>
      </c>
      <c r="D27" s="195">
        <f t="shared" ref="D27:O27" si="4">C30</f>
        <v>124.61139896373061</v>
      </c>
      <c r="E27" s="195">
        <f t="shared" ca="1" si="4"/>
        <v>43.24224657262539</v>
      </c>
      <c r="F27" s="195">
        <f t="shared" ca="1" si="4"/>
        <v>26.613128145374958</v>
      </c>
      <c r="G27" s="195">
        <f t="shared" ca="1" si="4"/>
        <v>99.867123914260446</v>
      </c>
      <c r="H27" s="195">
        <f t="shared" ca="1" si="4"/>
        <v>95.577323635294306</v>
      </c>
      <c r="I27" s="195">
        <f t="shared" ca="1" si="4"/>
        <v>85.497320555144142</v>
      </c>
      <c r="J27" s="195">
        <f t="shared" ca="1" si="4"/>
        <v>129.27300035078906</v>
      </c>
      <c r="K27" s="195">
        <f t="shared" ca="1" si="4"/>
        <v>247.30267079380428</v>
      </c>
      <c r="L27" s="195">
        <f t="shared" ca="1" si="4"/>
        <v>491.26188210441524</v>
      </c>
      <c r="M27" s="195">
        <f t="shared" ca="1" si="4"/>
        <v>3.5352201783903183</v>
      </c>
      <c r="N27" s="195">
        <f t="shared" ca="1" si="4"/>
        <v>65.954698986676476</v>
      </c>
      <c r="O27" s="195">
        <f t="shared" ca="1" si="4"/>
        <v>200.00993443273092</v>
      </c>
    </row>
    <row r="28" spans="1:15" x14ac:dyDescent="0.2">
      <c r="A28" s="197" t="s">
        <v>56</v>
      </c>
      <c r="B28" s="198">
        <f>SUM(M!C34:D34)</f>
        <v>675</v>
      </c>
      <c r="C28" s="198">
        <f>SUM(M!E34:G34)</f>
        <v>1050</v>
      </c>
      <c r="D28" s="198">
        <f>SUM(M!H34:J34)</f>
        <v>1500</v>
      </c>
      <c r="E28" s="198">
        <f>SUM(M!K34:M34)</f>
        <v>2250</v>
      </c>
      <c r="F28" s="198">
        <f>SUM(M!N34:P34)</f>
        <v>19650</v>
      </c>
      <c r="G28" s="198">
        <f>SUM(M!Q34:S34)</f>
        <v>7350</v>
      </c>
      <c r="H28" s="198">
        <f>SUM(M!T34:V34)</f>
        <v>2250</v>
      </c>
      <c r="I28" s="198">
        <f>SUM(M!W34:Y34)</f>
        <v>2700</v>
      </c>
      <c r="J28" s="198">
        <f>SUM(M!Z34:AB34)</f>
        <v>19350</v>
      </c>
      <c r="K28" s="198">
        <f>SUM(M!AC34:AE34)</f>
        <v>7650</v>
      </c>
      <c r="L28" s="198">
        <f>SUM(M!AF34:AH34)</f>
        <v>1050</v>
      </c>
      <c r="M28" s="198">
        <f>SUM(M!AI34:AK34)</f>
        <v>1350</v>
      </c>
      <c r="N28" s="198">
        <f>SUM(M!AL34:AN34)</f>
        <v>5700</v>
      </c>
      <c r="O28" s="198">
        <f>SUM(M!AO34:AQ34)</f>
        <v>1350</v>
      </c>
    </row>
    <row r="29" spans="1:15" ht="13.5" thickBot="1" x14ac:dyDescent="0.25">
      <c r="A29" s="197" t="s">
        <v>57</v>
      </c>
      <c r="B29" s="198">
        <f>SUM(M!C35:D35)</f>
        <v>-625</v>
      </c>
      <c r="C29" s="198">
        <f>SUM(M!E35:G35)</f>
        <v>-975.38860103626939</v>
      </c>
      <c r="D29" s="198">
        <f ca="1">SUM(M!H35:J35)</f>
        <v>-1581.3691523911052</v>
      </c>
      <c r="E29" s="198">
        <f ca="1">SUM(M!K35:M35)</f>
        <v>-2266.6291184272504</v>
      </c>
      <c r="F29" s="198">
        <f ca="1">SUM(M!N35:P35)</f>
        <v>-19576.746004231114</v>
      </c>
      <c r="G29" s="198">
        <f ca="1">SUM(M!Q35:S35)</f>
        <v>-7354.2898002789661</v>
      </c>
      <c r="H29" s="198">
        <f ca="1">SUM(M!T35:V35)</f>
        <v>-2260.0800030801502</v>
      </c>
      <c r="I29" s="198">
        <f ca="1">SUM(M!W35:Y35)</f>
        <v>-2656.2243202043551</v>
      </c>
      <c r="J29" s="198">
        <f ca="1">SUM(M!Z35:AB35)</f>
        <v>-19231.970329556985</v>
      </c>
      <c r="K29" s="198">
        <f ca="1">SUM(M!AC35:AE35)</f>
        <v>-7406.040788689389</v>
      </c>
      <c r="L29" s="198">
        <f ca="1">SUM(M!AF35:AH35)</f>
        <v>-1537.7266619260249</v>
      </c>
      <c r="M29" s="198">
        <f ca="1">SUM(M!AI35:AK35)</f>
        <v>-1287.5805211917138</v>
      </c>
      <c r="N29" s="198">
        <f ca="1">SUM(M!AL35:AN35)</f>
        <v>-5565.9447645539458</v>
      </c>
      <c r="O29" s="198">
        <f ca="1">SUM(M!AO35:AQ35)</f>
        <v>-1550.0099344327448</v>
      </c>
    </row>
    <row r="30" spans="1:15" ht="13.5" thickBot="1" x14ac:dyDescent="0.25">
      <c r="A30" s="194" t="s">
        <v>55</v>
      </c>
      <c r="B30" s="195">
        <f t="shared" ref="B30:G30" si="5">SUM(B27:B29)</f>
        <v>50</v>
      </c>
      <c r="C30" s="195">
        <f t="shared" si="5"/>
        <v>124.61139896373061</v>
      </c>
      <c r="D30" s="195">
        <f t="shared" ca="1" si="5"/>
        <v>43.24224657262539</v>
      </c>
      <c r="E30" s="195">
        <f t="shared" ca="1" si="5"/>
        <v>26.613128145374958</v>
      </c>
      <c r="F30" s="195">
        <f t="shared" ca="1" si="5"/>
        <v>99.867123914260446</v>
      </c>
      <c r="G30" s="195">
        <f t="shared" ca="1" si="5"/>
        <v>95.577323635294306</v>
      </c>
      <c r="H30" s="195">
        <f t="shared" ref="H30:O30" ca="1" si="6">SUM(H27:H29)</f>
        <v>85.497320555144142</v>
      </c>
      <c r="I30" s="195">
        <f t="shared" ca="1" si="6"/>
        <v>129.27300035078906</v>
      </c>
      <c r="J30" s="195">
        <f t="shared" ca="1" si="6"/>
        <v>247.30267079380428</v>
      </c>
      <c r="K30" s="195">
        <f t="shared" ca="1" si="6"/>
        <v>491.26188210441524</v>
      </c>
      <c r="L30" s="195">
        <f t="shared" ca="1" si="6"/>
        <v>3.5352201783903183</v>
      </c>
      <c r="M30" s="195">
        <f t="shared" ca="1" si="6"/>
        <v>65.954698986676476</v>
      </c>
      <c r="N30" s="195">
        <f t="shared" ca="1" si="6"/>
        <v>200.00993443273092</v>
      </c>
      <c r="O30" s="195">
        <f t="shared" ca="1" si="6"/>
        <v>-1.3869794202037156E-11</v>
      </c>
    </row>
    <row r="31" spans="1:15" x14ac:dyDescent="0.2">
      <c r="A31" s="193"/>
    </row>
    <row r="32" spans="1:15" ht="13.5" thickBot="1" x14ac:dyDescent="0.25">
      <c r="A32" s="192" t="s">
        <v>51</v>
      </c>
    </row>
    <row r="33" spans="1:15" ht="13.5" thickBot="1" x14ac:dyDescent="0.25">
      <c r="A33" s="182" t="s">
        <v>53</v>
      </c>
      <c r="B33" s="183">
        <v>0</v>
      </c>
      <c r="C33" s="183">
        <f>B38</f>
        <v>4916.666666666667</v>
      </c>
      <c r="D33" s="183">
        <f t="shared" ref="D33:O33" si="7">C38</f>
        <v>12169.257340241797</v>
      </c>
      <c r="E33" s="183">
        <f t="shared" ca="1" si="7"/>
        <v>23257.172901637041</v>
      </c>
      <c r="F33" s="183">
        <f t="shared" ca="1" si="7"/>
        <v>38640.760963879315</v>
      </c>
      <c r="G33" s="183">
        <f t="shared" ca="1" si="7"/>
        <v>145243.31008299586</v>
      </c>
      <c r="H33" s="183">
        <f t="shared" ca="1" si="7"/>
        <v>120362.8178424314</v>
      </c>
      <c r="I33" s="183">
        <f t="shared" ca="1" si="7"/>
        <v>118105.34253829041</v>
      </c>
      <c r="J33" s="183">
        <f t="shared" ca="1" si="7"/>
        <v>99878.439737921173</v>
      </c>
      <c r="K33" s="183">
        <f t="shared" ca="1" si="7"/>
        <v>192585.08176180755</v>
      </c>
      <c r="L33" s="183">
        <f t="shared" ca="1" si="7"/>
        <v>133724.92078597052</v>
      </c>
      <c r="M33" s="183">
        <f t="shared" ca="1" si="7"/>
        <v>115405.00329404877</v>
      </c>
      <c r="N33" s="183">
        <f t="shared" ca="1" si="7"/>
        <v>66846.016292469722</v>
      </c>
      <c r="O33" s="183">
        <f t="shared" ca="1" si="7"/>
        <v>75380.886151400802</v>
      </c>
    </row>
    <row r="34" spans="1:15" x14ac:dyDescent="0.2">
      <c r="A34" s="192" t="s">
        <v>52</v>
      </c>
      <c r="B34" s="185">
        <f>SUM(M!C40:D40)</f>
        <v>833.33333333333326</v>
      </c>
      <c r="C34" s="185">
        <f>SUM(M!E40:G40)</f>
        <v>833.33333333333326</v>
      </c>
      <c r="D34" s="185">
        <f>SUM(M!H40:J40)</f>
        <v>606.06060606060601</v>
      </c>
      <c r="E34" s="185">
        <f>SUM(M!K40:M40)</f>
        <v>303.030303030303</v>
      </c>
      <c r="F34" s="185">
        <f>SUM(M!N40:P40)</f>
        <v>1212.1212121212122</v>
      </c>
      <c r="G34" s="185">
        <f>SUM(M!Q40:S40)</f>
        <v>1212.1212121212122</v>
      </c>
      <c r="H34" s="185">
        <f>SUM(M!T40:V40)</f>
        <v>952.38095238095229</v>
      </c>
      <c r="I34" s="185">
        <f>SUM(M!W40:Y40)</f>
        <v>476.19047619047615</v>
      </c>
      <c r="J34" s="185">
        <f>SUM(M!Z40:AB40)</f>
        <v>952.38095238095229</v>
      </c>
      <c r="K34" s="185">
        <f>SUM(M!AC40:AE40)</f>
        <v>952.38095238095229</v>
      </c>
      <c r="L34" s="185">
        <f>SUM(M!AF40:AH40)</f>
        <v>0</v>
      </c>
      <c r="M34" s="185">
        <f>SUM(M!AI40:AK40)</f>
        <v>0</v>
      </c>
      <c r="N34" s="185">
        <f>SUM(M!AL40:AN40)</f>
        <v>0</v>
      </c>
      <c r="O34" s="185">
        <f>SUM(M!AO40:AQ40)</f>
        <v>0</v>
      </c>
    </row>
    <row r="35" spans="1:15" x14ac:dyDescent="0.2">
      <c r="A35" s="192" t="s">
        <v>54</v>
      </c>
      <c r="B35" s="185">
        <f>SUM(M!C41:D41)</f>
        <v>4166.666666666667</v>
      </c>
      <c r="C35" s="185">
        <f>SUM(M!E41:G41)</f>
        <v>6502.5906735751305</v>
      </c>
      <c r="D35" s="185">
        <f ca="1">SUM(M!H41:J41)</f>
        <v>10542.4610159407</v>
      </c>
      <c r="E35" s="185">
        <f ca="1">SUM(M!K41:M41)</f>
        <v>15110.860789515002</v>
      </c>
      <c r="F35" s="185">
        <f ca="1">SUM(M!N41:P41)</f>
        <v>130511.64002820745</v>
      </c>
      <c r="G35" s="185">
        <f ca="1">SUM(M!Q41:S41)</f>
        <v>49028.598668526443</v>
      </c>
      <c r="H35" s="185">
        <f ca="1">SUM(M!T41:V41)</f>
        <v>15067.200020534332</v>
      </c>
      <c r="I35" s="185">
        <f ca="1">SUM(M!W41:Y41)</f>
        <v>17708.1621346957</v>
      </c>
      <c r="J35" s="185">
        <f ca="1">SUM(M!Z41:AB41)</f>
        <v>128213.13553037991</v>
      </c>
      <c r="K35" s="185">
        <f ca="1">SUM(M!AC41:AE41)</f>
        <v>49373.605257929259</v>
      </c>
      <c r="L35" s="185">
        <f ca="1">SUM(M!AF41:AH41)</f>
        <v>10251.511079506836</v>
      </c>
      <c r="M35" s="185">
        <f ca="1">SUM(M!AI41:AK41)</f>
        <v>8583.8701412780938</v>
      </c>
      <c r="N35" s="185">
        <f ca="1">SUM(M!AL41:AN41)</f>
        <v>37106.298430359646</v>
      </c>
      <c r="O35" s="185">
        <f ca="1">SUM(M!AO41:AQ41)</f>
        <v>10333.399562884964</v>
      </c>
    </row>
    <row r="36" spans="1:15" x14ac:dyDescent="0.2">
      <c r="A36" s="192" t="s">
        <v>58</v>
      </c>
      <c r="B36" s="185">
        <f>SUM(M!C42:D42)</f>
        <v>0</v>
      </c>
      <c r="C36" s="185">
        <f>SUM(M!E42:G42)</f>
        <v>0</v>
      </c>
      <c r="D36" s="185">
        <f>SUM(M!H42:J42)</f>
        <v>0</v>
      </c>
      <c r="E36" s="185">
        <f>SUM(M!K42:M42)</f>
        <v>0</v>
      </c>
      <c r="F36" s="185">
        <f>SUM(M!N42:P42)</f>
        <v>-25000</v>
      </c>
      <c r="G36" s="185">
        <f>SUM(M!Q42:S42)</f>
        <v>-75000</v>
      </c>
      <c r="H36" s="185">
        <f>SUM(M!T42:V42)</f>
        <v>-18181.81818181818</v>
      </c>
      <c r="I36" s="185">
        <f>SUM(M!W42:Y42)</f>
        <v>-36363.63636363636</v>
      </c>
      <c r="J36" s="185">
        <f>SUM(M!Z42:AB42)</f>
        <v>-36363.636363636368</v>
      </c>
      <c r="K36" s="185">
        <f>SUM(M!AC42:AE42)</f>
        <v>-109090.9090909091</v>
      </c>
      <c r="L36" s="185">
        <f>SUM(M!AF42:AH42)</f>
        <v>-28571.428571428572</v>
      </c>
      <c r="M36" s="185">
        <f>SUM(M!AI42:AK42)</f>
        <v>-57142.857142857145</v>
      </c>
      <c r="N36" s="185">
        <f>SUM(M!AL42:AN42)</f>
        <v>-28571.428571428572</v>
      </c>
      <c r="O36" s="185">
        <f>SUM(M!AO42:AQ42)</f>
        <v>-85714.28571428571</v>
      </c>
    </row>
    <row r="37" spans="1:15" ht="13.5" thickBot="1" x14ac:dyDescent="0.25">
      <c r="A37" s="192" t="s">
        <v>59</v>
      </c>
      <c r="B37" s="185">
        <f>SUM(M!C43:D43)</f>
        <v>-83.3333333333333</v>
      </c>
      <c r="C37" s="185">
        <f>SUM(M!E43:G43)</f>
        <v>-83.3333333333333</v>
      </c>
      <c r="D37" s="185">
        <f>SUM(M!H43:J43)</f>
        <v>-60.606060606060588</v>
      </c>
      <c r="E37" s="185">
        <f>SUM(M!K43:M43)</f>
        <v>-30.303030303030294</v>
      </c>
      <c r="F37" s="185">
        <f>SUM(M!N43:P43)</f>
        <v>-121.2121212121212</v>
      </c>
      <c r="G37" s="185">
        <f>SUM(M!Q43:S43)</f>
        <v>-121.2121212121212</v>
      </c>
      <c r="H37" s="185">
        <f>SUM(M!T43:V43)</f>
        <v>-95.238095238095212</v>
      </c>
      <c r="I37" s="185">
        <f>SUM(M!W43:Y43)</f>
        <v>-47.619047619047606</v>
      </c>
      <c r="J37" s="185">
        <f>SUM(M!Z43:AB43)</f>
        <v>-95.238095238095212</v>
      </c>
      <c r="K37" s="185">
        <f>SUM(M!AC43:AE43)</f>
        <v>-95.238095238095212</v>
      </c>
      <c r="L37" s="185">
        <f>SUM(M!AF43:AH43)</f>
        <v>0</v>
      </c>
      <c r="M37" s="185">
        <f>SUM(M!AI43:AK43)</f>
        <v>0</v>
      </c>
      <c r="N37" s="185">
        <f>SUM(M!AL43:AN43)</f>
        <v>0</v>
      </c>
      <c r="O37" s="185">
        <f>SUM(M!AO43:AQ43)</f>
        <v>0</v>
      </c>
    </row>
    <row r="38" spans="1:15" ht="13.5" thickBot="1" x14ac:dyDescent="0.25">
      <c r="A38" s="182" t="s">
        <v>55</v>
      </c>
      <c r="B38" s="183">
        <f t="shared" ref="B38:O38" si="8">SUM(B33:B37)</f>
        <v>4916.666666666667</v>
      </c>
      <c r="C38" s="183">
        <f t="shared" si="8"/>
        <v>12169.257340241797</v>
      </c>
      <c r="D38" s="183">
        <f t="shared" ca="1" si="8"/>
        <v>23257.172901637041</v>
      </c>
      <c r="E38" s="183">
        <f t="shared" ca="1" si="8"/>
        <v>38640.760963879315</v>
      </c>
      <c r="F38" s="183">
        <f t="shared" ca="1" si="8"/>
        <v>145243.31008299586</v>
      </c>
      <c r="G38" s="183">
        <f t="shared" ca="1" si="8"/>
        <v>120362.8178424314</v>
      </c>
      <c r="H38" s="183">
        <f t="shared" ca="1" si="8"/>
        <v>118105.34253829041</v>
      </c>
      <c r="I38" s="183">
        <f t="shared" ca="1" si="8"/>
        <v>99878.439737921173</v>
      </c>
      <c r="J38" s="183">
        <f t="shared" ca="1" si="8"/>
        <v>192585.08176180755</v>
      </c>
      <c r="K38" s="183">
        <f t="shared" ca="1" si="8"/>
        <v>133724.92078597052</v>
      </c>
      <c r="L38" s="183">
        <f t="shared" ca="1" si="8"/>
        <v>115405.00329404877</v>
      </c>
      <c r="M38" s="183">
        <f t="shared" ca="1" si="8"/>
        <v>66846.016292469722</v>
      </c>
      <c r="N38" s="183">
        <f t="shared" ca="1" si="8"/>
        <v>75380.886151400802</v>
      </c>
      <c r="O38" s="183">
        <f t="shared" ca="1" si="8"/>
        <v>5.8207660913467407E-11</v>
      </c>
    </row>
    <row r="39" spans="1:15" x14ac:dyDescent="0.2">
      <c r="A39" s="193"/>
    </row>
    <row r="40" spans="1:15" ht="13.5" thickBot="1" x14ac:dyDescent="0.25">
      <c r="A40" s="192" t="s">
        <v>61</v>
      </c>
    </row>
    <row r="41" spans="1:15" ht="13.5" thickBot="1" x14ac:dyDescent="0.25">
      <c r="A41" s="194" t="s">
        <v>53</v>
      </c>
      <c r="B41" s="195">
        <v>0</v>
      </c>
      <c r="C41" s="195">
        <f>B46</f>
        <v>2794.8266666666664</v>
      </c>
      <c r="D41" s="195">
        <f t="shared" ref="D41:O41" si="9">C46</f>
        <v>6441.6219343696021</v>
      </c>
      <c r="E41" s="195">
        <f t="shared" ca="1" si="9"/>
        <v>10376.215935245555</v>
      </c>
      <c r="F41" s="195">
        <f t="shared" ca="1" si="9"/>
        <v>14571.827477915229</v>
      </c>
      <c r="G41" s="195">
        <f t="shared" ca="1" si="9"/>
        <v>32044.960845782702</v>
      </c>
      <c r="H41" s="195">
        <f t="shared" ca="1" si="9"/>
        <v>26684.993343031369</v>
      </c>
      <c r="I41" s="195">
        <f t="shared" ca="1" si="9"/>
        <v>27924.730437020611</v>
      </c>
      <c r="J41" s="195">
        <f t="shared" ca="1" si="9"/>
        <v>25035.52893904315</v>
      </c>
      <c r="K41" s="195">
        <f t="shared" ca="1" si="9"/>
        <v>39388.740117084977</v>
      </c>
      <c r="L41" s="195">
        <f t="shared" ca="1" si="9"/>
        <v>26482.356784562242</v>
      </c>
      <c r="M41" s="195">
        <f t="shared" ca="1" si="9"/>
        <v>23461.597922678746</v>
      </c>
      <c r="N41" s="195">
        <f t="shared" ca="1" si="9"/>
        <v>14127.467396251415</v>
      </c>
      <c r="O41" s="195">
        <f t="shared" ca="1" si="9"/>
        <v>15134.926636995839</v>
      </c>
    </row>
    <row r="42" spans="1:15" x14ac:dyDescent="0.2">
      <c r="A42" s="192" t="s">
        <v>52</v>
      </c>
      <c r="B42" s="198">
        <f>SUM(M!C48:D48)</f>
        <v>1166.6666666666665</v>
      </c>
      <c r="C42" s="198">
        <f>SUM(M!E48:G48)</f>
        <v>1166.6666666666665</v>
      </c>
      <c r="D42" s="198">
        <f>SUM(M!H48:J48)</f>
        <v>848.48484848484838</v>
      </c>
      <c r="E42" s="198">
        <f>SUM(M!K48:M48)</f>
        <v>424.24242424242419</v>
      </c>
      <c r="F42" s="198">
        <f>SUM(M!N48:P48)</f>
        <v>1696.969696969697</v>
      </c>
      <c r="G42" s="198">
        <f>SUM(M!Q48:S48)</f>
        <v>1696.969696969697</v>
      </c>
      <c r="H42" s="198">
        <f>SUM(M!T48:V48)</f>
        <v>1333.3333333333333</v>
      </c>
      <c r="I42" s="198">
        <f>SUM(M!W48:Y48)</f>
        <v>666.66666666666663</v>
      </c>
      <c r="J42" s="198">
        <f>SUM(M!Z48:AB48)</f>
        <v>1333.3333333333333</v>
      </c>
      <c r="K42" s="198">
        <f>SUM(M!AC48:AE48)</f>
        <v>1333.3333333333333</v>
      </c>
      <c r="L42" s="198">
        <f>SUM(M!AF48:AH48)</f>
        <v>0</v>
      </c>
      <c r="M42" s="198">
        <f>SUM(M!AI48:AK48)</f>
        <v>0</v>
      </c>
      <c r="N42" s="198">
        <f>SUM(M!AL48:AN48)</f>
        <v>0</v>
      </c>
      <c r="O42" s="198">
        <f>SUM(M!AO48:AQ48)</f>
        <v>0</v>
      </c>
    </row>
    <row r="43" spans="1:15" x14ac:dyDescent="0.2">
      <c r="A43" s="192" t="s">
        <v>198</v>
      </c>
      <c r="B43" s="198">
        <f>SUM(M!C49:D49)</f>
        <v>625</v>
      </c>
      <c r="C43" s="198">
        <f>SUM(M!E49:G49)</f>
        <v>975.38860103626939</v>
      </c>
      <c r="D43" s="198">
        <f ca="1">SUM(M!H49:J49)</f>
        <v>1581.3691523911052</v>
      </c>
      <c r="E43" s="198">
        <f ca="1">SUM(M!K49:M49)</f>
        <v>2266.6291184272504</v>
      </c>
      <c r="F43" s="198">
        <f ca="1">SUM(M!N49:P49)</f>
        <v>19576.746004231114</v>
      </c>
      <c r="G43" s="198">
        <f ca="1">SUM(M!Q49:S49)</f>
        <v>7354.2898002789661</v>
      </c>
      <c r="H43" s="198">
        <f ca="1">SUM(M!T49:V49)</f>
        <v>2260.0800030801502</v>
      </c>
      <c r="I43" s="198">
        <f ca="1">SUM(M!W49:Y49)</f>
        <v>2656.2243202043551</v>
      </c>
      <c r="J43" s="198">
        <f ca="1">SUM(M!Z49:AB49)</f>
        <v>19231.970329556985</v>
      </c>
      <c r="K43" s="198">
        <f ca="1">SUM(M!AC49:AE49)</f>
        <v>7406.040788689389</v>
      </c>
      <c r="L43" s="198">
        <f ca="1">SUM(M!AF49:AH49)</f>
        <v>1537.7266619260249</v>
      </c>
      <c r="M43" s="198">
        <f ca="1">SUM(M!AI49:AK49)</f>
        <v>1287.5805211917138</v>
      </c>
      <c r="N43" s="198">
        <f ca="1">SUM(M!AL49:AN49)</f>
        <v>5565.9447645539458</v>
      </c>
      <c r="O43" s="198">
        <f ca="1">SUM(M!AO49:AQ49)</f>
        <v>1550.0099344327448</v>
      </c>
    </row>
    <row r="44" spans="1:15" x14ac:dyDescent="0.2">
      <c r="A44" s="192" t="s">
        <v>199</v>
      </c>
      <c r="B44" s="198">
        <f>SUM(M!C50:D50)</f>
        <v>1003.16</v>
      </c>
      <c r="C44" s="198">
        <f>SUM(M!E50:G50)</f>
        <v>1504.74</v>
      </c>
      <c r="D44" s="198">
        <f>SUM(M!H50:J50)</f>
        <v>1504.74</v>
      </c>
      <c r="E44" s="198">
        <f>SUM(M!K50:M50)</f>
        <v>1504.74</v>
      </c>
      <c r="F44" s="198">
        <f>SUM(M!N50:P50)</f>
        <v>1504.74</v>
      </c>
      <c r="G44" s="198">
        <f>SUM(M!Q50:S50)</f>
        <v>1504.74</v>
      </c>
      <c r="H44" s="198">
        <f>SUM(M!T50:V50)</f>
        <v>1504.74</v>
      </c>
      <c r="I44" s="198">
        <f>SUM(M!W50:Y50)</f>
        <v>1504.74</v>
      </c>
      <c r="J44" s="198">
        <f>SUM(M!Z50:AB50)</f>
        <v>1504.74</v>
      </c>
      <c r="K44" s="198">
        <f>SUM(M!AC50:AE50)</f>
        <v>1504.74</v>
      </c>
      <c r="L44" s="198">
        <f>SUM(M!AF50:AH50)</f>
        <v>1504.74</v>
      </c>
      <c r="M44" s="198">
        <f>SUM(M!AI50:AK50)</f>
        <v>1504.74</v>
      </c>
      <c r="N44" s="198">
        <f>SUM(M!AL50:AN50)</f>
        <v>1504.74</v>
      </c>
      <c r="O44" s="198">
        <f>SUM(M!AO50:AQ50)</f>
        <v>1504.74</v>
      </c>
    </row>
    <row r="45" spans="1:15" ht="13.5" thickBot="1" x14ac:dyDescent="0.25">
      <c r="A45" s="192" t="s">
        <v>217</v>
      </c>
      <c r="B45" s="198">
        <f>SUM(M!C51:D51)</f>
        <v>0</v>
      </c>
      <c r="C45" s="198">
        <f>SUM(M!E51:G51)</f>
        <v>0</v>
      </c>
      <c r="D45" s="198">
        <f>SUM(M!H51:J51)</f>
        <v>0</v>
      </c>
      <c r="E45" s="198">
        <f>SUM(M!K51:M51)</f>
        <v>0</v>
      </c>
      <c r="F45" s="198">
        <f>SUM(M!N51:P51)</f>
        <v>-5305.3223333333326</v>
      </c>
      <c r="G45" s="198">
        <f>SUM(M!Q51:S51)</f>
        <v>-15915.966999999997</v>
      </c>
      <c r="H45" s="198">
        <f>SUM(M!T51:V51)</f>
        <v>-3858.4162424242418</v>
      </c>
      <c r="I45" s="198">
        <f>SUM(M!W51:Y51)</f>
        <v>-7716.8324848484835</v>
      </c>
      <c r="J45" s="198">
        <f>SUM(M!Z51:AB51)</f>
        <v>-7716.8324848484854</v>
      </c>
      <c r="K45" s="198">
        <f>SUM(M!AC51:AE51)</f>
        <v>-23150.497454545457</v>
      </c>
      <c r="L45" s="198">
        <f>SUM(M!AF51:AH51)</f>
        <v>-6063.2255238095231</v>
      </c>
      <c r="M45" s="198">
        <f>SUM(M!AI51:AK51)</f>
        <v>-12126.451047619046</v>
      </c>
      <c r="N45" s="198">
        <f>SUM(M!AL51:AN51)</f>
        <v>-6063.2255238095231</v>
      </c>
      <c r="O45" s="198">
        <f>SUM(M!AO51:AQ51)</f>
        <v>-18189.676571428568</v>
      </c>
    </row>
    <row r="46" spans="1:15" ht="13.5" thickBot="1" x14ac:dyDescent="0.25">
      <c r="A46" s="194" t="s">
        <v>55</v>
      </c>
      <c r="B46" s="195">
        <f t="shared" ref="B46:O46" si="10">SUM(B41:B45)</f>
        <v>2794.8266666666664</v>
      </c>
      <c r="C46" s="195">
        <f t="shared" si="10"/>
        <v>6441.6219343696021</v>
      </c>
      <c r="D46" s="195">
        <f t="shared" ca="1" si="10"/>
        <v>10376.215935245555</v>
      </c>
      <c r="E46" s="195">
        <f t="shared" ca="1" si="10"/>
        <v>14571.827477915229</v>
      </c>
      <c r="F46" s="195">
        <f t="shared" ca="1" si="10"/>
        <v>32044.960845782702</v>
      </c>
      <c r="G46" s="195">
        <f t="shared" ca="1" si="10"/>
        <v>26684.993343031369</v>
      </c>
      <c r="H46" s="195">
        <f t="shared" ca="1" si="10"/>
        <v>27924.730437020611</v>
      </c>
      <c r="I46" s="195">
        <f t="shared" ca="1" si="10"/>
        <v>25035.52893904315</v>
      </c>
      <c r="J46" s="195">
        <f t="shared" ca="1" si="10"/>
        <v>39388.740117084977</v>
      </c>
      <c r="K46" s="195">
        <f t="shared" ca="1" si="10"/>
        <v>26482.356784562242</v>
      </c>
      <c r="L46" s="195">
        <f t="shared" ca="1" si="10"/>
        <v>23461.597922678746</v>
      </c>
      <c r="M46" s="195">
        <f t="shared" ca="1" si="10"/>
        <v>14127.467396251415</v>
      </c>
      <c r="N46" s="195">
        <f t="shared" ca="1" si="10"/>
        <v>15134.926636995839</v>
      </c>
      <c r="O46" s="195">
        <f t="shared" ca="1" si="10"/>
        <v>0</v>
      </c>
    </row>
    <row r="47" spans="1:15" x14ac:dyDescent="0.2">
      <c r="A47" s="193"/>
      <c r="B47" s="200"/>
    </row>
    <row r="48" spans="1:15" ht="13.5" thickBot="1" x14ac:dyDescent="0.25">
      <c r="A48" s="176" t="s">
        <v>101</v>
      </c>
      <c r="B48" s="200"/>
    </row>
    <row r="49" spans="1:15" ht="13.5" thickBot="1" x14ac:dyDescent="0.25">
      <c r="A49" s="201" t="s">
        <v>218</v>
      </c>
      <c r="B49" s="202">
        <f>SUM(M!C55:D55)</f>
        <v>0</v>
      </c>
      <c r="C49" s="202">
        <f>SUM(M!E55:G55)</f>
        <v>0</v>
      </c>
      <c r="D49" s="202">
        <f>SUM(M!H55:J55)</f>
        <v>0</v>
      </c>
      <c r="E49" s="202">
        <f>SUM(M!K55:M55)</f>
        <v>0</v>
      </c>
      <c r="F49" s="202">
        <f>SUM(M!N55:P55)</f>
        <v>9062.5</v>
      </c>
      <c r="G49" s="202">
        <f>SUM(M!Q55:S55)</f>
        <v>27187.5</v>
      </c>
      <c r="H49" s="202">
        <f>SUM(M!T55:V55)</f>
        <v>6590.9090909090901</v>
      </c>
      <c r="I49" s="202">
        <f>SUM(M!W55:Y55)</f>
        <v>13181.81818181818</v>
      </c>
      <c r="J49" s="202">
        <f>SUM(M!Z55:AB55)</f>
        <v>13181.818181818184</v>
      </c>
      <c r="K49" s="202">
        <f>SUM(M!AC55:AE55)</f>
        <v>39545.454545454551</v>
      </c>
      <c r="L49" s="202">
        <f>SUM(M!AF55:AH55)</f>
        <v>10357.142857142859</v>
      </c>
      <c r="M49" s="202">
        <f>SUM(M!AI55:AK55)</f>
        <v>20714.285714285717</v>
      </c>
      <c r="N49" s="202">
        <f>SUM(M!AL55:AN55)</f>
        <v>10357.142857142859</v>
      </c>
      <c r="O49" s="202">
        <f>SUM(M!AO55:AQ55)</f>
        <v>31071.428571428576</v>
      </c>
    </row>
    <row r="50" spans="1:15" outlineLevel="1" x14ac:dyDescent="0.2">
      <c r="A50" s="192" t="s">
        <v>7</v>
      </c>
      <c r="B50" s="185">
        <f>SUM(M!C56:D56)</f>
        <v>0</v>
      </c>
      <c r="C50" s="185">
        <f>SUM(M!E56:G56)</f>
        <v>0</v>
      </c>
      <c r="D50" s="185">
        <f>SUM(M!H56:J56)</f>
        <v>0</v>
      </c>
      <c r="E50" s="185">
        <f>SUM(M!K56:M56)</f>
        <v>0</v>
      </c>
      <c r="F50" s="185">
        <f>SUM(M!N56:P56)</f>
        <v>750</v>
      </c>
      <c r="G50" s="185">
        <f>SUM(M!Q56:S56)</f>
        <v>2250</v>
      </c>
      <c r="H50" s="185">
        <f>SUM(M!T56:V56)</f>
        <v>545.45454545454538</v>
      </c>
      <c r="I50" s="185">
        <f>SUM(M!W56:Y56)</f>
        <v>1090.9090909090908</v>
      </c>
      <c r="J50" s="185">
        <f>SUM(M!Z56:AB56)</f>
        <v>1090.909090909091</v>
      </c>
      <c r="K50" s="185">
        <f>SUM(M!AC56:AE56)</f>
        <v>3272.727272727273</v>
      </c>
      <c r="L50" s="185">
        <f>SUM(M!AF56:AH56)</f>
        <v>857.14285714285711</v>
      </c>
      <c r="M50" s="185">
        <f>SUM(M!AI56:AK56)</f>
        <v>1714.2857142857142</v>
      </c>
      <c r="N50" s="185">
        <f>SUM(M!AL56:AN56)</f>
        <v>857.14285714285711</v>
      </c>
      <c r="O50" s="185">
        <f>SUM(M!AO56:AQ56)</f>
        <v>2571.4285714285716</v>
      </c>
    </row>
    <row r="51" spans="1:15" outlineLevel="1" x14ac:dyDescent="0.2">
      <c r="A51" s="192" t="s">
        <v>8</v>
      </c>
      <c r="B51" s="185">
        <f>SUM(M!C57:D57)</f>
        <v>0</v>
      </c>
      <c r="C51" s="185">
        <f>SUM(M!E57:G57)</f>
        <v>0</v>
      </c>
      <c r="D51" s="185">
        <f>SUM(M!H57:J57)</f>
        <v>0</v>
      </c>
      <c r="E51" s="185">
        <f>SUM(M!K57:M57)</f>
        <v>0</v>
      </c>
      <c r="F51" s="185">
        <f>SUM(M!N57:P57)</f>
        <v>7875</v>
      </c>
      <c r="G51" s="185">
        <f>SUM(M!Q57:S57)</f>
        <v>23625</v>
      </c>
      <c r="H51" s="185">
        <f>SUM(M!T57:V57)</f>
        <v>5727.272727272727</v>
      </c>
      <c r="I51" s="185">
        <f>SUM(M!W57:Y57)</f>
        <v>11454.545454545454</v>
      </c>
      <c r="J51" s="185">
        <f>SUM(M!Z57:AB57)</f>
        <v>11454.545454545458</v>
      </c>
      <c r="K51" s="185">
        <f>SUM(M!AC57:AE57)</f>
        <v>34363.636363636375</v>
      </c>
      <c r="L51" s="185">
        <f>SUM(M!AF57:AH57)</f>
        <v>9000.0000000000018</v>
      </c>
      <c r="M51" s="185">
        <f>SUM(M!AI57:AK57)</f>
        <v>18000.000000000004</v>
      </c>
      <c r="N51" s="185">
        <f>SUM(M!AL57:AN57)</f>
        <v>9000.0000000000018</v>
      </c>
      <c r="O51" s="185">
        <f>SUM(M!AO57:AQ57)</f>
        <v>27000.000000000007</v>
      </c>
    </row>
    <row r="52" spans="1:15" outlineLevel="1" x14ac:dyDescent="0.2">
      <c r="A52" s="192" t="s">
        <v>9</v>
      </c>
      <c r="B52" s="185">
        <f>SUM(M!C58:D58)</f>
        <v>0</v>
      </c>
      <c r="C52" s="185">
        <f>SUM(M!E58:G58)</f>
        <v>0</v>
      </c>
      <c r="D52" s="185">
        <f>SUM(M!H58:J58)</f>
        <v>0</v>
      </c>
      <c r="E52" s="185">
        <f>SUM(M!K58:M58)</f>
        <v>0</v>
      </c>
      <c r="F52" s="185">
        <f>SUM(M!N58:P58)</f>
        <v>437.5</v>
      </c>
      <c r="G52" s="185">
        <f>SUM(M!Q58:S58)</f>
        <v>1312.5</v>
      </c>
      <c r="H52" s="185">
        <f>SUM(M!T58:V58)</f>
        <v>318.18181818181819</v>
      </c>
      <c r="I52" s="185">
        <f>SUM(M!W58:Y58)</f>
        <v>636.36363636363637</v>
      </c>
      <c r="J52" s="185">
        <f>SUM(M!Z58:AB58)</f>
        <v>636.36363636363649</v>
      </c>
      <c r="K52" s="185">
        <f>SUM(M!AC58:AE58)</f>
        <v>1909.0909090909095</v>
      </c>
      <c r="L52" s="185">
        <f>SUM(M!AF58:AH58)</f>
        <v>500.00000000000006</v>
      </c>
      <c r="M52" s="185">
        <f>SUM(M!AI58:AK58)</f>
        <v>1000.0000000000001</v>
      </c>
      <c r="N52" s="185">
        <f>SUM(M!AL58:AN58)</f>
        <v>500.00000000000006</v>
      </c>
      <c r="O52" s="185">
        <f>SUM(M!AO58:AQ58)</f>
        <v>1500.0000000000002</v>
      </c>
    </row>
    <row r="53" spans="1:15" ht="5.0999999999999996" customHeight="1" thickBot="1" x14ac:dyDescent="0.25">
      <c r="B53" s="200"/>
      <c r="C53" s="200"/>
      <c r="D53" s="200"/>
      <c r="E53" s="200"/>
      <c r="F53" s="200"/>
      <c r="G53" s="200"/>
      <c r="H53" s="200"/>
      <c r="I53" s="200"/>
      <c r="J53" s="200"/>
      <c r="K53" s="200"/>
      <c r="L53" s="200"/>
      <c r="M53" s="200"/>
      <c r="N53" s="200"/>
      <c r="O53" s="200"/>
    </row>
    <row r="54" spans="1:15" ht="13.5" thickBot="1" x14ac:dyDescent="0.25">
      <c r="A54" s="201" t="s">
        <v>125</v>
      </c>
      <c r="B54" s="202">
        <f>SUM(M!C61:D61)</f>
        <v>1166.6666666666665</v>
      </c>
      <c r="C54" s="202">
        <f>SUM(M!E61:G61)</f>
        <v>1166.6666666666665</v>
      </c>
      <c r="D54" s="202">
        <f>SUM(M!H61:J61)</f>
        <v>848.48484848484838</v>
      </c>
      <c r="E54" s="202">
        <f>SUM(M!K61:M61)</f>
        <v>424.24242424242419</v>
      </c>
      <c r="F54" s="202">
        <f>SUM(M!N61:P61)</f>
        <v>1696.969696969697</v>
      </c>
      <c r="G54" s="202">
        <f>SUM(M!Q61:S61)</f>
        <v>1696.969696969697</v>
      </c>
      <c r="H54" s="202">
        <f>SUM(M!T61:V61)</f>
        <v>1333.3333333333333</v>
      </c>
      <c r="I54" s="202">
        <f>SUM(M!W61:Y61)</f>
        <v>666.66666666666663</v>
      </c>
      <c r="J54" s="202">
        <f>SUM(M!Z61:AB61)</f>
        <v>1333.3333333333333</v>
      </c>
      <c r="K54" s="202">
        <f>SUM(M!AC61:AE61)</f>
        <v>1333.3333333333333</v>
      </c>
      <c r="L54" s="202">
        <f>SUM(M!AF61:AH61)</f>
        <v>0</v>
      </c>
      <c r="M54" s="202">
        <f>SUM(M!AI61:AK61)</f>
        <v>0</v>
      </c>
      <c r="N54" s="202">
        <f>SUM(M!AL61:AN61)</f>
        <v>0</v>
      </c>
      <c r="O54" s="202">
        <f>SUM(M!AO61:AQ61)</f>
        <v>0</v>
      </c>
    </row>
    <row r="55" spans="1:15" ht="5.0999999999999996" customHeight="1" thickBot="1" x14ac:dyDescent="0.25">
      <c r="B55" s="185"/>
      <c r="C55" s="185"/>
      <c r="D55" s="185"/>
      <c r="E55" s="185"/>
      <c r="F55" s="185"/>
      <c r="G55" s="185"/>
      <c r="H55" s="185"/>
      <c r="I55" s="185"/>
      <c r="J55" s="185"/>
      <c r="K55" s="185"/>
      <c r="L55" s="185"/>
      <c r="M55" s="185"/>
      <c r="N55" s="185"/>
      <c r="O55" s="185"/>
    </row>
    <row r="56" spans="1:15" ht="13.5" thickBot="1" x14ac:dyDescent="0.25">
      <c r="A56" s="201" t="s">
        <v>14</v>
      </c>
      <c r="B56" s="202">
        <f>SUM(M!C65:D65)</f>
        <v>0</v>
      </c>
      <c r="C56" s="202">
        <f>SUM(M!E65:G65)</f>
        <v>0</v>
      </c>
      <c r="D56" s="202">
        <f>SUM(M!H65:J65)</f>
        <v>0</v>
      </c>
      <c r="E56" s="202">
        <f>SUM(M!K65:M65)</f>
        <v>0</v>
      </c>
      <c r="F56" s="202">
        <f>SUM(M!N65:P65)</f>
        <v>9062.5</v>
      </c>
      <c r="G56" s="202">
        <f>SUM(M!Q65:S65)</f>
        <v>27187.5</v>
      </c>
      <c r="H56" s="202">
        <f>SUM(M!T65:V65)</f>
        <v>6590.9090909090901</v>
      </c>
      <c r="I56" s="202">
        <f>SUM(M!W65:Y65)</f>
        <v>13181.81818181818</v>
      </c>
      <c r="J56" s="202">
        <f>SUM(M!Z65:AB65)</f>
        <v>13181.818181818184</v>
      </c>
      <c r="K56" s="202">
        <f>SUM(M!AC65:AE65)</f>
        <v>39545.454545454551</v>
      </c>
      <c r="L56" s="202">
        <f>SUM(M!AF65:AH65)</f>
        <v>10357.142857142859</v>
      </c>
      <c r="M56" s="202">
        <f>SUM(M!AI65:AK65)</f>
        <v>20714.285714285717</v>
      </c>
      <c r="N56" s="202">
        <f>SUM(M!AL65:AN65)</f>
        <v>10357.142857142859</v>
      </c>
      <c r="O56" s="202">
        <f>SUM(M!AO65:AQ65)</f>
        <v>31071.428571428576</v>
      </c>
    </row>
    <row r="57" spans="1:15" ht="5.0999999999999996" customHeight="1" thickBot="1" x14ac:dyDescent="0.25">
      <c r="A57" s="205" t="s">
        <v>21</v>
      </c>
      <c r="B57" s="200"/>
      <c r="C57" s="200"/>
      <c r="D57" s="200"/>
      <c r="E57" s="200"/>
      <c r="F57" s="200"/>
      <c r="G57" s="200"/>
      <c r="H57" s="200"/>
      <c r="I57" s="200"/>
      <c r="J57" s="200"/>
      <c r="K57" s="200"/>
      <c r="L57" s="200"/>
      <c r="M57" s="200"/>
      <c r="N57" s="200"/>
      <c r="O57" s="200"/>
    </row>
    <row r="58" spans="1:15" ht="13.5" thickBot="1" x14ac:dyDescent="0.25">
      <c r="A58" s="201" t="s">
        <v>22</v>
      </c>
      <c r="B58" s="202">
        <f>SUM(M!C74:D74)</f>
        <v>874.99999999999989</v>
      </c>
      <c r="C58" s="202">
        <f>SUM(M!E74:G74)</f>
        <v>1458.333333333333</v>
      </c>
      <c r="D58" s="202">
        <f>SUM(M!H74:J74)</f>
        <v>636.36363636363626</v>
      </c>
      <c r="E58" s="202">
        <f>SUM(M!K74:M74)</f>
        <v>636.36363636363626</v>
      </c>
      <c r="F58" s="202">
        <f>SUM(M!N74:P74)</f>
        <v>1272.7272727272727</v>
      </c>
      <c r="G58" s="202">
        <f>SUM(M!Q74:S74)</f>
        <v>2121.212121212121</v>
      </c>
      <c r="H58" s="202">
        <f>SUM(M!T74:V74)</f>
        <v>1000</v>
      </c>
      <c r="I58" s="202">
        <f>SUM(M!W74:Y74)</f>
        <v>1000</v>
      </c>
      <c r="J58" s="202">
        <f>SUM(M!Z74:AB74)</f>
        <v>1000</v>
      </c>
      <c r="K58" s="202">
        <f>SUM(M!AC74:AE74)</f>
        <v>1666.6666666666665</v>
      </c>
      <c r="L58" s="202">
        <f>SUM(M!AF74:AH74)</f>
        <v>0</v>
      </c>
      <c r="M58" s="202">
        <f>SUM(M!AI74:AK74)</f>
        <v>0</v>
      </c>
      <c r="N58" s="202">
        <f>SUM(M!AL74:AN74)</f>
        <v>0</v>
      </c>
      <c r="O58" s="202">
        <f>SUM(M!AO74:AQ74)</f>
        <v>0</v>
      </c>
    </row>
    <row r="59" spans="1:15" ht="5.0999999999999996" customHeight="1" thickBot="1" x14ac:dyDescent="0.25">
      <c r="B59" s="200"/>
      <c r="C59" s="200"/>
      <c r="D59" s="200"/>
      <c r="E59" s="200"/>
      <c r="F59" s="200"/>
      <c r="G59" s="200"/>
      <c r="H59" s="200"/>
      <c r="I59" s="200"/>
      <c r="J59" s="200"/>
      <c r="K59" s="200"/>
      <c r="L59" s="200"/>
      <c r="M59" s="200"/>
      <c r="N59" s="200"/>
      <c r="O59" s="200"/>
    </row>
    <row r="60" spans="1:15" ht="13.5" thickBot="1" x14ac:dyDescent="0.25">
      <c r="A60" s="201" t="s">
        <v>23</v>
      </c>
      <c r="B60" s="202">
        <f>SUM(M!C83:D83)</f>
        <v>675</v>
      </c>
      <c r="C60" s="202">
        <f>SUM(M!E83:G83)</f>
        <v>1050</v>
      </c>
      <c r="D60" s="202">
        <f>SUM(M!H83:J83)</f>
        <v>1500</v>
      </c>
      <c r="E60" s="202">
        <f>SUM(M!K83:M83)</f>
        <v>2250</v>
      </c>
      <c r="F60" s="202">
        <f>SUM(M!N83:P83)</f>
        <v>19650</v>
      </c>
      <c r="G60" s="202">
        <f>SUM(M!Q83:S83)</f>
        <v>7350</v>
      </c>
      <c r="H60" s="202">
        <f>SUM(M!T83:V83)</f>
        <v>2250</v>
      </c>
      <c r="I60" s="202">
        <f>SUM(M!W83:Y83)</f>
        <v>2700</v>
      </c>
      <c r="J60" s="202">
        <f>SUM(M!Z83:AB83)</f>
        <v>19350</v>
      </c>
      <c r="K60" s="202">
        <f>SUM(M!AC83:AE83)</f>
        <v>7650</v>
      </c>
      <c r="L60" s="202">
        <f>SUM(M!AF83:AH83)</f>
        <v>1050</v>
      </c>
      <c r="M60" s="202">
        <f>SUM(M!AI83:AK83)</f>
        <v>1350</v>
      </c>
      <c r="N60" s="202">
        <f>SUM(M!AL83:AN83)</f>
        <v>5700</v>
      </c>
      <c r="O60" s="202">
        <f>SUM(M!AO83:AQ83)</f>
        <v>1350</v>
      </c>
    </row>
    <row r="61" spans="1:15" ht="15.75" x14ac:dyDescent="0.25">
      <c r="A61" s="206"/>
      <c r="B61" s="200"/>
    </row>
    <row r="62" spans="1:15" ht="16.5" thickBot="1" x14ac:dyDescent="0.3">
      <c r="A62" s="206" t="s">
        <v>90</v>
      </c>
      <c r="B62" s="200"/>
    </row>
    <row r="63" spans="1:15" ht="13.5" thickBot="1" x14ac:dyDescent="0.25">
      <c r="A63" s="207" t="s">
        <v>92</v>
      </c>
      <c r="B63" s="208">
        <f>SUM(M!C95:D95)</f>
        <v>0</v>
      </c>
      <c r="C63" s="208">
        <f>SUM(M!E95:G95)</f>
        <v>0</v>
      </c>
      <c r="D63" s="208">
        <f>SUM(M!H95:J95)</f>
        <v>0</v>
      </c>
      <c r="E63" s="208">
        <f>SUM(M!K95:M95)</f>
        <v>0</v>
      </c>
      <c r="F63" s="208">
        <f>SUM(M!N95:P95)</f>
        <v>9062.5</v>
      </c>
      <c r="G63" s="208">
        <f>SUM(M!Q95:S95)</f>
        <v>27187.5</v>
      </c>
      <c r="H63" s="208">
        <f>SUM(M!T95:V95)</f>
        <v>6590.9090909090901</v>
      </c>
      <c r="I63" s="208">
        <f>SUM(M!W95:Y95)</f>
        <v>13181.81818181818</v>
      </c>
      <c r="J63" s="208">
        <f>SUM(M!Z95:AB95)</f>
        <v>13181.818181818184</v>
      </c>
      <c r="K63" s="208">
        <f>SUM(M!AC95:AE95)</f>
        <v>39545.454545454551</v>
      </c>
      <c r="L63" s="208">
        <f>SUM(M!AF95:AH95)</f>
        <v>10357.142857142859</v>
      </c>
      <c r="M63" s="208">
        <f>SUM(M!AI95:AK95)</f>
        <v>20714.285714285717</v>
      </c>
      <c r="N63" s="208">
        <f>SUM(M!AL95:AN95)</f>
        <v>10357.142857142859</v>
      </c>
      <c r="O63" s="208">
        <f>SUM(M!AO95:AQ95)</f>
        <v>31071.428571428576</v>
      </c>
    </row>
    <row r="64" spans="1:15" ht="13.5" thickBot="1" x14ac:dyDescent="0.25">
      <c r="A64" s="177" t="s">
        <v>91</v>
      </c>
      <c r="B64" s="210">
        <f>SUM(M!C96:D96)</f>
        <v>0</v>
      </c>
      <c r="C64" s="210">
        <f>SUM(M!E96:G96)</f>
        <v>0</v>
      </c>
      <c r="D64" s="210">
        <f>SUM(M!H96:J96)</f>
        <v>0</v>
      </c>
      <c r="E64" s="210">
        <f>SUM(M!K96:M96)</f>
        <v>0</v>
      </c>
      <c r="F64" s="210">
        <f>SUM(M!N96:P96)</f>
        <v>-5305.3223333333326</v>
      </c>
      <c r="G64" s="210">
        <f>SUM(M!Q96:S96)</f>
        <v>-15915.966999999997</v>
      </c>
      <c r="H64" s="210">
        <f>SUM(M!T96:V96)</f>
        <v>-3858.4162424242418</v>
      </c>
      <c r="I64" s="210">
        <f>SUM(M!W96:Y96)</f>
        <v>-7716.8324848484835</v>
      </c>
      <c r="J64" s="210">
        <f>SUM(M!Z96:AB96)</f>
        <v>-7716.8324848484854</v>
      </c>
      <c r="K64" s="210">
        <f>SUM(M!AC96:AE96)</f>
        <v>-23150.497454545457</v>
      </c>
      <c r="L64" s="210">
        <f>SUM(M!AF96:AH96)</f>
        <v>-6063.2255238095231</v>
      </c>
      <c r="M64" s="210">
        <f>SUM(M!AI96:AK96)</f>
        <v>-12126.451047619046</v>
      </c>
      <c r="N64" s="210">
        <f>SUM(M!AL96:AN96)</f>
        <v>-6063.2255238095231</v>
      </c>
      <c r="O64" s="210">
        <f>SUM(M!AO96:AQ96)</f>
        <v>-18189.676571428568</v>
      </c>
    </row>
    <row r="65" spans="1:15" ht="13.5" thickBot="1" x14ac:dyDescent="0.25">
      <c r="A65" s="207" t="s">
        <v>76</v>
      </c>
      <c r="B65" s="208">
        <f>SUM(M!C97:D97)</f>
        <v>0</v>
      </c>
      <c r="C65" s="208">
        <f>SUM(M!E97:G97)</f>
        <v>0</v>
      </c>
      <c r="D65" s="208">
        <f>SUM(M!H97:J97)</f>
        <v>0</v>
      </c>
      <c r="E65" s="208">
        <f>SUM(M!K97:M97)</f>
        <v>0</v>
      </c>
      <c r="F65" s="208">
        <f>SUM(M!N97:P97)</f>
        <v>3757.1776666666674</v>
      </c>
      <c r="G65" s="208">
        <f>SUM(M!Q97:S97)</f>
        <v>11271.533000000003</v>
      </c>
      <c r="H65" s="208">
        <f>SUM(M!T97:V97)</f>
        <v>2732.4928484848483</v>
      </c>
      <c r="I65" s="208">
        <f>SUM(M!W97:Y97)</f>
        <v>5464.9856969696966</v>
      </c>
      <c r="J65" s="208">
        <f>SUM(M!Z97:AB97)</f>
        <v>5464.9856969696984</v>
      </c>
      <c r="K65" s="208">
        <f>SUM(M!AC97:AE97)</f>
        <v>16394.957090909094</v>
      </c>
      <c r="L65" s="208">
        <f>SUM(M!AF97:AH97)</f>
        <v>4293.9173333333356</v>
      </c>
      <c r="M65" s="208">
        <f>SUM(M!AI97:AK97)</f>
        <v>8587.8346666666712</v>
      </c>
      <c r="N65" s="208">
        <f>SUM(M!AL97:AN97)</f>
        <v>4293.9173333333356</v>
      </c>
      <c r="O65" s="208">
        <f>SUM(M!AO97:AQ97)</f>
        <v>12881.752000000008</v>
      </c>
    </row>
    <row r="66" spans="1:15" ht="13.5" thickBot="1" x14ac:dyDescent="0.25">
      <c r="A66" s="207" t="s">
        <v>200</v>
      </c>
      <c r="B66" s="208">
        <f>SUM(M!C98:D98)</f>
        <v>0</v>
      </c>
      <c r="C66" s="208">
        <f>SUM(M!E98:G98)</f>
        <v>0</v>
      </c>
      <c r="D66" s="208">
        <f>SUM(M!H98:J98)</f>
        <v>931.5</v>
      </c>
      <c r="E66" s="208">
        <f>SUM(M!K98:M98)</f>
        <v>0</v>
      </c>
      <c r="F66" s="208">
        <f>SUM(M!N98:P98)</f>
        <v>0</v>
      </c>
      <c r="G66" s="208">
        <f>SUM(M!Q98:S98)</f>
        <v>0</v>
      </c>
      <c r="H66" s="208">
        <f>SUM(M!T98:V98)</f>
        <v>9315</v>
      </c>
      <c r="I66" s="208">
        <f>SUM(M!W98:Y98)</f>
        <v>0</v>
      </c>
      <c r="J66" s="208">
        <f>SUM(M!Z98:AB98)</f>
        <v>0</v>
      </c>
      <c r="K66" s="208">
        <f>SUM(M!AC98:AE98)</f>
        <v>0</v>
      </c>
      <c r="L66" s="208">
        <f>SUM(M!AF98:AH98)</f>
        <v>9750</v>
      </c>
      <c r="M66" s="208">
        <f>SUM(M!AI98:AK98)</f>
        <v>0</v>
      </c>
      <c r="N66" s="208">
        <f>SUM(M!AL98:AN98)</f>
        <v>0</v>
      </c>
      <c r="O66" s="208">
        <f>SUM(M!AO98:AQ98)</f>
        <v>1890</v>
      </c>
    </row>
    <row r="67" spans="1:15" x14ac:dyDescent="0.2">
      <c r="A67" s="212" t="s">
        <v>175</v>
      </c>
      <c r="B67" s="213">
        <f>SUM(M!C101:D101)</f>
        <v>-219.50519999999997</v>
      </c>
      <c r="C67" s="214">
        <f>SUM(M!E101:G101)</f>
        <v>-382.05779999999993</v>
      </c>
      <c r="D67" s="210">
        <f>SUM(M!H101:J101)</f>
        <v>-382.05779999999993</v>
      </c>
      <c r="E67" s="210">
        <f>SUM(M!K101:M101)</f>
        <v>-382.05779999999993</v>
      </c>
      <c r="F67" s="210">
        <f>SUM(M!N101:P101)</f>
        <v>-382.05779999999993</v>
      </c>
      <c r="G67" s="210">
        <f>SUM(M!Q101:S101)</f>
        <v>-382.05779999999993</v>
      </c>
      <c r="H67" s="210">
        <f>SUM(M!M101:O101)</f>
        <v>-382.05779999999993</v>
      </c>
      <c r="I67" s="210">
        <f>SUM(M!P101:R101)</f>
        <v>-382.05779999999993</v>
      </c>
      <c r="J67" s="210">
        <f>SUM(M!S101:U101)</f>
        <v>-382.05779999999993</v>
      </c>
      <c r="K67" s="210">
        <f>SUM(M!V101:X101)</f>
        <v>-382.05779999999993</v>
      </c>
      <c r="L67" s="210">
        <f>SUM(M!R101:T101)</f>
        <v>-382.05779999999993</v>
      </c>
      <c r="M67" s="210">
        <f>SUM(M!U101:W101)</f>
        <v>-382.05779999999993</v>
      </c>
      <c r="N67" s="210">
        <f>SUM(M!X101:Z101)</f>
        <v>-382.05779999999993</v>
      </c>
      <c r="O67" s="210">
        <f>SUM(M!AA101:AC101)</f>
        <v>-382.05779999999993</v>
      </c>
    </row>
    <row r="68" spans="1:15" ht="13.5" thickBot="1" x14ac:dyDescent="0.25">
      <c r="A68" s="215" t="s">
        <v>179</v>
      </c>
      <c r="B68" s="216">
        <f>SUM(M!C117:D117)</f>
        <v>-505.5548</v>
      </c>
      <c r="C68" s="217">
        <f>SUM(M!E117:G117)</f>
        <v>-758.33220000000006</v>
      </c>
      <c r="D68" s="210">
        <f>SUM(M!H117:J117)</f>
        <v>-758.33220000000006</v>
      </c>
      <c r="E68" s="210">
        <f>SUM(M!K117:M117)</f>
        <v>-758.33220000000006</v>
      </c>
      <c r="F68" s="210">
        <f>SUM(M!N117:P117)</f>
        <v>-758.33220000000006</v>
      </c>
      <c r="G68" s="210">
        <f>SUM(M!Q117:S117)</f>
        <v>-758.33220000000006</v>
      </c>
      <c r="H68" s="210">
        <f>SUM(M!M117:O117)</f>
        <v>-758.33220000000006</v>
      </c>
      <c r="I68" s="210">
        <f>SUM(M!P117:R117)</f>
        <v>-758.33220000000006</v>
      </c>
      <c r="J68" s="210">
        <f>SUM(M!S117:U117)</f>
        <v>-758.33220000000006</v>
      </c>
      <c r="K68" s="210">
        <f>SUM(M!V117:X117)</f>
        <v>-758.33220000000006</v>
      </c>
      <c r="L68" s="210">
        <f>SUM(M!R117:T117)</f>
        <v>-758.33220000000006</v>
      </c>
      <c r="M68" s="210">
        <f>SUM(M!U117:W117)</f>
        <v>-758.33220000000006</v>
      </c>
      <c r="N68" s="210">
        <f>SUM(M!X117:Z117)</f>
        <v>-758.33220000000006</v>
      </c>
      <c r="O68" s="210">
        <f>SUM(M!AA117:AC117)</f>
        <v>-758.33220000000006</v>
      </c>
    </row>
    <row r="69" spans="1:15" ht="13.5" thickBot="1" x14ac:dyDescent="0.25">
      <c r="A69" s="207" t="s">
        <v>108</v>
      </c>
      <c r="B69" s="208">
        <f>SUM(M!C130:D130)</f>
        <v>-725.06</v>
      </c>
      <c r="C69" s="208">
        <f>SUM(M!E130:G130)</f>
        <v>-1140.3899999999999</v>
      </c>
      <c r="D69" s="208">
        <f>SUM(M!H130:J130)</f>
        <v>-208.88999999999987</v>
      </c>
      <c r="E69" s="208">
        <f>SUM(M!K130:M130)</f>
        <v>-1140.3899999999999</v>
      </c>
      <c r="F69" s="208">
        <f>SUM(M!N130:P130)</f>
        <v>2616.787666666668</v>
      </c>
      <c r="G69" s="208">
        <f>SUM(M!Q130:S130)</f>
        <v>10131.143000000004</v>
      </c>
      <c r="H69" s="208">
        <f>SUM(M!T130:V130)</f>
        <v>10907.102848484848</v>
      </c>
      <c r="I69" s="208">
        <f>SUM(M!W130:Y130)</f>
        <v>4324.5956969696972</v>
      </c>
      <c r="J69" s="208">
        <f>SUM(M!Z130:AB130)</f>
        <v>4324.595696969699</v>
      </c>
      <c r="K69" s="208">
        <f>SUM(M!AC130:AE130)</f>
        <v>15254.567090909097</v>
      </c>
      <c r="L69" s="208">
        <f>SUM(M!AF130:AH130)</f>
        <v>12903.527333333335</v>
      </c>
      <c r="M69" s="208">
        <f>SUM(M!AI130:AK130)</f>
        <v>7447.4446666666718</v>
      </c>
      <c r="N69" s="208">
        <f>SUM(M!AL130:AN130)</f>
        <v>3153.5273333333362</v>
      </c>
      <c r="O69" s="208">
        <f>SUM(M!AO130:AQ130)</f>
        <v>13631.362000000008</v>
      </c>
    </row>
    <row r="70" spans="1:15" s="220" customFormat="1" outlineLevel="1" thickBot="1" x14ac:dyDescent="0.25">
      <c r="A70" s="173" t="s">
        <v>109</v>
      </c>
      <c r="B70" s="218"/>
      <c r="C70" s="218"/>
      <c r="D70" s="218"/>
      <c r="E70" s="218"/>
      <c r="F70" s="218"/>
      <c r="G70" s="218"/>
      <c r="H70" s="218"/>
      <c r="I70" s="218"/>
      <c r="J70" s="218"/>
      <c r="K70" s="218"/>
      <c r="L70" s="218"/>
      <c r="M70" s="218"/>
      <c r="N70" s="218"/>
      <c r="O70" s="218"/>
    </row>
    <row r="71" spans="1:15" ht="13.5" thickBot="1" x14ac:dyDescent="0.25">
      <c r="A71" s="221" t="s">
        <v>70</v>
      </c>
      <c r="B71" s="222">
        <f>SUM(M!C132:D132)</f>
        <v>-317.5</v>
      </c>
      <c r="C71" s="222">
        <f>SUM(M!E132:G132)</f>
        <v>-660</v>
      </c>
      <c r="D71" s="222">
        <f>SUM(M!H132:J132)</f>
        <v>-830</v>
      </c>
      <c r="E71" s="222">
        <f>SUM(M!K132:M132)</f>
        <v>-1067.5</v>
      </c>
      <c r="F71" s="222">
        <f>SUM(M!N132:P132)</f>
        <v>-1618.75</v>
      </c>
      <c r="G71" s="222">
        <f>SUM(M!Q132:S132)</f>
        <v>-1758.75</v>
      </c>
      <c r="H71" s="222">
        <f>SUM(M!T132:V132)</f>
        <v>-1758.75</v>
      </c>
      <c r="I71" s="222">
        <f>SUM(M!W132:Y132)</f>
        <v>-1758.75</v>
      </c>
      <c r="J71" s="222">
        <f>SUM(M!Z132:AB132)</f>
        <v>-1446.25</v>
      </c>
      <c r="K71" s="222">
        <f>SUM(M!AC132:AE132)</f>
        <v>-636.25</v>
      </c>
      <c r="L71" s="222">
        <f>SUM(M!AF132:AH132)</f>
        <v>0</v>
      </c>
      <c r="M71" s="222">
        <f>SUM(M!AI132:AK132)</f>
        <v>0</v>
      </c>
      <c r="N71" s="222">
        <f>SUM(M!AL132:AN132)</f>
        <v>0</v>
      </c>
      <c r="O71" s="222">
        <f>SUM(M!AO132:AQ132)</f>
        <v>0</v>
      </c>
    </row>
    <row r="72" spans="1:15" ht="13.5" thickBot="1" x14ac:dyDescent="0.25">
      <c r="A72" s="221" t="s">
        <v>107</v>
      </c>
      <c r="B72" s="222">
        <f>SUM(M!C133:D133)</f>
        <v>-83.333333333333329</v>
      </c>
      <c r="C72" s="222">
        <f>SUM(M!E133:G133)</f>
        <v>-245.85643325617286</v>
      </c>
      <c r="D72" s="222">
        <f>SUM(M!H133:J133)</f>
        <v>-239.7611002370017</v>
      </c>
      <c r="E72" s="222">
        <f>SUM(M!K133:M133)</f>
        <v>-233.816884209656</v>
      </c>
      <c r="F72" s="222">
        <f>SUM(M!N133:P133)</f>
        <v>-228.02003864459471</v>
      </c>
      <c r="G72" s="222">
        <f>SUM(M!Q133:S133)</f>
        <v>-222.36690989715663</v>
      </c>
      <c r="H72" s="222">
        <f>SUM(M!T133:V133)</f>
        <v>-216.85393490473524</v>
      </c>
      <c r="I72" s="222">
        <f>SUM(M!W133:Y133)</f>
        <v>-211.47763894104673</v>
      </c>
      <c r="J72" s="222">
        <f>SUM(M!Z133:AB133)</f>
        <v>-206.23463342607369</v>
      </c>
      <c r="K72" s="222">
        <f>SUM(M!AC133:AE133)</f>
        <v>-201.12161379030607</v>
      </c>
      <c r="L72" s="222">
        <f>SUM(M!AF133:AH133)</f>
        <v>-196.13535739193196</v>
      </c>
      <c r="M72" s="222">
        <f>SUM(M!AI133:AK133)</f>
        <v>-191.27272148566593</v>
      </c>
      <c r="N72" s="222">
        <f>SUM(M!AL133:AN133)</f>
        <v>-186.53064124193475</v>
      </c>
      <c r="O72" s="222">
        <f>SUM(M!AO133:AQ133)</f>
        <v>-181.9061278151722</v>
      </c>
    </row>
    <row r="73" spans="1:15" ht="13.5" thickBot="1" x14ac:dyDescent="0.25">
      <c r="A73" s="207" t="s">
        <v>88</v>
      </c>
      <c r="B73" s="208">
        <f>SUM(M!C134:D134)</f>
        <v>-1125.8933333333334</v>
      </c>
      <c r="C73" s="208">
        <f>SUM(M!E134:G134)</f>
        <v>-2046.2464332561726</v>
      </c>
      <c r="D73" s="208">
        <f>SUM(M!H134:J134)</f>
        <v>-1278.6511002370016</v>
      </c>
      <c r="E73" s="208">
        <f>SUM(M!K134:M134)</f>
        <v>-2441.706884209656</v>
      </c>
      <c r="F73" s="208">
        <f>SUM(M!N134:P134)</f>
        <v>770.01762802207304</v>
      </c>
      <c r="G73" s="208">
        <f>SUM(M!Q134:S134)</f>
        <v>8150.026090102846</v>
      </c>
      <c r="H73" s="208">
        <f>SUM(M!T134:V134)</f>
        <v>8931.4989135801134</v>
      </c>
      <c r="I73" s="208">
        <f>SUM(M!W134:Y134)</f>
        <v>2354.36805802865</v>
      </c>
      <c r="J73" s="208">
        <f>SUM(M!Z134:AB134)</f>
        <v>2672.1110635436253</v>
      </c>
      <c r="K73" s="208">
        <f>SUM(M!AC134:AE134)</f>
        <v>14417.195477118792</v>
      </c>
      <c r="L73" s="208">
        <f>SUM(M!AF134:AH134)</f>
        <v>12707.391975941404</v>
      </c>
      <c r="M73" s="208">
        <f>SUM(M!AI134:AK134)</f>
        <v>7256.1719451810059</v>
      </c>
      <c r="N73" s="208">
        <f>SUM(M!AL134:AN134)</f>
        <v>2966.9966920914012</v>
      </c>
      <c r="O73" s="208">
        <f>SUM(M!AO134:AQ134)</f>
        <v>13449.455872184833</v>
      </c>
    </row>
    <row r="74" spans="1:15" ht="13.5" thickBot="1" x14ac:dyDescent="0.25">
      <c r="A74" s="221" t="s">
        <v>207</v>
      </c>
      <c r="B74" s="222">
        <f>SUM(M!C135:D135)</f>
        <v>0</v>
      </c>
      <c r="C74" s="222">
        <f>SUM(M!E135:G135)</f>
        <v>0</v>
      </c>
      <c r="D74" s="222">
        <f>SUM(M!H135:J135)</f>
        <v>0</v>
      </c>
      <c r="E74" s="222">
        <f>SUM(M!K135:M135)</f>
        <v>0</v>
      </c>
      <c r="F74" s="222">
        <f>SUM(M!N135:P135)</f>
        <v>-225.43066000000005</v>
      </c>
      <c r="G74" s="222">
        <f>SUM(M!Q135:S135)</f>
        <v>-676.29198000000019</v>
      </c>
      <c r="H74" s="222">
        <f>SUM(M!T135:V135)</f>
        <v>-163.94957090909088</v>
      </c>
      <c r="I74" s="222">
        <f>SUM(M!W135:Y135)</f>
        <v>-327.89914181818176</v>
      </c>
      <c r="J74" s="222">
        <f>SUM(M!Z135:AB135)</f>
        <v>-327.89914181818187</v>
      </c>
      <c r="K74" s="222">
        <f>SUM(M!AC135:AE135)</f>
        <v>-983.69742545454562</v>
      </c>
      <c r="L74" s="222">
        <f>SUM(M!AF135:AH135)</f>
        <v>-257.63504000000012</v>
      </c>
      <c r="M74" s="222">
        <f>SUM(M!AI135:AK135)</f>
        <v>-515.27008000000023</v>
      </c>
      <c r="N74" s="222">
        <f>SUM(M!AL135:AN135)</f>
        <v>-257.63504000000012</v>
      </c>
      <c r="O74" s="222">
        <f>SUM(M!AO135:AQ135)</f>
        <v>-772.90512000000047</v>
      </c>
    </row>
    <row r="75" spans="1:15" ht="13.5" thickBot="1" x14ac:dyDescent="0.25">
      <c r="A75" s="207" t="s">
        <v>208</v>
      </c>
      <c r="B75" s="208">
        <f t="shared" ref="B75:O75" si="11">SUM(B73:B74)</f>
        <v>-1125.8933333333334</v>
      </c>
      <c r="C75" s="208">
        <f t="shared" si="11"/>
        <v>-2046.2464332561726</v>
      </c>
      <c r="D75" s="208">
        <f t="shared" si="11"/>
        <v>-1278.6511002370016</v>
      </c>
      <c r="E75" s="208">
        <f t="shared" si="11"/>
        <v>-2441.706884209656</v>
      </c>
      <c r="F75" s="208">
        <f t="shared" si="11"/>
        <v>544.58696802207305</v>
      </c>
      <c r="G75" s="208">
        <f t="shared" si="11"/>
        <v>7473.734110102846</v>
      </c>
      <c r="H75" s="208">
        <f t="shared" si="11"/>
        <v>8767.5493426710218</v>
      </c>
      <c r="I75" s="208">
        <f t="shared" si="11"/>
        <v>2026.4689162104683</v>
      </c>
      <c r="J75" s="208">
        <f t="shared" si="11"/>
        <v>2344.2119217254435</v>
      </c>
      <c r="K75" s="208">
        <f t="shared" si="11"/>
        <v>13433.498051664246</v>
      </c>
      <c r="L75" s="208">
        <f t="shared" si="11"/>
        <v>12449.756935941405</v>
      </c>
      <c r="M75" s="208">
        <f t="shared" si="11"/>
        <v>6740.9018651810056</v>
      </c>
      <c r="N75" s="208">
        <f t="shared" si="11"/>
        <v>2709.3616520914011</v>
      </c>
      <c r="O75" s="208">
        <f t="shared" si="11"/>
        <v>12676.550752184832</v>
      </c>
    </row>
    <row r="76" spans="1:15" s="170" customFormat="1" x14ac:dyDescent="0.2">
      <c r="B76" s="224"/>
      <c r="C76" s="224"/>
      <c r="D76" s="224"/>
      <c r="E76" s="224"/>
      <c r="F76" s="224"/>
      <c r="G76" s="224"/>
      <c r="H76" s="224"/>
      <c r="I76" s="224"/>
      <c r="J76" s="224"/>
      <c r="K76" s="224"/>
      <c r="L76" s="224"/>
      <c r="M76" s="224"/>
      <c r="N76" s="224"/>
      <c r="O76" s="224"/>
    </row>
    <row r="77" spans="1:15" s="170" customFormat="1" ht="16.5" thickBot="1" x14ac:dyDescent="0.3">
      <c r="A77" s="227" t="s">
        <v>111</v>
      </c>
      <c r="B77" s="224"/>
      <c r="C77" s="224"/>
      <c r="D77" s="224"/>
      <c r="E77" s="224"/>
      <c r="F77" s="224"/>
      <c r="G77" s="224"/>
      <c r="H77" s="224"/>
      <c r="I77" s="224"/>
      <c r="J77" s="224"/>
      <c r="K77" s="224"/>
      <c r="L77" s="224"/>
      <c r="M77" s="224"/>
      <c r="N77" s="224"/>
      <c r="O77" s="224"/>
    </row>
    <row r="78" spans="1:15" ht="13.5" thickBot="1" x14ac:dyDescent="0.25">
      <c r="A78" s="207" t="s">
        <v>63</v>
      </c>
      <c r="B78" s="208">
        <f>SUM(M!C141:D141)</f>
        <v>-3595.72</v>
      </c>
      <c r="C78" s="208">
        <f>SUM(M!E141:G141)</f>
        <v>-5813.4633333333331</v>
      </c>
      <c r="D78" s="208">
        <f>SUM(M!H141:J141)</f>
        <v>-4679.9936363636361</v>
      </c>
      <c r="E78" s="208">
        <f>SUM(M!K141:M141)</f>
        <v>-6598.9936363636371</v>
      </c>
      <c r="F78" s="208">
        <f>SUM(M!N141:P141)</f>
        <v>-16124.107272727273</v>
      </c>
      <c r="G78" s="208">
        <f>SUM(M!Q141:S141)</f>
        <v>13086.977218787881</v>
      </c>
      <c r="H78" s="208">
        <f>SUM(M!T141:V141)</f>
        <v>7575.7371109090909</v>
      </c>
      <c r="I78" s="208">
        <f>SUM(M!W141:Y141)</f>
        <v>4913.9886109090912</v>
      </c>
      <c r="J78" s="208">
        <f>SUM(M!Z141:AB141)</f>
        <v>-11587.460959999997</v>
      </c>
      <c r="K78" s="208">
        <f>SUM(M!AC141:AE141)</f>
        <v>26619.508736969699</v>
      </c>
      <c r="L78" s="208">
        <f>SUM(M!AF141:AH141)</f>
        <v>15428.315431688312</v>
      </c>
      <c r="M78" s="208">
        <f>SUM(M!AI141:AK141)</f>
        <v>16461.520674285715</v>
      </c>
      <c r="N78" s="208">
        <f>SUM(M!AL141:AN141)</f>
        <v>1496.7427771428593</v>
      </c>
      <c r="O78" s="208">
        <f>SUM(M!AO141:AQ141)</f>
        <v>27935.758411428578</v>
      </c>
    </row>
    <row r="79" spans="1:15" x14ac:dyDescent="0.2">
      <c r="A79" s="177" t="s">
        <v>64</v>
      </c>
      <c r="B79" s="210">
        <f>SUM(M!C142:D142)</f>
        <v>0</v>
      </c>
      <c r="C79" s="210">
        <f>SUM(M!E142:G142)</f>
        <v>0</v>
      </c>
      <c r="D79" s="210">
        <f>SUM(M!H142:J142)</f>
        <v>0</v>
      </c>
      <c r="E79" s="210">
        <f>SUM(M!K142:M142)</f>
        <v>0</v>
      </c>
      <c r="F79" s="210">
        <f>SUM(M!N142:P142)</f>
        <v>9062.5</v>
      </c>
      <c r="G79" s="210">
        <f>SUM(M!Q142:S142)</f>
        <v>27187.5</v>
      </c>
      <c r="H79" s="210">
        <f>SUM(M!T142:V142)</f>
        <v>6590.9090909090901</v>
      </c>
      <c r="I79" s="210">
        <f>SUM(M!W142:Y142)</f>
        <v>13181.81818181818</v>
      </c>
      <c r="J79" s="210">
        <f>SUM(M!Z142:AB142)</f>
        <v>13181.818181818184</v>
      </c>
      <c r="K79" s="210">
        <f>SUM(M!AC142:AE142)</f>
        <v>39545.454545454551</v>
      </c>
      <c r="L79" s="210">
        <f>SUM(M!AF142:AH142)</f>
        <v>10357.142857142859</v>
      </c>
      <c r="M79" s="210">
        <f>SUM(M!AI142:AK142)</f>
        <v>20714.285714285717</v>
      </c>
      <c r="N79" s="210">
        <f>SUM(M!AL142:AN142)</f>
        <v>10357.142857142859</v>
      </c>
      <c r="O79" s="210">
        <f>SUM(M!AO142:AQ142)</f>
        <v>31071.428571428576</v>
      </c>
    </row>
    <row r="80" spans="1:15" x14ac:dyDescent="0.2">
      <c r="A80" s="177" t="s">
        <v>205</v>
      </c>
      <c r="B80" s="210">
        <f>SUM(M!C143:D143)</f>
        <v>0</v>
      </c>
      <c r="C80" s="210">
        <f>SUM(M!E143:G143)</f>
        <v>0</v>
      </c>
      <c r="D80" s="210">
        <f>SUM(M!H143:J143)</f>
        <v>931.5</v>
      </c>
      <c r="E80" s="210">
        <f>SUM(M!K143:M143)</f>
        <v>0</v>
      </c>
      <c r="F80" s="210">
        <f>SUM(M!N143:P143)</f>
        <v>0</v>
      </c>
      <c r="G80" s="210">
        <f>SUM(M!Q143:S143)</f>
        <v>0</v>
      </c>
      <c r="H80" s="210">
        <f>SUM(M!T143:V143)</f>
        <v>9315</v>
      </c>
      <c r="I80" s="210">
        <f>SUM(M!W143:Y143)</f>
        <v>0</v>
      </c>
      <c r="J80" s="210">
        <f>SUM(M!Z143:AB143)</f>
        <v>0</v>
      </c>
      <c r="K80" s="210">
        <f>SUM(M!AC143:AE143)</f>
        <v>0</v>
      </c>
      <c r="L80" s="210">
        <f>SUM(M!AF143:AH143)</f>
        <v>9750</v>
      </c>
      <c r="M80" s="210">
        <f>SUM(M!AI143:AK143)</f>
        <v>0</v>
      </c>
      <c r="N80" s="210">
        <f>SUM(M!AL143:AN143)</f>
        <v>0</v>
      </c>
      <c r="O80" s="210">
        <f>SUM(M!AO143:AQ143)</f>
        <v>1890</v>
      </c>
    </row>
    <row r="81" spans="1:15" x14ac:dyDescent="0.2">
      <c r="A81" s="177" t="s">
        <v>65</v>
      </c>
      <c r="B81" s="210">
        <f>SUM(M!C144:D144)</f>
        <v>-1550</v>
      </c>
      <c r="C81" s="210">
        <f>SUM(M!E144:G144)</f>
        <v>-2508.333333333333</v>
      </c>
      <c r="D81" s="210">
        <f>SUM(M!H144:J144)</f>
        <v>-2136.363636363636</v>
      </c>
      <c r="E81" s="210">
        <f>SUM(M!K144:M144)</f>
        <v>-2886.3636363636365</v>
      </c>
      <c r="F81" s="210">
        <f>SUM(M!N144:P144)</f>
        <v>-20922.727272727272</v>
      </c>
      <c r="G81" s="210">
        <f>SUM(M!Q144:S144)</f>
        <v>-9471.2121212121201</v>
      </c>
      <c r="H81" s="210">
        <f>SUM(M!T144:V144)</f>
        <v>-3250</v>
      </c>
      <c r="I81" s="210">
        <f>SUM(M!W144:Y144)</f>
        <v>-3700</v>
      </c>
      <c r="J81" s="210">
        <f>SUM(M!Z144:AB144)</f>
        <v>-20350</v>
      </c>
      <c r="K81" s="210">
        <f>SUM(M!AC144:AE144)</f>
        <v>-9316.6666666666679</v>
      </c>
      <c r="L81" s="210">
        <f>SUM(M!AF144:AH144)</f>
        <v>-1050</v>
      </c>
      <c r="M81" s="210">
        <f>SUM(M!AI144:AK144)</f>
        <v>-1350</v>
      </c>
      <c r="N81" s="210">
        <f>SUM(M!AL144:AN144)</f>
        <v>-5700</v>
      </c>
      <c r="O81" s="210">
        <f>SUM(M!AO144:AQ144)</f>
        <v>-1350</v>
      </c>
    </row>
    <row r="82" spans="1:15" x14ac:dyDescent="0.2">
      <c r="A82" s="177" t="s">
        <v>75</v>
      </c>
      <c r="B82" s="210">
        <f>SUM(M!C145:D145)</f>
        <v>-1003.16</v>
      </c>
      <c r="C82" s="210">
        <f>SUM(M!E145:G145)</f>
        <v>-1504.74</v>
      </c>
      <c r="D82" s="210">
        <f>SUM(M!H145:J145)</f>
        <v>-1504.74</v>
      </c>
      <c r="E82" s="210">
        <f>SUM(M!K145:M145)</f>
        <v>-1504.74</v>
      </c>
      <c r="F82" s="210">
        <f>SUM(M!N145:P145)</f>
        <v>-1504.74</v>
      </c>
      <c r="G82" s="210">
        <f>SUM(M!Q145:S145)</f>
        <v>-1504.74</v>
      </c>
      <c r="H82" s="210">
        <f>SUM(M!T145:V145)</f>
        <v>-1504.74</v>
      </c>
      <c r="I82" s="210">
        <f>SUM(M!W145:Y145)</f>
        <v>-1504.74</v>
      </c>
      <c r="J82" s="210">
        <f>SUM(M!Z145:AB145)</f>
        <v>-1504.74</v>
      </c>
      <c r="K82" s="210">
        <f>SUM(M!AC145:AE145)</f>
        <v>-1504.74</v>
      </c>
      <c r="L82" s="210">
        <f>SUM(M!AF145:AH145)</f>
        <v>-1504.74</v>
      </c>
      <c r="M82" s="210">
        <f>SUM(M!AI145:AK145)</f>
        <v>-1504.74</v>
      </c>
      <c r="N82" s="210">
        <f>SUM(M!AL145:AN145)</f>
        <v>-1504.74</v>
      </c>
      <c r="O82" s="210">
        <f>SUM(M!AO145:AQ145)</f>
        <v>-1504.74</v>
      </c>
    </row>
    <row r="83" spans="1:15" x14ac:dyDescent="0.2">
      <c r="A83" s="177" t="s">
        <v>215</v>
      </c>
      <c r="B83" s="210">
        <f>SUM(M!C152:D152)</f>
        <v>-219.50519999999997</v>
      </c>
      <c r="C83" s="210">
        <f>SUM(M!E152:G152)</f>
        <v>-382.05779999999993</v>
      </c>
      <c r="D83" s="210">
        <f>SUM(M!H152:J152)</f>
        <v>-382.05779999999993</v>
      </c>
      <c r="E83" s="210">
        <f>SUM(M!K152:M152)</f>
        <v>-382.05779999999993</v>
      </c>
      <c r="F83" s="210">
        <f>SUM(M!N152:P152)</f>
        <v>-382.05779999999993</v>
      </c>
      <c r="G83" s="210">
        <f>SUM(M!Q152:S152)</f>
        <v>-382.05779999999993</v>
      </c>
      <c r="H83" s="210">
        <f>SUM(M!T152:V152)</f>
        <v>-382.05779999999993</v>
      </c>
      <c r="I83" s="210">
        <f>SUM(M!W152:Y152)</f>
        <v>-382.05779999999993</v>
      </c>
      <c r="J83" s="210">
        <f>SUM(M!Z152:AB152)</f>
        <v>-382.05779999999993</v>
      </c>
      <c r="K83" s="210">
        <f>SUM(M!AC152:AE152)</f>
        <v>-382.05779999999993</v>
      </c>
      <c r="L83" s="210">
        <f>SUM(M!AF152:AH152)</f>
        <v>-382.05779999999993</v>
      </c>
      <c r="M83" s="210">
        <f>SUM(M!AI152:AK152)</f>
        <v>-382.05779999999993</v>
      </c>
      <c r="N83" s="210">
        <f>SUM(M!AL152:AN152)</f>
        <v>-382.05779999999993</v>
      </c>
      <c r="O83" s="210">
        <f>SUM(M!AO152:AQ152)</f>
        <v>-382.05779999999993</v>
      </c>
    </row>
    <row r="84" spans="1:15" x14ac:dyDescent="0.2">
      <c r="A84" s="177" t="s">
        <v>216</v>
      </c>
      <c r="B84" s="210">
        <f>SUM(M!C153:D153)</f>
        <v>-505.5548</v>
      </c>
      <c r="C84" s="210">
        <f>SUM(M!E153:G153)</f>
        <v>-758.33220000000006</v>
      </c>
      <c r="D84" s="210">
        <f>SUM(M!H153:J153)</f>
        <v>-758.33220000000006</v>
      </c>
      <c r="E84" s="210">
        <f>SUM(M!K153:M153)</f>
        <v>-758.33220000000006</v>
      </c>
      <c r="F84" s="210">
        <f>SUM(M!N153:P153)</f>
        <v>-758.33220000000006</v>
      </c>
      <c r="G84" s="210">
        <f>SUM(M!Q153:S153)</f>
        <v>-758.33220000000006</v>
      </c>
      <c r="H84" s="210">
        <f>SUM(M!T153:V153)</f>
        <v>-758.33220000000006</v>
      </c>
      <c r="I84" s="210">
        <f>SUM(M!W153:Y153)</f>
        <v>-758.33220000000006</v>
      </c>
      <c r="J84" s="210">
        <f>SUM(M!Z153:AB153)</f>
        <v>-758.33220000000006</v>
      </c>
      <c r="K84" s="210">
        <f>SUM(M!AC153:AE153)</f>
        <v>-758.33220000000006</v>
      </c>
      <c r="L84" s="210">
        <f>SUM(M!AF153:AH153)</f>
        <v>-758.33220000000006</v>
      </c>
      <c r="M84" s="210">
        <f>SUM(M!AI153:AK153)</f>
        <v>-758.33220000000006</v>
      </c>
      <c r="N84" s="210">
        <f>SUM(M!AL153:AN153)</f>
        <v>-758.33220000000006</v>
      </c>
      <c r="O84" s="210">
        <f>SUM(M!AO153:AQ153)</f>
        <v>-758.33220000000006</v>
      </c>
    </row>
    <row r="85" spans="1:15" x14ac:dyDescent="0.2">
      <c r="A85" s="177" t="s">
        <v>70</v>
      </c>
      <c r="B85" s="210">
        <f>SUM(M!C154:D154)</f>
        <v>-317.5</v>
      </c>
      <c r="C85" s="210">
        <f>SUM(M!E154:G154)</f>
        <v>-660</v>
      </c>
      <c r="D85" s="210">
        <f>SUM(M!H154:J154)</f>
        <v>-830</v>
      </c>
      <c r="E85" s="210">
        <f>SUM(M!K154:M154)</f>
        <v>-1067.5</v>
      </c>
      <c r="F85" s="210">
        <f>SUM(M!N154:P154)</f>
        <v>-1618.75</v>
      </c>
      <c r="G85" s="210">
        <f>SUM(M!Q154:S154)</f>
        <v>-1758.75</v>
      </c>
      <c r="H85" s="210">
        <f>SUM(M!T154:V154)</f>
        <v>-1758.75</v>
      </c>
      <c r="I85" s="210">
        <f>SUM(M!W154:Y154)</f>
        <v>-1758.75</v>
      </c>
      <c r="J85" s="210">
        <f>SUM(M!Z154:AB154)</f>
        <v>-1446.25</v>
      </c>
      <c r="K85" s="210">
        <f>SUM(M!AC154:AE154)</f>
        <v>-636.25</v>
      </c>
      <c r="L85" s="210">
        <f>SUM(M!AF154:AH154)</f>
        <v>0</v>
      </c>
      <c r="M85" s="210">
        <f>SUM(M!AI154:AK154)</f>
        <v>0</v>
      </c>
      <c r="N85" s="210">
        <f>SUM(M!AL154:AN154)</f>
        <v>0</v>
      </c>
      <c r="O85" s="210">
        <f>SUM(M!AO154:AQ154)</f>
        <v>0</v>
      </c>
    </row>
    <row r="86" spans="1:15" ht="13.5" thickBot="1" x14ac:dyDescent="0.25">
      <c r="A86" s="177" t="s">
        <v>207</v>
      </c>
      <c r="B86" s="210">
        <f>SUM(M!C155:D155)</f>
        <v>0</v>
      </c>
      <c r="C86" s="210">
        <f>SUM(M!E155:G155)</f>
        <v>0</v>
      </c>
      <c r="D86" s="210">
        <f>SUM(M!H155:J155)</f>
        <v>0</v>
      </c>
      <c r="E86" s="210">
        <f>SUM(M!K155:M155)</f>
        <v>0</v>
      </c>
      <c r="F86" s="210">
        <f>SUM(M!N155:P155)</f>
        <v>0</v>
      </c>
      <c r="G86" s="210">
        <f>SUM(M!Q155:S155)</f>
        <v>-225.43066000000005</v>
      </c>
      <c r="H86" s="210">
        <f>SUM(M!T155:V155)</f>
        <v>-676.29198000000019</v>
      </c>
      <c r="I86" s="210">
        <f>SUM(M!W155:Y155)</f>
        <v>-163.94957090909088</v>
      </c>
      <c r="J86" s="210">
        <f>SUM(M!Z155:AB155)</f>
        <v>-327.89914181818176</v>
      </c>
      <c r="K86" s="210">
        <f>SUM(M!AC155:AE155)</f>
        <v>-327.89914181818187</v>
      </c>
      <c r="L86" s="210">
        <f>SUM(M!AF155:AH155)</f>
        <v>-983.69742545454562</v>
      </c>
      <c r="M86" s="210">
        <f>SUM(M!AI155:AK155)</f>
        <v>-257.63504000000012</v>
      </c>
      <c r="N86" s="210">
        <f>SUM(M!AL155:AN155)</f>
        <v>-515.27008000000023</v>
      </c>
      <c r="O86" s="210">
        <f>SUM(M!AO155:AQ155)</f>
        <v>-1030.5401600000005</v>
      </c>
    </row>
    <row r="87" spans="1:15" ht="13.5" thickBot="1" x14ac:dyDescent="0.25">
      <c r="A87" s="207" t="s">
        <v>66</v>
      </c>
      <c r="B87" s="208">
        <f>SUM(M!C156:D156)</f>
        <v>-10000</v>
      </c>
      <c r="C87" s="208">
        <f>SUM(M!E156:G156)</f>
        <v>0</v>
      </c>
      <c r="D87" s="208">
        <f>SUM(M!H156:J156)</f>
        <v>0</v>
      </c>
      <c r="E87" s="208">
        <f>SUM(M!K156:M156)</f>
        <v>0</v>
      </c>
      <c r="F87" s="208">
        <f>SUM(M!N156:P156)</f>
        <v>0</v>
      </c>
      <c r="G87" s="208">
        <f>SUM(M!Q156:S156)</f>
        <v>0</v>
      </c>
      <c r="H87" s="208">
        <f>SUM(M!T156:V156)</f>
        <v>0</v>
      </c>
      <c r="I87" s="208">
        <f>SUM(M!W156:Y156)</f>
        <v>0</v>
      </c>
      <c r="J87" s="208">
        <f>SUM(M!Z156:AB156)</f>
        <v>0</v>
      </c>
      <c r="K87" s="208">
        <f>SUM(M!AC156:AE156)</f>
        <v>0</v>
      </c>
      <c r="L87" s="208">
        <f>SUM(M!AF156:AH156)</f>
        <v>0</v>
      </c>
      <c r="M87" s="208">
        <f>SUM(M!AI156:AK156)</f>
        <v>0</v>
      </c>
      <c r="N87" s="208">
        <f>SUM(M!AL156:AN156)</f>
        <v>0</v>
      </c>
      <c r="O87" s="208">
        <f>SUM(M!AO156:AQ156)</f>
        <v>0</v>
      </c>
    </row>
    <row r="88" spans="1:15" ht="13.5" thickBot="1" x14ac:dyDescent="0.25">
      <c r="A88" s="177" t="s">
        <v>106</v>
      </c>
      <c r="B88" s="210">
        <f>SUM(M!C157:D157)</f>
        <v>-10000</v>
      </c>
      <c r="C88" s="210">
        <f>SUM(M!E157:G157)</f>
        <v>0</v>
      </c>
      <c r="D88" s="210">
        <f>SUM(M!H157:J157)</f>
        <v>0</v>
      </c>
      <c r="E88" s="210">
        <f>SUM(M!K157:M157)</f>
        <v>0</v>
      </c>
      <c r="F88" s="210">
        <f>SUM(M!N157:P157)</f>
        <v>0</v>
      </c>
      <c r="G88" s="210">
        <f>SUM(M!Q157:S157)</f>
        <v>0</v>
      </c>
      <c r="H88" s="210">
        <f>SUM(M!T157:V157)</f>
        <v>0</v>
      </c>
      <c r="I88" s="210">
        <f>SUM(M!W157:Y157)</f>
        <v>0</v>
      </c>
      <c r="J88" s="210">
        <f>SUM(M!Z157:AB157)</f>
        <v>0</v>
      </c>
      <c r="K88" s="210">
        <f>SUM(M!AC157:AE157)</f>
        <v>0</v>
      </c>
      <c r="L88" s="210">
        <f>SUM(M!AF157:AH157)</f>
        <v>0</v>
      </c>
      <c r="M88" s="210">
        <f>SUM(M!AI157:AK157)</f>
        <v>0</v>
      </c>
      <c r="N88" s="210">
        <f>SUM(M!AL157:AN157)</f>
        <v>0</v>
      </c>
      <c r="O88" s="210">
        <f>SUM(M!AO157:AQ157)</f>
        <v>0</v>
      </c>
    </row>
    <row r="89" spans="1:15" ht="13.5" thickBot="1" x14ac:dyDescent="0.25">
      <c r="A89" s="207" t="s">
        <v>67</v>
      </c>
      <c r="B89" s="208">
        <f>SUM(M!C158:D158)</f>
        <v>13700</v>
      </c>
      <c r="C89" s="208">
        <f>SUM(M!E158:G158)</f>
        <v>5800</v>
      </c>
      <c r="D89" s="208">
        <f>SUM(M!H158:J158)</f>
        <v>4600</v>
      </c>
      <c r="E89" s="208">
        <f>SUM(M!K158:M158)</f>
        <v>6600</v>
      </c>
      <c r="F89" s="208">
        <f>SUM(M!N158:P158)</f>
        <v>16200</v>
      </c>
      <c r="G89" s="208">
        <f>SUM(M!Q158:S158)</f>
        <v>0</v>
      </c>
      <c r="H89" s="208">
        <f>SUM(M!T158:V158)</f>
        <v>0</v>
      </c>
      <c r="I89" s="208">
        <f>SUM(M!W158:Y158)</f>
        <v>0</v>
      </c>
      <c r="J89" s="208">
        <f>SUM(M!Z158:AB158)</f>
        <v>-14000</v>
      </c>
      <c r="K89" s="208">
        <f>SUM(M!AC158:AE158)</f>
        <v>-26600</v>
      </c>
      <c r="L89" s="208">
        <f>SUM(M!AF158:AH158)</f>
        <v>-6300</v>
      </c>
      <c r="M89" s="208">
        <f>SUM(M!AI158:AK158)</f>
        <v>0</v>
      </c>
      <c r="N89" s="208">
        <f>SUM(M!AL158:AN158)</f>
        <v>0</v>
      </c>
      <c r="O89" s="208">
        <f>SUM(M!AO158:AQ158)</f>
        <v>0</v>
      </c>
    </row>
    <row r="90" spans="1:15" x14ac:dyDescent="0.2">
      <c r="A90" s="177" t="s">
        <v>68</v>
      </c>
      <c r="B90" s="210">
        <f>SUM(M!C159:D159)</f>
        <v>13700</v>
      </c>
      <c r="C90" s="210">
        <f>SUM(M!E159:G159)</f>
        <v>5800</v>
      </c>
      <c r="D90" s="210">
        <f>SUM(M!H159:J159)</f>
        <v>4600</v>
      </c>
      <c r="E90" s="210">
        <f>SUM(M!K159:M159)</f>
        <v>6600</v>
      </c>
      <c r="F90" s="210">
        <f>SUM(M!N159:P159)</f>
        <v>16200</v>
      </c>
      <c r="G90" s="210">
        <f>SUM(M!Q159:S159)</f>
        <v>0</v>
      </c>
      <c r="H90" s="210">
        <f>SUM(M!T159:V159)</f>
        <v>0</v>
      </c>
      <c r="I90" s="210">
        <f>SUM(M!W159:Y159)</f>
        <v>0</v>
      </c>
      <c r="J90" s="210">
        <f>SUM(M!Z159:AB159)</f>
        <v>0</v>
      </c>
      <c r="K90" s="210">
        <f>SUM(M!AC159:AE159)</f>
        <v>0</v>
      </c>
      <c r="L90" s="210">
        <f>SUM(M!AF159:AH159)</f>
        <v>0</v>
      </c>
      <c r="M90" s="210">
        <f>SUM(M!AI159:AK159)</f>
        <v>0</v>
      </c>
      <c r="N90" s="210">
        <f>SUM(M!AL159:AN159)</f>
        <v>0</v>
      </c>
      <c r="O90" s="210">
        <f>SUM(M!AO159:AQ159)</f>
        <v>0</v>
      </c>
    </row>
    <row r="91" spans="1:15" ht="13.5" thickBot="1" x14ac:dyDescent="0.25">
      <c r="A91" s="177" t="s">
        <v>69</v>
      </c>
      <c r="B91" s="210">
        <f>SUM(M!C160:D160)</f>
        <v>0</v>
      </c>
      <c r="C91" s="210">
        <f>SUM(M!E160:G160)</f>
        <v>0</v>
      </c>
      <c r="D91" s="210">
        <f>SUM(M!H160:J160)</f>
        <v>0</v>
      </c>
      <c r="E91" s="210">
        <f>SUM(M!K160:M160)</f>
        <v>0</v>
      </c>
      <c r="F91" s="210">
        <f>SUM(M!N160:P160)</f>
        <v>0</v>
      </c>
      <c r="G91" s="210">
        <f>SUM(M!Q160:S160)</f>
        <v>0</v>
      </c>
      <c r="H91" s="210">
        <f>SUM(M!T160:V160)</f>
        <v>0</v>
      </c>
      <c r="I91" s="210">
        <f>SUM(M!W160:Y160)</f>
        <v>0</v>
      </c>
      <c r="J91" s="210">
        <f>SUM(M!Z160:AB160)</f>
        <v>-14000</v>
      </c>
      <c r="K91" s="210">
        <f>SUM(M!AC160:AE160)</f>
        <v>-26600</v>
      </c>
      <c r="L91" s="210">
        <f>SUM(M!AF160:AH160)</f>
        <v>-6300</v>
      </c>
      <c r="M91" s="210">
        <f>SUM(M!AI160:AK160)</f>
        <v>0</v>
      </c>
      <c r="N91" s="210">
        <f>SUM(M!AL160:AN160)</f>
        <v>0</v>
      </c>
      <c r="O91" s="210">
        <f>SUM(M!AO160:AQ160)</f>
        <v>0</v>
      </c>
    </row>
    <row r="92" spans="1:15" ht="13.5" thickBot="1" x14ac:dyDescent="0.25">
      <c r="A92" s="228" t="s">
        <v>71</v>
      </c>
      <c r="B92" s="229">
        <f>SUM(M!C161:D161)</f>
        <v>104.2800000000002</v>
      </c>
      <c r="C92" s="229">
        <f>SUM(M!E161:G161)</f>
        <v>-13.463333333332912</v>
      </c>
      <c r="D92" s="229">
        <f>SUM(M!H161:J161)</f>
        <v>-79.993636363636256</v>
      </c>
      <c r="E92" s="229">
        <f>SUM(M!K161:M161)</f>
        <v>1.0063636363638579</v>
      </c>
      <c r="F92" s="229">
        <f>SUM(M!N161:P161)</f>
        <v>75.892727272727598</v>
      </c>
      <c r="G92" s="229">
        <f>SUM(M!Q161:S161)</f>
        <v>13086.977218787881</v>
      </c>
      <c r="H92" s="229">
        <f>SUM(M!T161:V161)</f>
        <v>7575.7371109090909</v>
      </c>
      <c r="I92" s="229">
        <f>SUM(M!W161:Y161)</f>
        <v>4913.9886109090912</v>
      </c>
      <c r="J92" s="229">
        <f>SUM(M!Z161:AB161)</f>
        <v>-25587.460959999997</v>
      </c>
      <c r="K92" s="229">
        <f>SUM(M!AC161:AE161)</f>
        <v>19.508736969701204</v>
      </c>
      <c r="L92" s="229">
        <f>SUM(M!AF161:AH161)</f>
        <v>9128.3154316883119</v>
      </c>
      <c r="M92" s="229">
        <f>SUM(M!AI161:AK161)</f>
        <v>16461.520674285715</v>
      </c>
      <c r="N92" s="229">
        <f>SUM(M!AL161:AN161)</f>
        <v>1496.7427771428593</v>
      </c>
      <c r="O92" s="229">
        <f>SUM(M!AO161:AQ161)</f>
        <v>27935.758411428578</v>
      </c>
    </row>
    <row r="93" spans="1:15" x14ac:dyDescent="0.2">
      <c r="A93" s="177" t="s">
        <v>72</v>
      </c>
      <c r="B93" s="210">
        <v>0</v>
      </c>
      <c r="C93" s="210">
        <f>B94</f>
        <v>104.2800000000002</v>
      </c>
      <c r="D93" s="210">
        <f t="shared" ref="D93:O93" si="12">C94</f>
        <v>90.816666666667288</v>
      </c>
      <c r="E93" s="210">
        <f t="shared" si="12"/>
        <v>10.823030303031032</v>
      </c>
      <c r="F93" s="210">
        <f t="shared" si="12"/>
        <v>11.82939393939489</v>
      </c>
      <c r="G93" s="210">
        <f t="shared" si="12"/>
        <v>87.722121212122488</v>
      </c>
      <c r="H93" s="210">
        <f t="shared" si="12"/>
        <v>13174.699340000003</v>
      </c>
      <c r="I93" s="210">
        <f t="shared" si="12"/>
        <v>20750.436450909092</v>
      </c>
      <c r="J93" s="210">
        <f t="shared" si="12"/>
        <v>25664.425061818183</v>
      </c>
      <c r="K93" s="210">
        <f t="shared" si="12"/>
        <v>76.964101818189192</v>
      </c>
      <c r="L93" s="210">
        <f t="shared" si="12"/>
        <v>96.472838787890396</v>
      </c>
      <c r="M93" s="210">
        <f t="shared" si="12"/>
        <v>9224.7882704762033</v>
      </c>
      <c r="N93" s="210">
        <f t="shared" si="12"/>
        <v>25686.308944761917</v>
      </c>
      <c r="O93" s="210">
        <f t="shared" si="12"/>
        <v>27183.051721904772</v>
      </c>
    </row>
    <row r="94" spans="1:15" x14ac:dyDescent="0.2">
      <c r="A94" s="187" t="s">
        <v>73</v>
      </c>
      <c r="B94" s="231">
        <f>M!D163</f>
        <v>104.2800000000002</v>
      </c>
      <c r="C94" s="231">
        <f>M!G163</f>
        <v>90.816666666667288</v>
      </c>
      <c r="D94" s="231">
        <f>M!J163</f>
        <v>10.823030303031032</v>
      </c>
      <c r="E94" s="231">
        <f>M!M163</f>
        <v>11.82939393939489</v>
      </c>
      <c r="F94" s="231">
        <f>M!P163</f>
        <v>87.722121212122488</v>
      </c>
      <c r="G94" s="231">
        <f>M!S163</f>
        <v>13174.699340000003</v>
      </c>
      <c r="H94" s="231">
        <f>M!V163</f>
        <v>20750.436450909092</v>
      </c>
      <c r="I94" s="231">
        <f>M!Y163</f>
        <v>25664.425061818183</v>
      </c>
      <c r="J94" s="231">
        <f>M!AB163</f>
        <v>76.964101818189192</v>
      </c>
      <c r="K94" s="231">
        <f>M!AE163</f>
        <v>96.472838787890396</v>
      </c>
      <c r="L94" s="231">
        <f>M!AH163</f>
        <v>9224.7882704762033</v>
      </c>
      <c r="M94" s="231">
        <f>M!AK163</f>
        <v>25686.308944761917</v>
      </c>
      <c r="N94" s="231">
        <f>M!AN163</f>
        <v>27183.051721904772</v>
      </c>
      <c r="O94" s="231">
        <f>M!AQ163</f>
        <v>55118.810133333347</v>
      </c>
    </row>
    <row r="95" spans="1:15" x14ac:dyDescent="0.2">
      <c r="B95" s="210"/>
    </row>
    <row r="96" spans="1:15" ht="15.75" x14ac:dyDescent="0.25">
      <c r="A96" s="206" t="s">
        <v>214</v>
      </c>
      <c r="B96" s="210"/>
    </row>
    <row r="97" spans="1:15" x14ac:dyDescent="0.2">
      <c r="A97" s="233" t="s">
        <v>111</v>
      </c>
      <c r="B97" s="234">
        <f>M!D169</f>
        <v>104.2800000000002</v>
      </c>
      <c r="C97" s="234">
        <f>M!G169</f>
        <v>90.816666666667288</v>
      </c>
      <c r="D97" s="234">
        <f>M!J169</f>
        <v>10.823030303031032</v>
      </c>
      <c r="E97" s="234">
        <f>M!M169</f>
        <v>11.82939393939489</v>
      </c>
      <c r="F97" s="234">
        <f>M!P169</f>
        <v>87.722121212122488</v>
      </c>
      <c r="G97" s="234">
        <f>M!S169</f>
        <v>13174.699340000003</v>
      </c>
      <c r="H97" s="234">
        <f>M!V169</f>
        <v>20750.436450909092</v>
      </c>
      <c r="I97" s="234">
        <f>M!Y169</f>
        <v>25664.425061818183</v>
      </c>
      <c r="J97" s="234">
        <f>M!AB169</f>
        <v>76.964101818189192</v>
      </c>
      <c r="K97" s="234">
        <f>M!AE169</f>
        <v>96.472838787890396</v>
      </c>
      <c r="L97" s="234">
        <f>M!AH169</f>
        <v>9224.7882704762033</v>
      </c>
      <c r="M97" s="234">
        <f>M!AK169</f>
        <v>25686.308944761917</v>
      </c>
      <c r="N97" s="234">
        <f>M!AN169</f>
        <v>27183.051721904772</v>
      </c>
      <c r="O97" s="234">
        <f>M!AQ169</f>
        <v>55118.810133333347</v>
      </c>
    </row>
    <row r="98" spans="1:15" x14ac:dyDescent="0.2">
      <c r="A98" s="177" t="s">
        <v>112</v>
      </c>
      <c r="B98" s="210">
        <f>M!D170</f>
        <v>0</v>
      </c>
      <c r="C98" s="210">
        <f>M!G170</f>
        <v>0</v>
      </c>
      <c r="D98" s="210">
        <f>M!J170</f>
        <v>0</v>
      </c>
      <c r="E98" s="210">
        <f>M!M170</f>
        <v>0</v>
      </c>
      <c r="F98" s="210">
        <f>M!P170</f>
        <v>0</v>
      </c>
      <c r="G98" s="210">
        <f>M!S170</f>
        <v>0</v>
      </c>
      <c r="H98" s="210">
        <f>M!V170</f>
        <v>0</v>
      </c>
      <c r="I98" s="210">
        <f>M!Y170</f>
        <v>0</v>
      </c>
      <c r="J98" s="210">
        <f>M!AB170</f>
        <v>0</v>
      </c>
      <c r="K98" s="210">
        <f>M!AE170</f>
        <v>0</v>
      </c>
      <c r="L98" s="210">
        <f>M!AH170</f>
        <v>0</v>
      </c>
      <c r="M98" s="210">
        <f>M!AK170</f>
        <v>0</v>
      </c>
      <c r="N98" s="210">
        <f>M!AN170</f>
        <v>0</v>
      </c>
      <c r="O98" s="210">
        <f>M!AQ170</f>
        <v>0</v>
      </c>
    </row>
    <row r="99" spans="1:15" x14ac:dyDescent="0.2">
      <c r="A99" s="177" t="s">
        <v>113</v>
      </c>
      <c r="B99" s="210">
        <f>M!D171</f>
        <v>2844.8266666666664</v>
      </c>
      <c r="C99" s="210">
        <f>M!G171</f>
        <v>6566.2333333333327</v>
      </c>
      <c r="D99" s="210">
        <f ca="1">M!J171</f>
        <v>10419.458181818181</v>
      </c>
      <c r="E99" s="210">
        <f ca="1">M!M171</f>
        <v>14598.440606060607</v>
      </c>
      <c r="F99" s="210">
        <f ca="1">M!P171</f>
        <v>32144.827969696977</v>
      </c>
      <c r="G99" s="210">
        <f ca="1">M!S171</f>
        <v>26780.570666666688</v>
      </c>
      <c r="H99" s="210">
        <f ca="1">M!V171</f>
        <v>28010.227757575791</v>
      </c>
      <c r="I99" s="210">
        <f ca="1">M!Y171</f>
        <v>25164.801939393983</v>
      </c>
      <c r="J99" s="210">
        <f ca="1">M!AB171</f>
        <v>39636.04278787884</v>
      </c>
      <c r="K99" s="210">
        <f ca="1">M!AE171</f>
        <v>26973.618666666724</v>
      </c>
      <c r="L99" s="210">
        <f ca="1">M!AH171</f>
        <v>23465.133142857205</v>
      </c>
      <c r="M99" s="210">
        <f ca="1">M!AK171</f>
        <v>14193.422095238157</v>
      </c>
      <c r="N99" s="210">
        <f ca="1">M!AN171</f>
        <v>15334.936571428636</v>
      </c>
      <c r="O99" s="210">
        <f ca="1">M!AQ171</f>
        <v>6.8894223659299314E-11</v>
      </c>
    </row>
    <row r="100" spans="1:15" s="220" customFormat="1" ht="12" outlineLevel="1" x14ac:dyDescent="0.2">
      <c r="A100" s="173" t="s">
        <v>127</v>
      </c>
      <c r="B100" s="218">
        <f>M!D172</f>
        <v>2794.8266666666664</v>
      </c>
      <c r="C100" s="218">
        <f>M!G172</f>
        <v>6441.6219343696021</v>
      </c>
      <c r="D100" s="218">
        <f ca="1">M!J172</f>
        <v>10376.215935245556</v>
      </c>
      <c r="E100" s="218">
        <f ca="1">M!M172</f>
        <v>14571.827477915233</v>
      </c>
      <c r="F100" s="218">
        <f ca="1">M!P172</f>
        <v>32044.960845782716</v>
      </c>
      <c r="G100" s="218">
        <f ca="1">M!S172</f>
        <v>26684.993343031394</v>
      </c>
      <c r="H100" s="218">
        <f ca="1">M!V172</f>
        <v>27924.730437020648</v>
      </c>
      <c r="I100" s="218">
        <f ca="1">M!Y172</f>
        <v>25035.528939043194</v>
      </c>
      <c r="J100" s="218">
        <f ca="1">M!AB172</f>
        <v>39388.740117085035</v>
      </c>
      <c r="K100" s="218">
        <f ca="1">M!AE172</f>
        <v>26482.356784562311</v>
      </c>
      <c r="L100" s="218">
        <f ca="1">M!AH172</f>
        <v>23461.597922678815</v>
      </c>
      <c r="M100" s="218">
        <f ca="1">M!AK172</f>
        <v>14127.467396251483</v>
      </c>
      <c r="N100" s="218">
        <f ca="1">M!AN172</f>
        <v>15134.926636995908</v>
      </c>
      <c r="O100" s="218">
        <f ca="1">M!AQ172</f>
        <v>8.5492501966655254E-11</v>
      </c>
    </row>
    <row r="101" spans="1:15" s="220" customFormat="1" ht="12" outlineLevel="1" x14ac:dyDescent="0.2">
      <c r="A101" s="173" t="s">
        <v>128</v>
      </c>
      <c r="B101" s="218">
        <f>M!D173</f>
        <v>50</v>
      </c>
      <c r="C101" s="218">
        <f>M!G173</f>
        <v>124.61139896373055</v>
      </c>
      <c r="D101" s="218">
        <f ca="1">M!J173</f>
        <v>43.242246572625504</v>
      </c>
      <c r="E101" s="218">
        <f ca="1">M!M173</f>
        <v>26.613128145375185</v>
      </c>
      <c r="F101" s="218">
        <f ca="1">M!P173</f>
        <v>99.867123914260446</v>
      </c>
      <c r="G101" s="218">
        <f ca="1">M!S173</f>
        <v>95.577323635294874</v>
      </c>
      <c r="H101" s="218">
        <f ca="1">M!V173</f>
        <v>85.497320555144938</v>
      </c>
      <c r="I101" s="218">
        <f ca="1">M!Y173</f>
        <v>129.27300035078997</v>
      </c>
      <c r="J101" s="218">
        <f ca="1">M!AB173</f>
        <v>247.30267079380246</v>
      </c>
      <c r="K101" s="218">
        <f ca="1">M!AE173</f>
        <v>491.26188210441353</v>
      </c>
      <c r="L101" s="218">
        <f ca="1">M!AH173</f>
        <v>3.5352201783884993</v>
      </c>
      <c r="M101" s="218">
        <f ca="1">M!AK173</f>
        <v>65.954698986674657</v>
      </c>
      <c r="N101" s="218">
        <f ca="1">M!AN173</f>
        <v>200.00993443272819</v>
      </c>
      <c r="O101" s="218">
        <f ca="1">M!AQ173</f>
        <v>-1.659827830735594E-11</v>
      </c>
    </row>
    <row r="102" spans="1:15" ht="13.5" outlineLevel="1" thickBot="1" x14ac:dyDescent="0.25">
      <c r="A102" s="177" t="s">
        <v>114</v>
      </c>
      <c r="B102" s="210">
        <f>M!D174</f>
        <v>9916.6666666666661</v>
      </c>
      <c r="C102" s="210">
        <f>M!G174</f>
        <v>9670.8102334104933</v>
      </c>
      <c r="D102" s="210">
        <f>M!J174</f>
        <v>9431.049133173492</v>
      </c>
      <c r="E102" s="210">
        <f>M!M174</f>
        <v>9197.2322489638354</v>
      </c>
      <c r="F102" s="210">
        <f>M!P174</f>
        <v>8969.2122103192414</v>
      </c>
      <c r="G102" s="210">
        <f>M!S174</f>
        <v>8746.8453004220846</v>
      </c>
      <c r="H102" s="210">
        <f>M!V174</f>
        <v>8529.9913655173495</v>
      </c>
      <c r="I102" s="210">
        <f>M!Y174</f>
        <v>8318.5137265763024</v>
      </c>
      <c r="J102" s="210">
        <f>M!AB174</f>
        <v>8112.2790931502286</v>
      </c>
      <c r="K102" s="210">
        <f>M!AE174</f>
        <v>7911.1574793599229</v>
      </c>
      <c r="L102" s="210">
        <f>M!AH174</f>
        <v>7715.0221219679906</v>
      </c>
      <c r="M102" s="210">
        <f>M!AK174</f>
        <v>7523.7494004823247</v>
      </c>
      <c r="N102" s="210">
        <f>M!AN174</f>
        <v>7337.2187592403898</v>
      </c>
      <c r="O102" s="210">
        <f>M!AQ174</f>
        <v>7155.3126314252168</v>
      </c>
    </row>
    <row r="103" spans="1:15" ht="13.5" thickBot="1" x14ac:dyDescent="0.25">
      <c r="A103" s="228" t="s">
        <v>115</v>
      </c>
      <c r="B103" s="229">
        <f>M!D175</f>
        <v>12865.773333333333</v>
      </c>
      <c r="C103" s="229">
        <f>M!G175</f>
        <v>16327.860233410494</v>
      </c>
      <c r="D103" s="229">
        <f ca="1">M!J175</f>
        <v>19861.330345294704</v>
      </c>
      <c r="E103" s="229">
        <f ca="1">M!M175</f>
        <v>23807.502248963836</v>
      </c>
      <c r="F103" s="229">
        <f ca="1">M!P175</f>
        <v>41201.762301228344</v>
      </c>
      <c r="G103" s="229">
        <f ca="1">M!S175</f>
        <v>48702.115307088774</v>
      </c>
      <c r="H103" s="229">
        <f ca="1">M!V175</f>
        <v>57290.655574002238</v>
      </c>
      <c r="I103" s="229">
        <f ca="1">M!Y175</f>
        <v>59147.74072778847</v>
      </c>
      <c r="J103" s="229">
        <f ca="1">M!AB175</f>
        <v>47825.285982847257</v>
      </c>
      <c r="K103" s="229">
        <f ca="1">M!AE175</f>
        <v>34981.248984814534</v>
      </c>
      <c r="L103" s="229">
        <f ca="1">M!AH175</f>
        <v>40404.943535301398</v>
      </c>
      <c r="M103" s="229">
        <f ca="1">M!AK175</f>
        <v>47403.480440482395</v>
      </c>
      <c r="N103" s="229">
        <f ca="1">M!AN175</f>
        <v>49855.207052573794</v>
      </c>
      <c r="O103" s="229">
        <f ca="1">M!AQ175</f>
        <v>62274.122764758627</v>
      </c>
    </row>
    <row r="105" spans="1:15" x14ac:dyDescent="0.2">
      <c r="A105" s="233" t="s">
        <v>116</v>
      </c>
      <c r="B105" s="234">
        <f>M!D178</f>
        <v>13700</v>
      </c>
      <c r="C105" s="234">
        <f>M!G178</f>
        <v>19500</v>
      </c>
      <c r="D105" s="234">
        <f>M!J178</f>
        <v>24100</v>
      </c>
      <c r="E105" s="234">
        <f>M!M178</f>
        <v>30700</v>
      </c>
      <c r="F105" s="234">
        <f>M!P178</f>
        <v>46900</v>
      </c>
      <c r="G105" s="234">
        <f>M!S178</f>
        <v>46900</v>
      </c>
      <c r="H105" s="234">
        <f>M!V178</f>
        <v>46900</v>
      </c>
      <c r="I105" s="234">
        <f>M!Y178</f>
        <v>46900</v>
      </c>
      <c r="J105" s="234">
        <f>M!AB178</f>
        <v>32900</v>
      </c>
      <c r="K105" s="234">
        <f>M!AE178</f>
        <v>6300</v>
      </c>
      <c r="L105" s="234">
        <f>M!AH178</f>
        <v>0</v>
      </c>
      <c r="M105" s="234">
        <f>M!AK178</f>
        <v>0</v>
      </c>
      <c r="N105" s="234">
        <f>M!AN178</f>
        <v>0</v>
      </c>
      <c r="O105" s="234">
        <f>M!AQ178</f>
        <v>0</v>
      </c>
    </row>
    <row r="106" spans="1:15" x14ac:dyDescent="0.2">
      <c r="A106" s="177" t="s">
        <v>117</v>
      </c>
      <c r="B106" s="210">
        <f>M!D179</f>
        <v>291.66666666666663</v>
      </c>
      <c r="C106" s="210">
        <f>M!G179</f>
        <v>0</v>
      </c>
      <c r="D106" s="210">
        <f>M!J179</f>
        <v>212.12121212121201</v>
      </c>
      <c r="E106" s="210">
        <f>M!M179</f>
        <v>0</v>
      </c>
      <c r="F106" s="210">
        <f>M!P179</f>
        <v>649.67308424242401</v>
      </c>
      <c r="G106" s="210">
        <f>M!S179</f>
        <v>676.29198000000019</v>
      </c>
      <c r="H106" s="210">
        <f>M!V179</f>
        <v>497.28290424242482</v>
      </c>
      <c r="I106" s="210">
        <f>M!Y179</f>
        <v>327.89914181818176</v>
      </c>
      <c r="J106" s="210">
        <f>M!AB179</f>
        <v>661.23247515151388</v>
      </c>
      <c r="K106" s="210">
        <f>M!AE179</f>
        <v>983.69742545454574</v>
      </c>
      <c r="L106" s="210">
        <f>M!AH179</f>
        <v>257.63504000000012</v>
      </c>
      <c r="M106" s="210">
        <f>M!AK179</f>
        <v>515.27008000000023</v>
      </c>
      <c r="N106" s="210">
        <f>M!AN179</f>
        <v>257.63504000000012</v>
      </c>
      <c r="O106" s="210">
        <f>M!AQ179</f>
        <v>0</v>
      </c>
    </row>
    <row r="107" spans="1:15" ht="13.5" thickBot="1" x14ac:dyDescent="0.25">
      <c r="A107" s="177" t="s">
        <v>118</v>
      </c>
      <c r="B107" s="210">
        <f>M!D180</f>
        <v>-1125.8933333333334</v>
      </c>
      <c r="C107" s="210">
        <f>M!G180</f>
        <v>-3172.1397665895061</v>
      </c>
      <c r="D107" s="210">
        <f>M!J180</f>
        <v>-4450.7908668265072</v>
      </c>
      <c r="E107" s="210">
        <f>M!M180</f>
        <v>-6892.4977510361632</v>
      </c>
      <c r="F107" s="210">
        <f>M!P180</f>
        <v>-6347.9107830140892</v>
      </c>
      <c r="G107" s="210">
        <f>M!S180</f>
        <v>1125.8233270887572</v>
      </c>
      <c r="H107" s="210">
        <f>M!V180</f>
        <v>9893.3726697597795</v>
      </c>
      <c r="I107" s="210">
        <f>M!Y180</f>
        <v>11919.841585970247</v>
      </c>
      <c r="J107" s="210">
        <f>M!AB180</f>
        <v>14264.053507695691</v>
      </c>
      <c r="K107" s="210">
        <f>M!AE180</f>
        <v>27697.551559359938</v>
      </c>
      <c r="L107" s="210">
        <f>M!AH180</f>
        <v>40147.308495301339</v>
      </c>
      <c r="M107" s="210">
        <f>M!AK180</f>
        <v>46888.210360482342</v>
      </c>
      <c r="N107" s="210">
        <f>M!AN180</f>
        <v>49597.572012573743</v>
      </c>
      <c r="O107" s="210">
        <f>M!AQ180</f>
        <v>62274.122764758577</v>
      </c>
    </row>
    <row r="108" spans="1:15" ht="13.5" thickBot="1" x14ac:dyDescent="0.25">
      <c r="A108" s="228" t="s">
        <v>119</v>
      </c>
      <c r="B108" s="229">
        <f>M!D181</f>
        <v>12865.773333333333</v>
      </c>
      <c r="C108" s="229">
        <f>M!G181</f>
        <v>16327.860233410494</v>
      </c>
      <c r="D108" s="229">
        <f>M!J181</f>
        <v>19861.330345294704</v>
      </c>
      <c r="E108" s="229">
        <f>M!M181</f>
        <v>23807.502248963836</v>
      </c>
      <c r="F108" s="229">
        <f>M!P181</f>
        <v>41201.762301228329</v>
      </c>
      <c r="G108" s="229">
        <f>M!S181</f>
        <v>48702.115307088759</v>
      </c>
      <c r="H108" s="229">
        <f>M!V181</f>
        <v>57290.655574002209</v>
      </c>
      <c r="I108" s="229">
        <f>M!Y181</f>
        <v>59147.740727788434</v>
      </c>
      <c r="J108" s="229">
        <f>M!AB181</f>
        <v>47825.285982847199</v>
      </c>
      <c r="K108" s="229">
        <f>M!AE181</f>
        <v>34981.248984814483</v>
      </c>
      <c r="L108" s="229">
        <f>M!AH181</f>
        <v>40404.94353530134</v>
      </c>
      <c r="M108" s="229">
        <f>M!AK181</f>
        <v>47403.480440482344</v>
      </c>
      <c r="N108" s="229">
        <f>M!AN181</f>
        <v>49855.207052573744</v>
      </c>
      <c r="O108" s="229">
        <f>M!AQ181</f>
        <v>62274.122764758577</v>
      </c>
    </row>
    <row r="110" spans="1:15" x14ac:dyDescent="0.2">
      <c r="A110" s="177" t="s">
        <v>24</v>
      </c>
      <c r="B110" s="77">
        <f t="shared" ref="B110:O110" si="13">ROUND(B103-B108,5)</f>
        <v>0</v>
      </c>
      <c r="C110" s="77">
        <f t="shared" si="13"/>
        <v>0</v>
      </c>
      <c r="D110" s="77">
        <f t="shared" ca="1" si="13"/>
        <v>0</v>
      </c>
      <c r="E110" s="77">
        <f t="shared" ca="1" si="13"/>
        <v>0</v>
      </c>
      <c r="F110" s="77">
        <f t="shared" ca="1" si="13"/>
        <v>0</v>
      </c>
      <c r="G110" s="77">
        <f t="shared" ca="1" si="13"/>
        <v>0</v>
      </c>
      <c r="H110" s="77">
        <f t="shared" ca="1" si="13"/>
        <v>0</v>
      </c>
      <c r="I110" s="77">
        <f t="shared" ca="1" si="13"/>
        <v>0</v>
      </c>
      <c r="J110" s="77">
        <f t="shared" ca="1" si="13"/>
        <v>0</v>
      </c>
      <c r="K110" s="77">
        <f t="shared" ca="1" si="13"/>
        <v>0</v>
      </c>
      <c r="L110" s="77">
        <f t="shared" ca="1" si="13"/>
        <v>0</v>
      </c>
      <c r="M110" s="77">
        <f t="shared" ca="1" si="13"/>
        <v>0</v>
      </c>
      <c r="N110" s="77">
        <f t="shared" ca="1" si="13"/>
        <v>0</v>
      </c>
      <c r="O110" s="77">
        <f t="shared" ca="1" si="13"/>
        <v>0</v>
      </c>
    </row>
  </sheetData>
  <mergeCells count="4">
    <mergeCell ref="B1:C1"/>
    <mergeCell ref="D1:G1"/>
    <mergeCell ref="H1:K1"/>
    <mergeCell ref="L1:O1"/>
  </mergeCells>
  <conditionalFormatting sqref="B110:O110">
    <cfRule type="cellIs" dxfId="1" priority="1" operator="equal">
      <formula>0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E110"/>
  <sheetViews>
    <sheetView zoomScale="80" zoomScaleNormal="80" workbookViewId="0">
      <pane ySplit="2" topLeftCell="A3" activePane="bottomLeft" state="frozen"/>
      <selection activeCell="H89" sqref="H89"/>
      <selection pane="bottomLeft" activeCell="G26" sqref="G26"/>
    </sheetView>
  </sheetViews>
  <sheetFormatPr defaultRowHeight="12.75" outlineLevelRow="1" x14ac:dyDescent="0.2"/>
  <cols>
    <col min="1" max="1" width="34.140625" style="177" customWidth="1"/>
    <col min="2" max="5" width="10.7109375" style="170" customWidth="1"/>
    <col min="6" max="16384" width="9.140625" style="177"/>
  </cols>
  <sheetData>
    <row r="1" spans="1:5" x14ac:dyDescent="0.2">
      <c r="A1" s="176" t="s">
        <v>102</v>
      </c>
      <c r="B1" s="242"/>
      <c r="C1" s="242"/>
      <c r="D1" s="242"/>
      <c r="E1" s="242"/>
    </row>
    <row r="2" spans="1:5" x14ac:dyDescent="0.2">
      <c r="B2" s="243">
        <v>2017</v>
      </c>
      <c r="C2" s="243">
        <v>2018</v>
      </c>
      <c r="D2" s="243">
        <v>2019</v>
      </c>
      <c r="E2" s="243">
        <v>2020</v>
      </c>
    </row>
    <row r="3" spans="1:5" ht="16.5" thickBot="1" x14ac:dyDescent="0.3">
      <c r="A3" s="258" t="s">
        <v>220</v>
      </c>
      <c r="B3" s="258"/>
      <c r="C3" s="258"/>
      <c r="D3" s="258"/>
      <c r="E3" s="258"/>
    </row>
    <row r="4" spans="1:5" ht="13.5" thickBot="1" x14ac:dyDescent="0.25">
      <c r="A4" s="182" t="s">
        <v>27</v>
      </c>
      <c r="B4" s="244">
        <f>QY!D4</f>
        <v>0</v>
      </c>
      <c r="C4" s="244">
        <f>QY!I4</f>
        <v>100000</v>
      </c>
      <c r="D4" s="244">
        <f>QY!N4</f>
        <v>200000</v>
      </c>
      <c r="E4" s="244">
        <f>QY!S4</f>
        <v>200000.00000000003</v>
      </c>
    </row>
    <row r="5" spans="1:5" x14ac:dyDescent="0.2">
      <c r="A5" s="177" t="s">
        <v>7</v>
      </c>
      <c r="B5" s="245">
        <f>QY!D5</f>
        <v>0</v>
      </c>
      <c r="C5" s="245">
        <f>QY!I5</f>
        <v>5000</v>
      </c>
      <c r="D5" s="245">
        <f>QY!N5</f>
        <v>10000.000000000002</v>
      </c>
      <c r="E5" s="245">
        <f>QY!S5</f>
        <v>10000</v>
      </c>
    </row>
    <row r="6" spans="1:5" x14ac:dyDescent="0.2">
      <c r="A6" s="177" t="s">
        <v>8</v>
      </c>
      <c r="B6" s="245">
        <f>QY!D6</f>
        <v>0</v>
      </c>
      <c r="C6" s="245">
        <f>QY!I6</f>
        <v>90000</v>
      </c>
      <c r="D6" s="245">
        <f>QY!N6</f>
        <v>180000</v>
      </c>
      <c r="E6" s="245">
        <f>QY!S6</f>
        <v>180000.00000000003</v>
      </c>
    </row>
    <row r="7" spans="1:5" x14ac:dyDescent="0.2">
      <c r="A7" s="187" t="s">
        <v>9</v>
      </c>
      <c r="B7" s="246">
        <f>QY!D7</f>
        <v>0</v>
      </c>
      <c r="C7" s="246">
        <f>QY!I7</f>
        <v>5000</v>
      </c>
      <c r="D7" s="246">
        <f>QY!N7</f>
        <v>10000.000000000002</v>
      </c>
      <c r="E7" s="246">
        <f>QY!S7</f>
        <v>10000</v>
      </c>
    </row>
    <row r="9" spans="1:5" ht="13.5" thickBot="1" x14ac:dyDescent="0.25">
      <c r="A9" s="177" t="s">
        <v>110</v>
      </c>
      <c r="B9" s="247"/>
    </row>
    <row r="10" spans="1:5" ht="13.5" thickBot="1" x14ac:dyDescent="0.25">
      <c r="A10" s="182" t="s">
        <v>6</v>
      </c>
      <c r="B10" s="244">
        <f>QY!D10</f>
        <v>1666.6666666666665</v>
      </c>
      <c r="C10" s="244">
        <f>QY!I10</f>
        <v>3333.333333333333</v>
      </c>
      <c r="D10" s="244">
        <f>QY!N10</f>
        <v>3333.333333333333</v>
      </c>
      <c r="E10" s="244">
        <f>QY!S10</f>
        <v>0</v>
      </c>
    </row>
    <row r="11" spans="1:5" x14ac:dyDescent="0.2">
      <c r="B11" s="245">
        <f>QY!D11</f>
        <v>1666.6666666666665</v>
      </c>
      <c r="C11" s="245">
        <f>QY!I11</f>
        <v>3333.333333333333</v>
      </c>
      <c r="D11" s="245">
        <f>QY!N11</f>
        <v>3333.333333333333</v>
      </c>
      <c r="E11" s="245">
        <f>QY!S11</f>
        <v>0</v>
      </c>
    </row>
    <row r="12" spans="1:5" ht="13.5" thickBot="1" x14ac:dyDescent="0.25"/>
    <row r="13" spans="1:5" ht="13.5" thickBot="1" x14ac:dyDescent="0.25">
      <c r="A13" s="182" t="s">
        <v>45</v>
      </c>
      <c r="B13" s="244">
        <f>QY!D13</f>
        <v>10669.257340241798</v>
      </c>
      <c r="C13" s="244">
        <f ca="1">QY!I13</f>
        <v>205193.56050218959</v>
      </c>
      <c r="D13" s="244">
        <f ca="1">QY!N13</f>
        <v>210362.10294353921</v>
      </c>
      <c r="E13" s="244">
        <f ca="1">QY!S13</f>
        <v>66275.079214029538</v>
      </c>
    </row>
    <row r="14" spans="1:5" x14ac:dyDescent="0.2">
      <c r="A14" s="177" t="s">
        <v>40</v>
      </c>
      <c r="B14" s="245">
        <f>QY!D14</f>
        <v>10669.257340241798</v>
      </c>
      <c r="C14" s="245">
        <f>QY!I14</f>
        <v>87830.742659758209</v>
      </c>
      <c r="D14" s="245">
        <f>QY!N14</f>
        <v>0</v>
      </c>
      <c r="E14" s="245">
        <f>QY!S14</f>
        <v>0</v>
      </c>
    </row>
    <row r="15" spans="1:5" x14ac:dyDescent="0.2">
      <c r="A15" s="177" t="s">
        <v>41</v>
      </c>
      <c r="B15" s="245">
        <f>QY!D15</f>
        <v>0</v>
      </c>
      <c r="C15" s="245">
        <f ca="1">QY!I15</f>
        <v>49014.354066985645</v>
      </c>
      <c r="D15" s="245">
        <f ca="1">QY!N15</f>
        <v>4712.9186602870814</v>
      </c>
      <c r="E15" s="245">
        <f>QY!S15</f>
        <v>0</v>
      </c>
    </row>
    <row r="16" spans="1:5" x14ac:dyDescent="0.2">
      <c r="A16" s="177" t="s">
        <v>42</v>
      </c>
      <c r="B16" s="245">
        <f>QY!D16</f>
        <v>0</v>
      </c>
      <c r="C16" s="245">
        <f ca="1">QY!I16</f>
        <v>68348.463775445722</v>
      </c>
      <c r="D16" s="245">
        <f ca="1">QY!N16</f>
        <v>74924.263497281616</v>
      </c>
      <c r="E16" s="245">
        <f>QY!S16</f>
        <v>0</v>
      </c>
    </row>
    <row r="17" spans="1:5" x14ac:dyDescent="0.2">
      <c r="A17" s="177" t="s">
        <v>43</v>
      </c>
      <c r="B17" s="245">
        <f>QY!D17</f>
        <v>0</v>
      </c>
      <c r="C17" s="245">
        <f>QY!I17</f>
        <v>0</v>
      </c>
      <c r="D17" s="245">
        <f ca="1">QY!N17</f>
        <v>77022.556390977436</v>
      </c>
      <c r="E17" s="245">
        <f ca="1">QY!S17</f>
        <v>7406.0150375939838</v>
      </c>
    </row>
    <row r="18" spans="1:5" x14ac:dyDescent="0.2">
      <c r="A18" s="187" t="s">
        <v>44</v>
      </c>
      <c r="B18" s="246">
        <f>QY!D18</f>
        <v>0</v>
      </c>
      <c r="C18" s="246">
        <f>QY!I18</f>
        <v>0</v>
      </c>
      <c r="D18" s="246">
        <f ca="1">QY!N18</f>
        <v>53702.36439499307</v>
      </c>
      <c r="E18" s="246">
        <f ca="1">QY!S18</f>
        <v>58869.064176435553</v>
      </c>
    </row>
    <row r="20" spans="1:5" ht="13.5" thickBot="1" x14ac:dyDescent="0.25">
      <c r="A20" s="191" t="s">
        <v>50</v>
      </c>
    </row>
    <row r="21" spans="1:5" ht="13.5" thickBot="1" x14ac:dyDescent="0.25">
      <c r="A21" s="182" t="s">
        <v>53</v>
      </c>
      <c r="B21" s="244">
        <f>QY!D21</f>
        <v>0</v>
      </c>
      <c r="C21" s="244">
        <f>QY!I21</f>
        <v>830.74265975820163</v>
      </c>
      <c r="D21" s="244">
        <f ca="1">QY!N21</f>
        <v>637.18215756861173</v>
      </c>
      <c r="E21" s="244">
        <f ca="1">QY!S21</f>
        <v>3275.0792140294216</v>
      </c>
    </row>
    <row r="22" spans="1:5" x14ac:dyDescent="0.2">
      <c r="A22" s="192" t="s">
        <v>56</v>
      </c>
      <c r="B22" s="245">
        <f>QY!D22</f>
        <v>11500</v>
      </c>
      <c r="C22" s="245">
        <f>QY!I22</f>
        <v>205000</v>
      </c>
      <c r="D22" s="245">
        <f>QY!N22</f>
        <v>213000</v>
      </c>
      <c r="E22" s="245">
        <f>QY!S22</f>
        <v>63000</v>
      </c>
    </row>
    <row r="23" spans="1:5" ht="13.5" thickBot="1" x14ac:dyDescent="0.25">
      <c r="A23" s="192" t="s">
        <v>57</v>
      </c>
      <c r="B23" s="245">
        <f>QY!D23</f>
        <v>-10669.257340241798</v>
      </c>
      <c r="C23" s="245">
        <f ca="1">QY!I23</f>
        <v>-205193.56050218959</v>
      </c>
      <c r="D23" s="245">
        <f ca="1">QY!N23</f>
        <v>-210362.10294353921</v>
      </c>
      <c r="E23" s="245">
        <f ca="1">QY!S23</f>
        <v>-66275.079214029538</v>
      </c>
    </row>
    <row r="24" spans="1:5" ht="13.5" thickBot="1" x14ac:dyDescent="0.25">
      <c r="A24" s="182" t="s">
        <v>55</v>
      </c>
      <c r="B24" s="244">
        <f>QY!D24</f>
        <v>830.74265975820163</v>
      </c>
      <c r="C24" s="244">
        <f ca="1">QY!I24</f>
        <v>637.18215756861173</v>
      </c>
      <c r="D24" s="244">
        <f ca="1">QY!N24</f>
        <v>3275.0792140294216</v>
      </c>
      <c r="E24" s="244">
        <f ca="1">QY!S24</f>
        <v>-1.1459633242338896E-10</v>
      </c>
    </row>
    <row r="25" spans="1:5" x14ac:dyDescent="0.2">
      <c r="A25" s="193"/>
    </row>
    <row r="26" spans="1:5" ht="13.5" thickBot="1" x14ac:dyDescent="0.25">
      <c r="A26" s="191" t="s">
        <v>60</v>
      </c>
    </row>
    <row r="27" spans="1:5" ht="13.5" thickBot="1" x14ac:dyDescent="0.25">
      <c r="A27" s="194" t="s">
        <v>53</v>
      </c>
      <c r="B27" s="248">
        <f>QY!D27</f>
        <v>0</v>
      </c>
      <c r="C27" s="248">
        <f>QY!I27</f>
        <v>124.61139896373061</v>
      </c>
      <c r="D27" s="248">
        <f ca="1">QY!N27</f>
        <v>95.577323635294306</v>
      </c>
      <c r="E27" s="248">
        <f ca="1">QY!S27</f>
        <v>491.26188210441524</v>
      </c>
    </row>
    <row r="28" spans="1:5" x14ac:dyDescent="0.2">
      <c r="A28" s="197" t="s">
        <v>56</v>
      </c>
      <c r="B28" s="249">
        <f>QY!D28</f>
        <v>1725</v>
      </c>
      <c r="C28" s="249">
        <f>QY!I28</f>
        <v>30750</v>
      </c>
      <c r="D28" s="249">
        <f>QY!N28</f>
        <v>31950</v>
      </c>
      <c r="E28" s="249">
        <f>QY!S28</f>
        <v>9450</v>
      </c>
    </row>
    <row r="29" spans="1:5" ht="13.5" thickBot="1" x14ac:dyDescent="0.25">
      <c r="A29" s="197" t="s">
        <v>57</v>
      </c>
      <c r="B29" s="249">
        <f>QY!D29</f>
        <v>-1600.3886010362694</v>
      </c>
      <c r="C29" s="249">
        <f ca="1">QY!I29</f>
        <v>-30779.034075328436</v>
      </c>
      <c r="D29" s="249">
        <f ca="1">QY!N29</f>
        <v>-31554.315441530878</v>
      </c>
      <c r="E29" s="249">
        <f ca="1">QY!S29</f>
        <v>-9941.2618821044289</v>
      </c>
    </row>
    <row r="30" spans="1:5" ht="13.5" thickBot="1" x14ac:dyDescent="0.25">
      <c r="A30" s="194" t="s">
        <v>55</v>
      </c>
      <c r="B30" s="248">
        <f>QY!D30</f>
        <v>124.61139896373061</v>
      </c>
      <c r="C30" s="248">
        <f ca="1">QY!I30</f>
        <v>95.577323635294306</v>
      </c>
      <c r="D30" s="248">
        <f ca="1">QY!N30</f>
        <v>491.26188210441524</v>
      </c>
      <c r="E30" s="248">
        <f ca="1">QY!S30</f>
        <v>-1.3869794202037156E-11</v>
      </c>
    </row>
    <row r="31" spans="1:5" x14ac:dyDescent="0.2">
      <c r="A31" s="193"/>
    </row>
    <row r="32" spans="1:5" ht="13.5" thickBot="1" x14ac:dyDescent="0.25">
      <c r="A32" s="192" t="s">
        <v>51</v>
      </c>
    </row>
    <row r="33" spans="1:5" ht="13.5" thickBot="1" x14ac:dyDescent="0.25">
      <c r="A33" s="182" t="s">
        <v>53</v>
      </c>
      <c r="B33" s="244">
        <f>QY!D33</f>
        <v>0</v>
      </c>
      <c r="C33" s="244">
        <f>QY!I33</f>
        <v>12169.257340241798</v>
      </c>
      <c r="D33" s="244">
        <f ca="1">QY!N33</f>
        <v>120362.81784243138</v>
      </c>
      <c r="E33" s="244">
        <f ca="1">QY!S33</f>
        <v>133724.92078597055</v>
      </c>
    </row>
    <row r="34" spans="1:5" x14ac:dyDescent="0.2">
      <c r="A34" s="192" t="s">
        <v>52</v>
      </c>
      <c r="B34" s="245">
        <f>QY!D34</f>
        <v>1666.6666666666665</v>
      </c>
      <c r="C34" s="245">
        <f>QY!I34</f>
        <v>3333.333333333333</v>
      </c>
      <c r="D34" s="245">
        <f>QY!N34</f>
        <v>3333.333333333333</v>
      </c>
      <c r="E34" s="245">
        <f>QY!S34</f>
        <v>0</v>
      </c>
    </row>
    <row r="35" spans="1:5" x14ac:dyDescent="0.2">
      <c r="A35" s="192" t="s">
        <v>54</v>
      </c>
      <c r="B35" s="245">
        <f>QY!D35</f>
        <v>10669.257340241798</v>
      </c>
      <c r="C35" s="245">
        <f ca="1">QY!I35</f>
        <v>205193.56050218959</v>
      </c>
      <c r="D35" s="245">
        <f ca="1">QY!N35</f>
        <v>210362.10294353921</v>
      </c>
      <c r="E35" s="245">
        <f ca="1">QY!S35</f>
        <v>66275.079214029538</v>
      </c>
    </row>
    <row r="36" spans="1:5" x14ac:dyDescent="0.2">
      <c r="A36" s="192" t="s">
        <v>58</v>
      </c>
      <c r="B36" s="245">
        <f>QY!D36</f>
        <v>0</v>
      </c>
      <c r="C36" s="245">
        <f>QY!I36</f>
        <v>-100000</v>
      </c>
      <c r="D36" s="245">
        <f>QY!N36</f>
        <v>-200000</v>
      </c>
      <c r="E36" s="245">
        <f>QY!S36</f>
        <v>-200000</v>
      </c>
    </row>
    <row r="37" spans="1:5" ht="13.5" thickBot="1" x14ac:dyDescent="0.25">
      <c r="A37" s="192" t="s">
        <v>59</v>
      </c>
      <c r="B37" s="245">
        <f>QY!D37</f>
        <v>-166.6666666666666</v>
      </c>
      <c r="C37" s="245">
        <f>QY!I37</f>
        <v>-333.33333333333326</v>
      </c>
      <c r="D37" s="245">
        <f>QY!N37</f>
        <v>-333.33333333333326</v>
      </c>
      <c r="E37" s="245">
        <f>QY!S37</f>
        <v>0</v>
      </c>
    </row>
    <row r="38" spans="1:5" ht="13.5" thickBot="1" x14ac:dyDescent="0.25">
      <c r="A38" s="182" t="s">
        <v>55</v>
      </c>
      <c r="B38" s="244">
        <f>QY!D38</f>
        <v>12169.257340241798</v>
      </c>
      <c r="C38" s="244">
        <f ca="1">QY!I38</f>
        <v>120362.81784243138</v>
      </c>
      <c r="D38" s="244">
        <f ca="1">QY!N38</f>
        <v>133724.92078597055</v>
      </c>
      <c r="E38" s="244">
        <f ca="1">QY!S38</f>
        <v>8.7311491370201111E-11</v>
      </c>
    </row>
    <row r="39" spans="1:5" x14ac:dyDescent="0.2">
      <c r="A39" s="193"/>
    </row>
    <row r="40" spans="1:5" ht="13.5" thickBot="1" x14ac:dyDescent="0.25">
      <c r="A40" s="192" t="s">
        <v>61</v>
      </c>
    </row>
    <row r="41" spans="1:5" ht="13.5" thickBot="1" x14ac:dyDescent="0.25">
      <c r="A41" s="194" t="s">
        <v>53</v>
      </c>
      <c r="B41" s="248">
        <f>QY!D41</f>
        <v>0</v>
      </c>
      <c r="C41" s="248">
        <f>QY!I41</f>
        <v>6441.621934369603</v>
      </c>
      <c r="D41" s="248">
        <f ca="1">QY!N41</f>
        <v>26684.993343031372</v>
      </c>
      <c r="E41" s="248">
        <f ca="1">QY!S41</f>
        <v>26482.35678456226</v>
      </c>
    </row>
    <row r="42" spans="1:5" x14ac:dyDescent="0.2">
      <c r="A42" s="192" t="s">
        <v>52</v>
      </c>
      <c r="B42" s="249">
        <f>QY!D42</f>
        <v>2333.333333333333</v>
      </c>
      <c r="C42" s="249">
        <f>QY!I42</f>
        <v>4666.6666666666661</v>
      </c>
      <c r="D42" s="249">
        <f>QY!N42</f>
        <v>4666.6666666666661</v>
      </c>
      <c r="E42" s="249">
        <f>QY!S42</f>
        <v>0</v>
      </c>
    </row>
    <row r="43" spans="1:5" x14ac:dyDescent="0.2">
      <c r="A43" s="192" t="s">
        <v>198</v>
      </c>
      <c r="B43" s="249">
        <f>QY!D43</f>
        <v>1600.3886010362694</v>
      </c>
      <c r="C43" s="249">
        <f ca="1">QY!I43</f>
        <v>30779.034075328436</v>
      </c>
      <c r="D43" s="249">
        <f ca="1">QY!N43</f>
        <v>31554.315441530878</v>
      </c>
      <c r="E43" s="249">
        <f ca="1">QY!S43</f>
        <v>9941.2618821044289</v>
      </c>
    </row>
    <row r="44" spans="1:5" x14ac:dyDescent="0.2">
      <c r="A44" s="192" t="s">
        <v>199</v>
      </c>
      <c r="B44" s="249">
        <f>QY!D44</f>
        <v>2507.9</v>
      </c>
      <c r="C44" s="249">
        <f>QY!I44</f>
        <v>6018.96</v>
      </c>
      <c r="D44" s="249">
        <f>QY!N44</f>
        <v>6018.96</v>
      </c>
      <c r="E44" s="249">
        <f>QY!S44</f>
        <v>6018.96</v>
      </c>
    </row>
    <row r="45" spans="1:5" ht="13.5" thickBot="1" x14ac:dyDescent="0.25">
      <c r="A45" s="192" t="s">
        <v>217</v>
      </c>
      <c r="B45" s="249">
        <f>QY!D45</f>
        <v>0</v>
      </c>
      <c r="C45" s="249">
        <f>QY!I45</f>
        <v>-21221.28933333333</v>
      </c>
      <c r="D45" s="249">
        <f>QY!N45</f>
        <v>-42442.578666666668</v>
      </c>
      <c r="E45" s="249">
        <f>QY!S45</f>
        <v>-42442.578666666661</v>
      </c>
    </row>
    <row r="46" spans="1:5" ht="13.5" thickBot="1" x14ac:dyDescent="0.25">
      <c r="A46" s="194" t="s">
        <v>55</v>
      </c>
      <c r="B46" s="248">
        <f>QY!D46</f>
        <v>6441.621934369603</v>
      </c>
      <c r="C46" s="248">
        <f ca="1">QY!I46</f>
        <v>26684.993343031372</v>
      </c>
      <c r="D46" s="248">
        <f ca="1">QY!N46</f>
        <v>26482.35678456226</v>
      </c>
      <c r="E46" s="248">
        <f ca="1">QY!S46</f>
        <v>0</v>
      </c>
    </row>
    <row r="47" spans="1:5" x14ac:dyDescent="0.2">
      <c r="A47" s="193"/>
    </row>
    <row r="48" spans="1:5" ht="13.5" thickBot="1" x14ac:dyDescent="0.25">
      <c r="A48" s="176" t="s">
        <v>101</v>
      </c>
    </row>
    <row r="49" spans="1:5" ht="13.5" thickBot="1" x14ac:dyDescent="0.25">
      <c r="A49" s="201" t="s">
        <v>218</v>
      </c>
      <c r="B49" s="250">
        <f>QY!D49</f>
        <v>0</v>
      </c>
      <c r="C49" s="250">
        <f>QY!I49</f>
        <v>36250</v>
      </c>
      <c r="D49" s="250">
        <f>QY!N49</f>
        <v>72500</v>
      </c>
      <c r="E49" s="250">
        <f>QY!S49</f>
        <v>72500.000000000015</v>
      </c>
    </row>
    <row r="50" spans="1:5" outlineLevel="1" x14ac:dyDescent="0.2">
      <c r="A50" s="192" t="s">
        <v>7</v>
      </c>
      <c r="B50" s="245">
        <f>QY!D50</f>
        <v>0</v>
      </c>
      <c r="C50" s="245">
        <f>QY!I50</f>
        <v>3000</v>
      </c>
      <c r="D50" s="245">
        <f>QY!N50</f>
        <v>6000</v>
      </c>
      <c r="E50" s="245">
        <f>QY!S50</f>
        <v>6000</v>
      </c>
    </row>
    <row r="51" spans="1:5" outlineLevel="1" x14ac:dyDescent="0.2">
      <c r="A51" s="192" t="s">
        <v>8</v>
      </c>
      <c r="B51" s="245">
        <f>QY!D51</f>
        <v>0</v>
      </c>
      <c r="C51" s="245">
        <f>QY!I51</f>
        <v>31500</v>
      </c>
      <c r="D51" s="245">
        <f>QY!N51</f>
        <v>63000.000000000015</v>
      </c>
      <c r="E51" s="245">
        <f>QY!S51</f>
        <v>63000.000000000015</v>
      </c>
    </row>
    <row r="52" spans="1:5" outlineLevel="1" x14ac:dyDescent="0.2">
      <c r="A52" s="192" t="s">
        <v>9</v>
      </c>
      <c r="B52" s="245">
        <f>QY!D52</f>
        <v>0</v>
      </c>
      <c r="C52" s="245">
        <f>QY!I52</f>
        <v>1750</v>
      </c>
      <c r="D52" s="245">
        <f>QY!N52</f>
        <v>3500.0000000000005</v>
      </c>
      <c r="E52" s="245">
        <f>QY!S52</f>
        <v>3500.0000000000005</v>
      </c>
    </row>
    <row r="53" spans="1:5" ht="5.0999999999999996" customHeight="1" thickBot="1" x14ac:dyDescent="0.25">
      <c r="B53" s="251"/>
      <c r="C53" s="251"/>
      <c r="D53" s="251"/>
      <c r="E53" s="251"/>
    </row>
    <row r="54" spans="1:5" ht="13.5" thickBot="1" x14ac:dyDescent="0.25">
      <c r="A54" s="201" t="s">
        <v>125</v>
      </c>
      <c r="B54" s="250">
        <f>QY!D54</f>
        <v>2333.333333333333</v>
      </c>
      <c r="C54" s="250">
        <f>QY!I54</f>
        <v>4666.6666666666661</v>
      </c>
      <c r="D54" s="250">
        <f>QY!N54</f>
        <v>4666.6666666666661</v>
      </c>
      <c r="E54" s="250">
        <f>QY!S54</f>
        <v>0</v>
      </c>
    </row>
    <row r="55" spans="1:5" ht="5.0999999999999996" customHeight="1" thickBot="1" x14ac:dyDescent="0.25">
      <c r="B55" s="245">
        <f>QY!D55</f>
        <v>0</v>
      </c>
      <c r="C55" s="245">
        <f>QY!I55</f>
        <v>0</v>
      </c>
      <c r="D55" s="245">
        <f>QY!N55</f>
        <v>0</v>
      </c>
      <c r="E55" s="245">
        <f>QY!S55</f>
        <v>0</v>
      </c>
    </row>
    <row r="56" spans="1:5" ht="13.5" thickBot="1" x14ac:dyDescent="0.25">
      <c r="A56" s="201" t="s">
        <v>14</v>
      </c>
      <c r="B56" s="250">
        <f>QY!D56</f>
        <v>0</v>
      </c>
      <c r="C56" s="250">
        <f>QY!I56</f>
        <v>36250</v>
      </c>
      <c r="D56" s="250">
        <f>QY!N56</f>
        <v>72500</v>
      </c>
      <c r="E56" s="250">
        <f>QY!S56</f>
        <v>72500.000000000015</v>
      </c>
    </row>
    <row r="57" spans="1:5" ht="5.0999999999999996" customHeight="1" thickBot="1" x14ac:dyDescent="0.25">
      <c r="A57" s="205"/>
      <c r="B57" s="251"/>
      <c r="C57" s="251"/>
      <c r="D57" s="251"/>
      <c r="E57" s="251"/>
    </row>
    <row r="58" spans="1:5" ht="13.5" thickBot="1" x14ac:dyDescent="0.25">
      <c r="A58" s="201" t="s">
        <v>22</v>
      </c>
      <c r="B58" s="250">
        <f>QY!D58</f>
        <v>2333.333333333333</v>
      </c>
      <c r="C58" s="250">
        <f>QY!I58</f>
        <v>4666.6666666666661</v>
      </c>
      <c r="D58" s="250">
        <f>QY!N58</f>
        <v>4666.6666666666661</v>
      </c>
      <c r="E58" s="250">
        <f>QY!S58</f>
        <v>0</v>
      </c>
    </row>
    <row r="59" spans="1:5" ht="5.0999999999999996" customHeight="1" thickBot="1" x14ac:dyDescent="0.25">
      <c r="B59" s="251"/>
      <c r="C59" s="251"/>
      <c r="D59" s="251"/>
      <c r="E59" s="251"/>
    </row>
    <row r="60" spans="1:5" ht="13.5" thickBot="1" x14ac:dyDescent="0.25">
      <c r="A60" s="201" t="s">
        <v>23</v>
      </c>
      <c r="B60" s="250">
        <f>QY!D60</f>
        <v>1725</v>
      </c>
      <c r="C60" s="250">
        <f>QY!I60</f>
        <v>30750</v>
      </c>
      <c r="D60" s="250">
        <f>QY!N60</f>
        <v>31950</v>
      </c>
      <c r="E60" s="250">
        <f>QY!S60</f>
        <v>9450</v>
      </c>
    </row>
    <row r="61" spans="1:5" ht="15.75" x14ac:dyDescent="0.25">
      <c r="A61" s="206"/>
    </row>
    <row r="62" spans="1:5" ht="16.5" thickBot="1" x14ac:dyDescent="0.3">
      <c r="A62" s="258" t="s">
        <v>219</v>
      </c>
      <c r="B62" s="258"/>
      <c r="C62" s="258"/>
      <c r="D62" s="258"/>
      <c r="E62" s="258"/>
    </row>
    <row r="63" spans="1:5" ht="13.5" thickBot="1" x14ac:dyDescent="0.25">
      <c r="A63" s="207" t="s">
        <v>92</v>
      </c>
      <c r="B63" s="208">
        <f>QY!D63</f>
        <v>0</v>
      </c>
      <c r="C63" s="208">
        <f>QY!I63</f>
        <v>36250</v>
      </c>
      <c r="D63" s="208">
        <f>QY!N63</f>
        <v>72500</v>
      </c>
      <c r="E63" s="208">
        <f>QY!S63</f>
        <v>72500.000000000015</v>
      </c>
    </row>
    <row r="64" spans="1:5" ht="13.5" thickBot="1" x14ac:dyDescent="0.25">
      <c r="A64" s="177" t="s">
        <v>91</v>
      </c>
      <c r="B64" s="225">
        <f>QY!D64</f>
        <v>0</v>
      </c>
      <c r="C64" s="225">
        <f>QY!I64</f>
        <v>-21221.28933333333</v>
      </c>
      <c r="D64" s="225">
        <f>QY!N64</f>
        <v>-42442.578666666668</v>
      </c>
      <c r="E64" s="225">
        <f>QY!S64</f>
        <v>-42442.578666666661</v>
      </c>
    </row>
    <row r="65" spans="1:5" ht="13.5" thickBot="1" x14ac:dyDescent="0.25">
      <c r="A65" s="207" t="s">
        <v>76</v>
      </c>
      <c r="B65" s="208">
        <f>QY!D65</f>
        <v>0</v>
      </c>
      <c r="C65" s="208">
        <f>QY!I65</f>
        <v>15028.71066666667</v>
      </c>
      <c r="D65" s="208">
        <f>QY!N65</f>
        <v>30057.421333333339</v>
      </c>
      <c r="E65" s="208">
        <f>QY!S65</f>
        <v>30057.42133333335</v>
      </c>
    </row>
    <row r="66" spans="1:5" ht="13.5" thickBot="1" x14ac:dyDescent="0.25">
      <c r="A66" s="207" t="s">
        <v>200</v>
      </c>
      <c r="B66" s="208">
        <f>QY!D66</f>
        <v>0</v>
      </c>
      <c r="C66" s="208">
        <f>QY!I66</f>
        <v>0</v>
      </c>
      <c r="D66" s="208">
        <f>QY!N66</f>
        <v>9315</v>
      </c>
      <c r="E66" s="208">
        <f>QY!S66</f>
        <v>11640</v>
      </c>
    </row>
    <row r="67" spans="1:5" x14ac:dyDescent="0.2">
      <c r="A67" s="212" t="s">
        <v>175</v>
      </c>
      <c r="B67" s="225">
        <f>QY!D67</f>
        <v>-601.56299999999987</v>
      </c>
      <c r="C67" s="225">
        <f>QY!I67</f>
        <v>-1528.2311999999997</v>
      </c>
      <c r="D67" s="225">
        <f>QY!N67</f>
        <v>-1528.2311999999997</v>
      </c>
      <c r="E67" s="225">
        <f>QY!S67</f>
        <v>-1528.2311999999997</v>
      </c>
    </row>
    <row r="68" spans="1:5" ht="13.5" thickBot="1" x14ac:dyDescent="0.25">
      <c r="A68" s="215" t="s">
        <v>179</v>
      </c>
      <c r="B68" s="225">
        <f>QY!D68</f>
        <v>-1263.8870000000002</v>
      </c>
      <c r="C68" s="225">
        <f>QY!I68</f>
        <v>-3033.3288000000002</v>
      </c>
      <c r="D68" s="225">
        <f>QY!N68</f>
        <v>-3033.3288000000002</v>
      </c>
      <c r="E68" s="225">
        <f>QY!S68</f>
        <v>-3033.3288000000002</v>
      </c>
    </row>
    <row r="69" spans="1:5" ht="13.5" thickBot="1" x14ac:dyDescent="0.25">
      <c r="A69" s="207" t="s">
        <v>108</v>
      </c>
      <c r="B69" s="208">
        <f>QY!D69</f>
        <v>-1865.4499999999998</v>
      </c>
      <c r="C69" s="208">
        <f>QY!I69</f>
        <v>11398.650666666672</v>
      </c>
      <c r="D69" s="208">
        <f>QY!N69</f>
        <v>34810.861333333341</v>
      </c>
      <c r="E69" s="208">
        <f>QY!S69</f>
        <v>37135.861333333349</v>
      </c>
    </row>
    <row r="70" spans="1:5" s="220" customFormat="1" outlineLevel="1" thickBot="1" x14ac:dyDescent="0.25">
      <c r="A70" s="173" t="s">
        <v>109</v>
      </c>
      <c r="B70" s="252">
        <f>QY!D70</f>
        <v>0</v>
      </c>
      <c r="C70" s="253">
        <f>QY!I70</f>
        <v>0.31444553563218403</v>
      </c>
      <c r="D70" s="253">
        <f>QY!N70</f>
        <v>0.48014981149425301</v>
      </c>
      <c r="E70" s="253">
        <f>QY!S70</f>
        <v>0.51221877701149432</v>
      </c>
    </row>
    <row r="71" spans="1:5" ht="13.5" thickBot="1" x14ac:dyDescent="0.25">
      <c r="A71" s="221" t="s">
        <v>70</v>
      </c>
      <c r="B71" s="254">
        <f>QY!D71</f>
        <v>-977.5</v>
      </c>
      <c r="C71" s="254">
        <f>QY!I71</f>
        <v>-5275</v>
      </c>
      <c r="D71" s="254">
        <f>QY!N71</f>
        <v>-5600</v>
      </c>
      <c r="E71" s="254">
        <f>QY!S71</f>
        <v>0</v>
      </c>
    </row>
    <row r="72" spans="1:5" ht="13.5" thickBot="1" x14ac:dyDescent="0.25">
      <c r="A72" s="221" t="s">
        <v>107</v>
      </c>
      <c r="B72" s="254">
        <f>QY!D72</f>
        <v>-329.18976658950618</v>
      </c>
      <c r="C72" s="254">
        <f>QY!I72</f>
        <v>-923.96493298840892</v>
      </c>
      <c r="D72" s="254">
        <f>QY!N72</f>
        <v>-835.68782106216167</v>
      </c>
      <c r="E72" s="254">
        <f>QY!S72</f>
        <v>-755.84484793470483</v>
      </c>
    </row>
    <row r="73" spans="1:5" ht="13.5" thickBot="1" x14ac:dyDescent="0.25">
      <c r="A73" s="207" t="s">
        <v>88</v>
      </c>
      <c r="B73" s="208">
        <f>QY!D73</f>
        <v>-3172.1397665895061</v>
      </c>
      <c r="C73" s="208">
        <f>QY!I73</f>
        <v>5199.6857336782614</v>
      </c>
      <c r="D73" s="208">
        <f>QY!N73</f>
        <v>28375.173512271183</v>
      </c>
      <c r="E73" s="208">
        <f>QY!S73</f>
        <v>36380.01648539865</v>
      </c>
    </row>
    <row r="74" spans="1:5" ht="13.5" thickBot="1" x14ac:dyDescent="0.25">
      <c r="A74" s="221" t="s">
        <v>207</v>
      </c>
      <c r="B74" s="254">
        <f>QY!D74</f>
        <v>0</v>
      </c>
      <c r="C74" s="254">
        <f>QY!I74</f>
        <v>-901.72264000000018</v>
      </c>
      <c r="D74" s="254">
        <f>QY!N74</f>
        <v>-1803.4452800000001</v>
      </c>
      <c r="E74" s="254">
        <f>QY!S74</f>
        <v>-1803.4452800000008</v>
      </c>
    </row>
    <row r="75" spans="1:5" ht="13.5" thickBot="1" x14ac:dyDescent="0.25">
      <c r="A75" s="207" t="s">
        <v>208</v>
      </c>
      <c r="B75" s="208">
        <f>QY!D75</f>
        <v>-3172.1397665895061</v>
      </c>
      <c r="C75" s="208">
        <f>QY!I75</f>
        <v>4297.9630936782614</v>
      </c>
      <c r="D75" s="208">
        <f>QY!N75</f>
        <v>26571.72823227118</v>
      </c>
      <c r="E75" s="208">
        <f>QY!S75</f>
        <v>34576.571205398643</v>
      </c>
    </row>
    <row r="76" spans="1:5" s="170" customFormat="1" x14ac:dyDescent="0.2">
      <c r="B76" s="225">
        <f>QY!D76</f>
        <v>0</v>
      </c>
      <c r="C76" s="226">
        <f>C75/C63</f>
        <v>0.11856449913595205</v>
      </c>
      <c r="D76" s="226">
        <f>D75/D63</f>
        <v>0.36650659630718868</v>
      </c>
      <c r="E76" s="226">
        <f>E75/E63</f>
        <v>0.47691822352273983</v>
      </c>
    </row>
    <row r="77" spans="1:5" s="170" customFormat="1" ht="16.5" thickBot="1" x14ac:dyDescent="0.3">
      <c r="A77" s="258" t="s">
        <v>111</v>
      </c>
      <c r="B77" s="258"/>
      <c r="C77" s="258"/>
      <c r="D77" s="258"/>
      <c r="E77" s="258"/>
    </row>
    <row r="78" spans="1:5" ht="13.5" thickBot="1" x14ac:dyDescent="0.25">
      <c r="A78" s="207" t="s">
        <v>63</v>
      </c>
      <c r="B78" s="208">
        <f>QY!D78</f>
        <v>-9409.1833333333325</v>
      </c>
      <c r="C78" s="208">
        <f>QY!I78</f>
        <v>-14316.117326666666</v>
      </c>
      <c r="D78" s="208">
        <f>QY!N78</f>
        <v>27521.773498787887</v>
      </c>
      <c r="E78" s="208">
        <f>QY!S78</f>
        <v>61322.337294545468</v>
      </c>
    </row>
    <row r="79" spans="1:5" x14ac:dyDescent="0.2">
      <c r="A79" s="177" t="s">
        <v>64</v>
      </c>
      <c r="B79" s="225">
        <f>QY!D79</f>
        <v>0</v>
      </c>
      <c r="C79" s="225">
        <f>QY!I79</f>
        <v>36250</v>
      </c>
      <c r="D79" s="225">
        <f>QY!N79</f>
        <v>72500</v>
      </c>
      <c r="E79" s="225">
        <f>QY!S79</f>
        <v>72500.000000000015</v>
      </c>
    </row>
    <row r="80" spans="1:5" x14ac:dyDescent="0.2">
      <c r="A80" s="177" t="s">
        <v>205</v>
      </c>
      <c r="B80" s="225">
        <f>QY!D80</f>
        <v>0</v>
      </c>
      <c r="C80" s="225">
        <f>QY!I80</f>
        <v>931.5</v>
      </c>
      <c r="D80" s="225">
        <f>QY!N80</f>
        <v>9315</v>
      </c>
      <c r="E80" s="225">
        <f>QY!S80</f>
        <v>11640</v>
      </c>
    </row>
    <row r="81" spans="1:5" x14ac:dyDescent="0.2">
      <c r="A81" s="177" t="s">
        <v>65</v>
      </c>
      <c r="B81" s="225">
        <f>QY!D81</f>
        <v>-4058.333333333333</v>
      </c>
      <c r="C81" s="225">
        <f>QY!I81</f>
        <v>-35416.666666666664</v>
      </c>
      <c r="D81" s="225">
        <f>QY!N81</f>
        <v>-36616.666666666672</v>
      </c>
      <c r="E81" s="225">
        <f>QY!S81</f>
        <v>-9450</v>
      </c>
    </row>
    <row r="82" spans="1:5" x14ac:dyDescent="0.2">
      <c r="A82" s="177" t="s">
        <v>75</v>
      </c>
      <c r="B82" s="225">
        <f>QY!D82</f>
        <v>-2507.9</v>
      </c>
      <c r="C82" s="225">
        <f>QY!I82</f>
        <v>-6018.96</v>
      </c>
      <c r="D82" s="225">
        <f>QY!N82</f>
        <v>-6018.96</v>
      </c>
      <c r="E82" s="225">
        <f>QY!S82</f>
        <v>-6018.96</v>
      </c>
    </row>
    <row r="83" spans="1:5" x14ac:dyDescent="0.2">
      <c r="A83" s="177" t="s">
        <v>215</v>
      </c>
      <c r="B83" s="225">
        <f>QY!D83</f>
        <v>-601.56299999999987</v>
      </c>
      <c r="C83" s="225">
        <f>QY!I83</f>
        <v>-1528.2311999999997</v>
      </c>
      <c r="D83" s="225">
        <f>QY!N83</f>
        <v>-1528.2311999999997</v>
      </c>
      <c r="E83" s="225">
        <f>QY!S83</f>
        <v>-1528.2311999999997</v>
      </c>
    </row>
    <row r="84" spans="1:5" x14ac:dyDescent="0.2">
      <c r="A84" s="177" t="s">
        <v>216</v>
      </c>
      <c r="B84" s="225">
        <f>QY!D84</f>
        <v>-1263.8870000000002</v>
      </c>
      <c r="C84" s="225">
        <f>QY!I84</f>
        <v>-3033.3288000000002</v>
      </c>
      <c r="D84" s="225">
        <f>QY!N84</f>
        <v>-3033.3288000000002</v>
      </c>
      <c r="E84" s="225">
        <f>QY!S84</f>
        <v>-3033.3288000000002</v>
      </c>
    </row>
    <row r="85" spans="1:5" x14ac:dyDescent="0.2">
      <c r="A85" s="177" t="s">
        <v>70</v>
      </c>
      <c r="B85" s="225">
        <f>QY!D85</f>
        <v>-977.5</v>
      </c>
      <c r="C85" s="225">
        <f>QY!I85</f>
        <v>-5275</v>
      </c>
      <c r="D85" s="225">
        <f>QY!N85</f>
        <v>-5600</v>
      </c>
      <c r="E85" s="225">
        <f>QY!S85</f>
        <v>0</v>
      </c>
    </row>
    <row r="86" spans="1:5" ht="13.5" thickBot="1" x14ac:dyDescent="0.25">
      <c r="A86" s="177" t="s">
        <v>207</v>
      </c>
      <c r="B86" s="225">
        <f>QY!D86</f>
        <v>0</v>
      </c>
      <c r="C86" s="225">
        <f>QY!I86</f>
        <v>-225.43066000000005</v>
      </c>
      <c r="D86" s="225">
        <f>QY!N86</f>
        <v>-1496.0398345454546</v>
      </c>
      <c r="E86" s="225">
        <f>QY!S86</f>
        <v>-2787.1427054545466</v>
      </c>
    </row>
    <row r="87" spans="1:5" ht="13.5" thickBot="1" x14ac:dyDescent="0.25">
      <c r="A87" s="207" t="s">
        <v>66</v>
      </c>
      <c r="B87" s="208">
        <f>QY!D87</f>
        <v>-10000</v>
      </c>
      <c r="C87" s="208">
        <f>QY!I87</f>
        <v>0</v>
      </c>
      <c r="D87" s="208">
        <f>QY!N87</f>
        <v>0</v>
      </c>
      <c r="E87" s="208">
        <f>QY!S87</f>
        <v>0</v>
      </c>
    </row>
    <row r="88" spans="1:5" ht="13.5" thickBot="1" x14ac:dyDescent="0.25">
      <c r="A88" s="177" t="s">
        <v>106</v>
      </c>
      <c r="B88" s="225">
        <f>QY!D88</f>
        <v>-10000</v>
      </c>
      <c r="C88" s="225">
        <f>QY!I88</f>
        <v>0</v>
      </c>
      <c r="D88" s="225">
        <f>QY!N88</f>
        <v>0</v>
      </c>
      <c r="E88" s="225">
        <f>QY!S88</f>
        <v>0</v>
      </c>
    </row>
    <row r="89" spans="1:5" ht="13.5" thickBot="1" x14ac:dyDescent="0.25">
      <c r="A89" s="207" t="s">
        <v>67</v>
      </c>
      <c r="B89" s="208">
        <f>QY!D89</f>
        <v>19500</v>
      </c>
      <c r="C89" s="208">
        <f>QY!I89</f>
        <v>27400</v>
      </c>
      <c r="D89" s="208">
        <f>QY!N89</f>
        <v>-40600</v>
      </c>
      <c r="E89" s="208">
        <f>QY!S89</f>
        <v>-6300</v>
      </c>
    </row>
    <row r="90" spans="1:5" x14ac:dyDescent="0.2">
      <c r="A90" s="177" t="s">
        <v>68</v>
      </c>
      <c r="B90" s="225">
        <f>QY!D90</f>
        <v>19500</v>
      </c>
      <c r="C90" s="225">
        <f>QY!I90</f>
        <v>27400</v>
      </c>
      <c r="D90" s="225">
        <f>QY!N90</f>
        <v>0</v>
      </c>
      <c r="E90" s="225">
        <f>QY!S90</f>
        <v>0</v>
      </c>
    </row>
    <row r="91" spans="1:5" ht="13.5" thickBot="1" x14ac:dyDescent="0.25">
      <c r="A91" s="177" t="s">
        <v>69</v>
      </c>
      <c r="B91" s="225">
        <f>QY!D91</f>
        <v>0</v>
      </c>
      <c r="C91" s="225">
        <f>QY!I91</f>
        <v>0</v>
      </c>
      <c r="D91" s="225">
        <f>QY!N91</f>
        <v>-40600</v>
      </c>
      <c r="E91" s="225">
        <f>QY!S91</f>
        <v>-6300</v>
      </c>
    </row>
    <row r="92" spans="1:5" ht="13.5" thickBot="1" x14ac:dyDescent="0.25">
      <c r="A92" s="228" t="s">
        <v>71</v>
      </c>
      <c r="B92" s="229">
        <f>QY!D92</f>
        <v>90.816666666667288</v>
      </c>
      <c r="C92" s="229">
        <f>QY!I92</f>
        <v>13083.882673333335</v>
      </c>
      <c r="D92" s="229">
        <f>QY!N92</f>
        <v>-13078.226501212113</v>
      </c>
      <c r="E92" s="229">
        <f>QY!S92</f>
        <v>55022.337294545461</v>
      </c>
    </row>
    <row r="93" spans="1:5" x14ac:dyDescent="0.2">
      <c r="A93" s="177" t="s">
        <v>72</v>
      </c>
      <c r="B93" s="225">
        <f>QY!D93</f>
        <v>0</v>
      </c>
      <c r="C93" s="225">
        <f>QY!I93</f>
        <v>90.816666666667288</v>
      </c>
      <c r="D93" s="225">
        <f>QY!N93</f>
        <v>13174.699340000003</v>
      </c>
      <c r="E93" s="225">
        <f>QY!S93</f>
        <v>96.472838787890396</v>
      </c>
    </row>
    <row r="94" spans="1:5" x14ac:dyDescent="0.2">
      <c r="A94" s="187" t="s">
        <v>73</v>
      </c>
      <c r="B94" s="255">
        <f>QY!D94</f>
        <v>90.816666666667288</v>
      </c>
      <c r="C94" s="255">
        <f>QY!I94</f>
        <v>13174.699340000003</v>
      </c>
      <c r="D94" s="255">
        <f>QY!N94</f>
        <v>96.472838787890396</v>
      </c>
      <c r="E94" s="255">
        <f>QY!S94</f>
        <v>55118.810133333347</v>
      </c>
    </row>
    <row r="96" spans="1:5" ht="15.75" x14ac:dyDescent="0.25">
      <c r="A96" s="258" t="s">
        <v>214</v>
      </c>
      <c r="B96" s="258"/>
      <c r="C96" s="258"/>
      <c r="D96" s="258"/>
      <c r="E96" s="258"/>
    </row>
    <row r="97" spans="1:5" x14ac:dyDescent="0.2">
      <c r="A97" s="233" t="s">
        <v>111</v>
      </c>
      <c r="B97" s="234">
        <f>QY!D97</f>
        <v>90.816666666667288</v>
      </c>
      <c r="C97" s="234">
        <f>QY!I97</f>
        <v>13174.699340000003</v>
      </c>
      <c r="D97" s="234">
        <f>QY!N97</f>
        <v>96.472838787890396</v>
      </c>
      <c r="E97" s="234">
        <f>QY!S97</f>
        <v>55118.810133333347</v>
      </c>
    </row>
    <row r="98" spans="1:5" x14ac:dyDescent="0.2">
      <c r="A98" s="177" t="s">
        <v>112</v>
      </c>
      <c r="B98" s="224">
        <f>QY!D98</f>
        <v>0</v>
      </c>
      <c r="C98" s="224">
        <f>QY!I98</f>
        <v>0</v>
      </c>
      <c r="D98" s="224">
        <f>QY!N98</f>
        <v>0</v>
      </c>
      <c r="E98" s="224">
        <f>QY!S98</f>
        <v>0</v>
      </c>
    </row>
    <row r="99" spans="1:5" x14ac:dyDescent="0.2">
      <c r="A99" s="177" t="s">
        <v>113</v>
      </c>
      <c r="B99" s="224">
        <f>QY!D99</f>
        <v>6566.2333333333327</v>
      </c>
      <c r="C99" s="224">
        <f ca="1">QY!I99</f>
        <v>26780.570666666688</v>
      </c>
      <c r="D99" s="224">
        <f ca="1">QY!N99</f>
        <v>26973.618666666724</v>
      </c>
      <c r="E99" s="224">
        <f ca="1">QY!S99</f>
        <v>6.8894223659299314E-11</v>
      </c>
    </row>
    <row r="100" spans="1:5" s="220" customFormat="1" ht="12" outlineLevel="1" x14ac:dyDescent="0.2">
      <c r="A100" s="173" t="s">
        <v>127</v>
      </c>
      <c r="B100" s="256">
        <f>QY!D100</f>
        <v>6441.6219343696021</v>
      </c>
      <c r="C100" s="256">
        <f ca="1">QY!I100</f>
        <v>26684.993343031394</v>
      </c>
      <c r="D100" s="256">
        <f ca="1">QY!N100</f>
        <v>26482.356784562311</v>
      </c>
      <c r="E100" s="256">
        <f ca="1">QY!S100</f>
        <v>8.5492501966655254E-11</v>
      </c>
    </row>
    <row r="101" spans="1:5" s="220" customFormat="1" ht="12" outlineLevel="1" x14ac:dyDescent="0.2">
      <c r="A101" s="173" t="s">
        <v>128</v>
      </c>
      <c r="B101" s="256">
        <f>QY!D101</f>
        <v>124.61139896373055</v>
      </c>
      <c r="C101" s="256">
        <f ca="1">QY!I101</f>
        <v>95.577323635294874</v>
      </c>
      <c r="D101" s="256">
        <f ca="1">QY!N101</f>
        <v>491.26188210441353</v>
      </c>
      <c r="E101" s="256">
        <f ca="1">QY!S101</f>
        <v>-1.659827830735594E-11</v>
      </c>
    </row>
    <row r="102" spans="1:5" ht="13.5" outlineLevel="1" thickBot="1" x14ac:dyDescent="0.25">
      <c r="A102" s="177" t="s">
        <v>114</v>
      </c>
      <c r="B102" s="224">
        <f>QY!D102</f>
        <v>9670.8102334104933</v>
      </c>
      <c r="C102" s="224">
        <f>QY!I102</f>
        <v>8746.8453004220846</v>
      </c>
      <c r="D102" s="224">
        <f>QY!N102</f>
        <v>7911.1574793599229</v>
      </c>
      <c r="E102" s="224">
        <f>QY!S102</f>
        <v>7155.3126314252168</v>
      </c>
    </row>
    <row r="103" spans="1:5" ht="13.5" thickBot="1" x14ac:dyDescent="0.25">
      <c r="A103" s="228" t="s">
        <v>115</v>
      </c>
      <c r="B103" s="229">
        <f>QY!D103</f>
        <v>16327.860233410494</v>
      </c>
      <c r="C103" s="229">
        <f ca="1">QY!I103</f>
        <v>48702.115307088774</v>
      </c>
      <c r="D103" s="229">
        <f ca="1">QY!N103</f>
        <v>34981.248984814534</v>
      </c>
      <c r="E103" s="229">
        <f ca="1">QY!S103</f>
        <v>62274.122764758627</v>
      </c>
    </row>
    <row r="105" spans="1:5" x14ac:dyDescent="0.2">
      <c r="A105" s="233" t="s">
        <v>116</v>
      </c>
      <c r="B105" s="234">
        <f>QY!D105</f>
        <v>19500</v>
      </c>
      <c r="C105" s="234">
        <f>QY!I105</f>
        <v>46900</v>
      </c>
      <c r="D105" s="234">
        <f>QY!N105</f>
        <v>6300</v>
      </c>
      <c r="E105" s="234">
        <f>QY!S105</f>
        <v>0</v>
      </c>
    </row>
    <row r="106" spans="1:5" x14ac:dyDescent="0.2">
      <c r="A106" s="177" t="s">
        <v>117</v>
      </c>
      <c r="B106" s="224">
        <f>QY!D106</f>
        <v>0</v>
      </c>
      <c r="C106" s="224">
        <f>QY!I106</f>
        <v>676.29198000000019</v>
      </c>
      <c r="D106" s="224">
        <f>QY!N106</f>
        <v>983.69742545454574</v>
      </c>
      <c r="E106" s="224">
        <f>QY!S106</f>
        <v>0</v>
      </c>
    </row>
    <row r="107" spans="1:5" ht="13.5" thickBot="1" x14ac:dyDescent="0.25">
      <c r="A107" s="177" t="s">
        <v>118</v>
      </c>
      <c r="B107" s="224">
        <f>QY!D107</f>
        <v>-3172.1397665895061</v>
      </c>
      <c r="C107" s="224">
        <f>QY!I107</f>
        <v>1125.8233270887572</v>
      </c>
      <c r="D107" s="224">
        <f>QY!N107</f>
        <v>27697.551559359938</v>
      </c>
      <c r="E107" s="224">
        <f>QY!S107</f>
        <v>62274.122764758577</v>
      </c>
    </row>
    <row r="108" spans="1:5" ht="13.5" thickBot="1" x14ac:dyDescent="0.25">
      <c r="A108" s="228" t="s">
        <v>119</v>
      </c>
      <c r="B108" s="229">
        <f>QY!D108</f>
        <v>16327.860233410494</v>
      </c>
      <c r="C108" s="229">
        <f>QY!I108</f>
        <v>48702.115307088759</v>
      </c>
      <c r="D108" s="229">
        <f>QY!N108</f>
        <v>34981.248984814483</v>
      </c>
      <c r="E108" s="229">
        <f>QY!S108</f>
        <v>62274.122764758577</v>
      </c>
    </row>
    <row r="110" spans="1:5" x14ac:dyDescent="0.2">
      <c r="A110" s="177" t="s">
        <v>24</v>
      </c>
      <c r="B110" s="257">
        <f>ROUND(B103-B108,5)</f>
        <v>0</v>
      </c>
      <c r="C110" s="257">
        <f t="shared" ref="C110:E110" ca="1" si="0">ROUND(C103-C108,5)</f>
        <v>0</v>
      </c>
      <c r="D110" s="257">
        <f t="shared" ca="1" si="0"/>
        <v>0</v>
      </c>
      <c r="E110" s="257">
        <f t="shared" ca="1" si="0"/>
        <v>0</v>
      </c>
    </row>
  </sheetData>
  <conditionalFormatting sqref="B110:E110">
    <cfRule type="cellIs" dxfId="0" priority="1" operator="equal">
      <formula>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"/>
  <sheetViews>
    <sheetView workbookViewId="0">
      <selection activeCell="E15" sqref="E15"/>
    </sheetView>
  </sheetViews>
  <sheetFormatPr defaultRowHeight="12.75" x14ac:dyDescent="0.2"/>
  <cols>
    <col min="2" max="5" width="8.85546875" customWidth="1"/>
  </cols>
  <sheetData>
    <row r="1" spans="1:5" x14ac:dyDescent="0.2">
      <c r="A1" s="3">
        <f>'0'!D18</f>
        <v>0.15</v>
      </c>
      <c r="B1" s="89">
        <v>2017</v>
      </c>
      <c r="C1" s="89">
        <v>2018</v>
      </c>
      <c r="D1" s="89">
        <v>2019</v>
      </c>
      <c r="E1" s="89">
        <v>2020</v>
      </c>
    </row>
    <row r="2" spans="1:5" x14ac:dyDescent="0.2">
      <c r="B2" s="89">
        <v>0</v>
      </c>
      <c r="C2" s="89">
        <v>1</v>
      </c>
      <c r="D2" s="89">
        <v>2</v>
      </c>
      <c r="E2" s="89">
        <v>3</v>
      </c>
    </row>
    <row r="3" spans="1:5" x14ac:dyDescent="0.2">
      <c r="B3" s="261">
        <f>(Y!B78+Y!B87)/1000</f>
        <v>-19.409183333333335</v>
      </c>
      <c r="C3" s="261">
        <f>(Y!C78+Y!C87)/1000</f>
        <v>-14.316117326666667</v>
      </c>
      <c r="D3" s="261">
        <f>(Y!D78+Y!D87)/1000</f>
        <v>27.521773498787887</v>
      </c>
      <c r="E3" s="261">
        <f>(Y!E78+Y!E87)/1000</f>
        <v>61.32233729454547</v>
      </c>
    </row>
    <row r="4" spans="1:5" ht="13.5" thickBot="1" x14ac:dyDescent="0.25"/>
    <row r="5" spans="1:5" ht="13.5" thickBot="1" x14ac:dyDescent="0.25">
      <c r="A5" s="262" t="s">
        <v>236</v>
      </c>
      <c r="B5" s="263">
        <f>NPV(A1,B3:E3)</f>
        <v>25.454666014802157</v>
      </c>
      <c r="C5" s="70" t="s">
        <v>238</v>
      </c>
    </row>
    <row r="6" spans="1:5" ht="13.5" thickBot="1" x14ac:dyDescent="0.25">
      <c r="A6" s="262" t="s">
        <v>237</v>
      </c>
      <c r="B6" s="264">
        <f>IRR(B3:E3)</f>
        <v>0.53263351776199452</v>
      </c>
    </row>
  </sheetData>
  <pageMargins left="0.7" right="0.7" top="0.75" bottom="0.75" header="0.3" footer="0.3"/>
  <pageSetup paperSize="0" orientation="portrait" horizontalDpi="0" verticalDpi="0" copie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B48"/>
  <sheetViews>
    <sheetView zoomScale="70" zoomScaleNormal="70" workbookViewId="0">
      <selection activeCell="R33" sqref="R33"/>
    </sheetView>
  </sheetViews>
  <sheetFormatPr defaultRowHeight="12.75" x14ac:dyDescent="0.2"/>
  <sheetData>
    <row r="2" spans="17:28" x14ac:dyDescent="0.2">
      <c r="Q2" s="155" t="s">
        <v>128</v>
      </c>
      <c r="R2" s="3">
        <f>cost!F92</f>
        <v>0.69623479365092933</v>
      </c>
      <c r="U2" s="171" t="s">
        <v>203</v>
      </c>
      <c r="W2" s="4">
        <f>cost!E74+cost!E75</f>
        <v>204777.4</v>
      </c>
      <c r="X2" s="259">
        <f>W2/$W$8</f>
        <v>0.81010960631765339</v>
      </c>
      <c r="Z2" s="171" t="s">
        <v>203</v>
      </c>
      <c r="AA2" s="4">
        <f>cost!F58+cost!F59</f>
        <v>283357.8</v>
      </c>
      <c r="AB2" s="21">
        <f>AA2/$AA$8</f>
        <v>0.74166212546897359</v>
      </c>
    </row>
    <row r="3" spans="17:28" x14ac:dyDescent="0.2">
      <c r="Q3" s="70" t="s">
        <v>192</v>
      </c>
      <c r="R3" s="3">
        <f>cost!F93</f>
        <v>0.14075940217769992</v>
      </c>
      <c r="U3" s="171" t="s">
        <v>180</v>
      </c>
      <c r="W3" s="4">
        <f>cost!E76</f>
        <v>21300</v>
      </c>
      <c r="X3" s="259">
        <f t="shared" ref="X3:X7" si="0">W3/$W$8</f>
        <v>8.4263862196541306E-2</v>
      </c>
      <c r="Z3" s="171" t="s">
        <v>176</v>
      </c>
      <c r="AA3" s="4">
        <f>cost!F60</f>
        <v>52800</v>
      </c>
      <c r="AB3" s="21">
        <f t="shared" ref="AB3:AB7" si="1">AA3/$AA$8</f>
        <v>0.13819898455155216</v>
      </c>
    </row>
    <row r="4" spans="17:28" x14ac:dyDescent="0.2">
      <c r="Q4" s="155" t="s">
        <v>130</v>
      </c>
      <c r="R4" s="3">
        <f>cost!F94</f>
        <v>0.10995247728271863</v>
      </c>
      <c r="U4" s="171" t="s">
        <v>79</v>
      </c>
      <c r="W4" s="4">
        <f>cost!E82</f>
        <v>11000</v>
      </c>
      <c r="X4" s="259">
        <f t="shared" si="0"/>
        <v>4.351654855220443E-2</v>
      </c>
      <c r="Z4" s="171" t="s">
        <v>177</v>
      </c>
      <c r="AA4" s="4">
        <f>cost!F66</f>
        <v>23100</v>
      </c>
      <c r="AB4" s="21">
        <f t="shared" si="1"/>
        <v>6.0462055741304067E-2</v>
      </c>
    </row>
    <row r="5" spans="17:28" x14ac:dyDescent="0.2">
      <c r="Q5" t="s">
        <v>204</v>
      </c>
      <c r="R5" s="3">
        <f>R6-SUM(R2:R4)</f>
        <v>5.3053326888652164E-2</v>
      </c>
      <c r="U5" s="171" t="s">
        <v>166</v>
      </c>
      <c r="W5" s="4">
        <f>cost!E83</f>
        <v>8900</v>
      </c>
      <c r="X5" s="259">
        <f t="shared" si="0"/>
        <v>3.5208843828601767E-2</v>
      </c>
      <c r="Z5" s="171" t="s">
        <v>146</v>
      </c>
      <c r="AA5" s="4">
        <f>cost!F69</f>
        <v>9900</v>
      </c>
      <c r="AB5" s="21">
        <f t="shared" si="1"/>
        <v>2.5912309603416027E-2</v>
      </c>
    </row>
    <row r="6" spans="17:28" x14ac:dyDescent="0.2">
      <c r="R6" s="3">
        <v>1</v>
      </c>
      <c r="U6" s="171" t="s">
        <v>182</v>
      </c>
      <c r="W6" s="4">
        <f>cost!E79</f>
        <v>5600</v>
      </c>
      <c r="X6" s="259">
        <f t="shared" si="0"/>
        <v>2.2153879262940438E-2</v>
      </c>
      <c r="Z6" s="171" t="s">
        <v>147</v>
      </c>
      <c r="AA6" s="4">
        <f>cost!F70</f>
        <v>9600</v>
      </c>
      <c r="AB6" s="21">
        <f t="shared" si="1"/>
        <v>2.5127088100282208E-2</v>
      </c>
    </row>
    <row r="7" spans="17:28" x14ac:dyDescent="0.2">
      <c r="U7" s="171" t="s">
        <v>165</v>
      </c>
      <c r="W7" s="4">
        <f>cost!E84</f>
        <v>1200</v>
      </c>
      <c r="X7" s="259">
        <f t="shared" si="0"/>
        <v>4.7472598420586652E-3</v>
      </c>
      <c r="Z7" s="171" t="s">
        <v>204</v>
      </c>
      <c r="AA7" s="4">
        <f>cost!F71</f>
        <v>3300</v>
      </c>
      <c r="AB7" s="21">
        <f t="shared" si="1"/>
        <v>8.6374365344720101E-3</v>
      </c>
    </row>
    <row r="8" spans="17:28" x14ac:dyDescent="0.2">
      <c r="W8" s="4">
        <f>SUM(W2:W7)</f>
        <v>252777.4</v>
      </c>
      <c r="AA8" s="4">
        <f>SUM(AA2:AA7)</f>
        <v>382057.8</v>
      </c>
    </row>
    <row r="10" spans="17:28" x14ac:dyDescent="0.2">
      <c r="U10" s="172"/>
      <c r="W10" s="4"/>
    </row>
    <row r="29" spans="1:14" ht="13.5" thickBot="1" x14ac:dyDescent="0.25">
      <c r="K29">
        <v>2017</v>
      </c>
      <c r="L29">
        <v>2018</v>
      </c>
      <c r="M29">
        <v>20119</v>
      </c>
      <c r="N29">
        <v>2020</v>
      </c>
    </row>
    <row r="30" spans="1:14" ht="13.5" thickBot="1" x14ac:dyDescent="0.25">
      <c r="J30" s="207" t="s">
        <v>235</v>
      </c>
      <c r="K30" s="260">
        <f>Y!B78/1000</f>
        <v>-9.409183333333333</v>
      </c>
      <c r="L30" s="260">
        <f>Y!C78/1000</f>
        <v>-14.316117326666667</v>
      </c>
      <c r="M30" s="260">
        <f>Y!D78/1000</f>
        <v>27.521773498787887</v>
      </c>
      <c r="N30" s="260">
        <f>Y!E78/1000</f>
        <v>61.32233729454547</v>
      </c>
    </row>
    <row r="31" spans="1:14" ht="13.5" thickBot="1" x14ac:dyDescent="0.25">
      <c r="B31">
        <v>2017</v>
      </c>
      <c r="C31">
        <v>2018</v>
      </c>
      <c r="D31">
        <v>2019</v>
      </c>
      <c r="E31">
        <v>2020</v>
      </c>
      <c r="J31" s="228" t="s">
        <v>71</v>
      </c>
      <c r="K31" s="260">
        <f>Y!B92/1000</f>
        <v>9.0816666666667295E-2</v>
      </c>
      <c r="L31" s="260">
        <f>Y!C92/1000</f>
        <v>13.083882673333335</v>
      </c>
      <c r="M31" s="260">
        <f>Y!D92/1000</f>
        <v>-13.078226501212113</v>
      </c>
      <c r="N31" s="260">
        <f>Y!E92/1000</f>
        <v>55.022337294545459</v>
      </c>
    </row>
    <row r="32" spans="1:14" ht="13.5" thickBot="1" x14ac:dyDescent="0.25">
      <c r="A32" s="207" t="s">
        <v>108</v>
      </c>
      <c r="B32" s="260">
        <f>Y!B69/1000</f>
        <v>-1.8654499999999998</v>
      </c>
      <c r="C32" s="260">
        <f>Y!C69/1000</f>
        <v>11.398650666666672</v>
      </c>
      <c r="D32" s="260">
        <f>Y!D69/1000</f>
        <v>34.810861333333342</v>
      </c>
      <c r="E32" s="260">
        <f>Y!E69/1000</f>
        <v>37.135861333333352</v>
      </c>
    </row>
    <row r="33" spans="1:5" ht="13.5" thickBot="1" x14ac:dyDescent="0.25">
      <c r="A33" s="207" t="s">
        <v>208</v>
      </c>
      <c r="B33" s="260">
        <f>Y!B75/1000</f>
        <v>-3.1721397665895061</v>
      </c>
      <c r="C33" s="260">
        <f>Y!C75/1000</f>
        <v>4.2979630936782618</v>
      </c>
      <c r="D33" s="260">
        <f>Y!D75/1000</f>
        <v>26.57172823227118</v>
      </c>
      <c r="E33" s="260">
        <f>Y!E75/1000</f>
        <v>34.576571205398643</v>
      </c>
    </row>
    <row r="48" spans="1:5" x14ac:dyDescent="0.2">
      <c r="B48" s="21"/>
      <c r="C48" s="21"/>
      <c r="D48" s="2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5</vt:i4>
      </vt:variant>
    </vt:vector>
  </HeadingPairs>
  <TitlesOfParts>
    <vt:vector size="14" baseType="lpstr">
      <vt:lpstr>0</vt:lpstr>
      <vt:lpstr>cost</vt:lpstr>
      <vt:lpstr>M</vt:lpstr>
      <vt:lpstr>work</vt:lpstr>
      <vt:lpstr>QY</vt:lpstr>
      <vt:lpstr>Q</vt:lpstr>
      <vt:lpstr>Y</vt:lpstr>
      <vt:lpstr>NPV</vt:lpstr>
      <vt:lpstr>Infographics</vt:lpstr>
      <vt:lpstr>admin</vt:lpstr>
      <vt:lpstr>comm</vt:lpstr>
      <vt:lpstr>feed</vt:lpstr>
      <vt:lpstr>'0'!Print_Area</vt:lpstr>
      <vt:lpstr>M!Print_Titles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Dmytro Stashchuk</dc:creator>
  <cp:lastModifiedBy>Dmytro Stashchuk</cp:lastModifiedBy>
  <cp:lastPrinted>2017-06-06T13:54:06Z</cp:lastPrinted>
  <dcterms:created xsi:type="dcterms:W3CDTF">2017-06-03T15:33:49Z</dcterms:created>
  <dcterms:modified xsi:type="dcterms:W3CDTF">2017-07-03T21:19:23Z</dcterms:modified>
</cp:coreProperties>
</file>