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CLOUD\OneDrive\Cicoresky\Clients\Honey\Wontert\Wontert-25M\"/>
    </mc:Choice>
  </mc:AlternateContent>
  <xr:revisionPtr revIDLastSave="0" documentId="11_0EB4D6FCA369D36C0019C627F02CAE07F202E0BE" xr6:coauthVersionLast="37" xr6:coauthVersionMax="37" xr10:uidLastSave="{00000000-0000-0000-0000-000000000000}"/>
  <bookViews>
    <workbookView xWindow="0" yWindow="0" windowWidth="20490" windowHeight="8385" tabRatio="775" activeTab="1" xr2:uid="{00000000-000D-0000-FFFF-FFFF00000000}"/>
  </bookViews>
  <sheets>
    <sheet name="parameters" sheetId="15" r:id="rId1"/>
    <sheet name="CAPEX" sheetId="1" r:id="rId2"/>
    <sheet name="OPEX" sheetId="4" r:id="rId3"/>
    <sheet name="Production" sheetId="3" r:id="rId4"/>
    <sheet name="P&amp;L, CashFlow" sheetId="2" r:id="rId5"/>
    <sheet name="CVP" sheetId="8" r:id="rId6"/>
    <sheet name="WACC" sheetId="10" r:id="rId7"/>
    <sheet name="RU" sheetId="18" r:id="rId8"/>
    <sheet name="EN" sheetId="5" r:id="rId9"/>
    <sheet name="Gantt" sheetId="11" r:id="rId10"/>
    <sheet name="text" sheetId="16" r:id="rId11"/>
  </sheets>
  <externalReferences>
    <externalReference r:id="rId12"/>
    <externalReference r:id="rId13"/>
    <externalReference r:id="rId14"/>
  </externalReferences>
  <definedNames>
    <definedName name="ChartStyle">[1]Logic!$C$41</definedName>
    <definedName name="ColorStyle">[1]Logic!$C$47</definedName>
    <definedName name="CopyDataRange">'[1]Umsatz Produktbereiche'!$C$2:$C$3</definedName>
    <definedName name="CopyRange">[1]Logic!$D$6:$D$33</definedName>
    <definedName name="DataEntryRange">'[1]Umsatz Produktbereiche'!$B$2:$Q$3</definedName>
    <definedName name="IstValue">'[1]Umsatz Produktbereiche'!$Q$3</definedName>
    <definedName name="LastDataRow">'[1]Umsatz Produktbereiche'!$Q$1:$Q$3</definedName>
    <definedName name="LastRow">[1]Logic!$Q$1:$Q$65536</definedName>
    <definedName name="month">[2]list!$C$3:$D$26</definedName>
    <definedName name="Rubrik">[3]Matrixreihe!$A$6:$A$17</definedName>
  </definedNames>
  <calcPr calcId="1790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54" i="18" l="1"/>
  <c r="N54" i="18"/>
  <c r="M54" i="18"/>
  <c r="L54" i="18"/>
  <c r="K54" i="18"/>
  <c r="J54" i="18"/>
  <c r="I54" i="18"/>
  <c r="N52" i="18"/>
  <c r="N57" i="18" s="1"/>
  <c r="M52" i="18"/>
  <c r="M57" i="18" s="1"/>
  <c r="L52" i="18"/>
  <c r="L57" i="18" s="1"/>
  <c r="K52" i="18"/>
  <c r="K57" i="18" s="1"/>
  <c r="J52" i="18"/>
  <c r="J57" i="18" s="1"/>
  <c r="I52" i="18"/>
  <c r="I57" i="18" s="1"/>
  <c r="AC7" i="18"/>
  <c r="K6" i="18"/>
  <c r="K42" i="2" l="1"/>
  <c r="E15" i="1"/>
  <c r="I7" i="10"/>
  <c r="Q11" i="3" l="1"/>
  <c r="P11" i="3"/>
  <c r="O11" i="3"/>
  <c r="N11" i="3"/>
  <c r="M11" i="3"/>
  <c r="Q10" i="3"/>
  <c r="P10" i="3"/>
  <c r="O10" i="3"/>
  <c r="N10" i="3"/>
  <c r="M10" i="3"/>
  <c r="M7" i="3"/>
  <c r="N7" i="3"/>
  <c r="O7" i="3"/>
  <c r="P7" i="3"/>
  <c r="Q7" i="3"/>
  <c r="N8" i="3"/>
  <c r="O8" i="3"/>
  <c r="P8" i="3"/>
  <c r="Q8" i="3"/>
  <c r="M8" i="3"/>
  <c r="E27" i="11"/>
  <c r="F5" i="4" l="1"/>
  <c r="H2" i="15"/>
  <c r="S14" i="1" l="1"/>
  <c r="Z14" i="1" s="1"/>
  <c r="AA14" i="1" s="1"/>
  <c r="AB14" i="1" s="1"/>
  <c r="AC14" i="1" s="1"/>
  <c r="AD14" i="1" s="1"/>
  <c r="AE14" i="1" s="1"/>
  <c r="AA89" i="1"/>
  <c r="AB89" i="1"/>
  <c r="AC89" i="1"/>
  <c r="AD89" i="1"/>
  <c r="AE89" i="1"/>
  <c r="Z89" i="1"/>
  <c r="H57" i="1"/>
  <c r="V57" i="1" s="1"/>
  <c r="H35" i="1"/>
  <c r="S35" i="1" s="1"/>
  <c r="Z35" i="1" s="1"/>
  <c r="AA35" i="1" s="1"/>
  <c r="AB35" i="1" s="1"/>
  <c r="AC35" i="1" s="1"/>
  <c r="AD35" i="1" s="1"/>
  <c r="AE35" i="1" s="1"/>
  <c r="H32" i="1"/>
  <c r="S32" i="1" s="1"/>
  <c r="Z32" i="1" s="1"/>
  <c r="H22" i="1"/>
  <c r="W22" i="1" s="1"/>
  <c r="N51" i="1"/>
  <c r="O51" i="1"/>
  <c r="P51" i="1"/>
  <c r="Q51" i="1"/>
  <c r="L51" i="1"/>
  <c r="C5" i="3"/>
  <c r="B20" i="18" s="1"/>
  <c r="H5" i="15"/>
  <c r="H6" i="15" s="1"/>
  <c r="I4" i="15"/>
  <c r="I5" i="15" l="1"/>
  <c r="I6" i="15" s="1"/>
  <c r="I2" i="15"/>
  <c r="E24" i="11"/>
  <c r="U32" i="1"/>
  <c r="X32" i="1"/>
  <c r="X57" i="1"/>
  <c r="Y57" i="1"/>
  <c r="I57" i="1"/>
  <c r="S57" i="1"/>
  <c r="W57" i="1"/>
  <c r="T57" i="1"/>
  <c r="U57" i="1"/>
  <c r="I35" i="1"/>
  <c r="T32" i="1"/>
  <c r="AA32" i="1" s="1"/>
  <c r="V32" i="1"/>
  <c r="W32" i="1"/>
  <c r="I32" i="1"/>
  <c r="V22" i="1"/>
  <c r="X22" i="1"/>
  <c r="I22" i="1"/>
  <c r="Y22" i="1"/>
  <c r="S22" i="1"/>
  <c r="Z22" i="1" s="1"/>
  <c r="T22" i="1"/>
  <c r="U22" i="1"/>
  <c r="J4" i="15"/>
  <c r="J2" i="15" s="1"/>
  <c r="I8" i="15" l="1"/>
  <c r="I9" i="15" s="1"/>
  <c r="M51" i="1" s="1"/>
  <c r="AB32" i="1"/>
  <c r="AC32" i="1" s="1"/>
  <c r="AD32" i="1" s="1"/>
  <c r="AE32" i="1" s="1"/>
  <c r="Z57" i="1"/>
  <c r="AA57" i="1" s="1"/>
  <c r="AB57" i="1" s="1"/>
  <c r="AC57" i="1" s="1"/>
  <c r="AD57" i="1" s="1"/>
  <c r="AE57" i="1" s="1"/>
  <c r="AA22" i="1"/>
  <c r="AB22" i="1" s="1"/>
  <c r="AC22" i="1" s="1"/>
  <c r="AD22" i="1" s="1"/>
  <c r="AE22" i="1" s="1"/>
  <c r="K4" i="15"/>
  <c r="K2" i="15" s="1"/>
  <c r="J5" i="15"/>
  <c r="D10" i="3"/>
  <c r="E10" i="3"/>
  <c r="F10" i="3"/>
  <c r="G10" i="3"/>
  <c r="H10" i="3"/>
  <c r="D4" i="3" l="1"/>
  <c r="D5" i="3" s="1"/>
  <c r="E51" i="1"/>
  <c r="J8" i="15"/>
  <c r="J6" i="15"/>
  <c r="K5" i="15"/>
  <c r="L4" i="15"/>
  <c r="L2" i="15" s="1"/>
  <c r="H6" i="1"/>
  <c r="I24" i="11" l="1"/>
  <c r="C20" i="18"/>
  <c r="J10" i="15"/>
  <c r="E4" i="3"/>
  <c r="E5" i="3" s="1"/>
  <c r="D20" i="18" s="1"/>
  <c r="K8" i="15"/>
  <c r="K6" i="15"/>
  <c r="M4" i="15"/>
  <c r="L5" i="15"/>
  <c r="G1" i="3"/>
  <c r="I10" i="3" s="1"/>
  <c r="M2" i="15" l="1"/>
  <c r="D5" i="4"/>
  <c r="M5" i="15"/>
  <c r="M6" i="15" s="1"/>
  <c r="D17" i="4"/>
  <c r="D12" i="4"/>
  <c r="D18" i="4"/>
  <c r="D11" i="4"/>
  <c r="D16" i="4"/>
  <c r="D10" i="4"/>
  <c r="D13" i="4"/>
  <c r="K10" i="15"/>
  <c r="F4" i="3"/>
  <c r="F5" i="3" s="1"/>
  <c r="E20" i="18" s="1"/>
  <c r="M8" i="15"/>
  <c r="L8" i="15"/>
  <c r="L6" i="15"/>
  <c r="Q24" i="11" l="1"/>
  <c r="L10" i="15"/>
  <c r="G4" i="3"/>
  <c r="G5" i="3" s="1"/>
  <c r="F20" i="18" s="1"/>
  <c r="M10" i="15"/>
  <c r="H4" i="3"/>
  <c r="H5" i="3" s="1"/>
  <c r="G20" i="18" s="1"/>
  <c r="N6" i="15"/>
  <c r="R24" i="11" l="1"/>
  <c r="I5" i="3"/>
  <c r="J54" i="5"/>
  <c r="I54" i="5"/>
  <c r="N52" i="5"/>
  <c r="M52" i="5"/>
  <c r="L52" i="5"/>
  <c r="K52" i="5"/>
  <c r="J52" i="5"/>
  <c r="I52" i="5"/>
  <c r="D41" i="2" l="1"/>
  <c r="C50" i="3"/>
  <c r="F1" i="4" l="1"/>
  <c r="G17" i="4" l="1"/>
  <c r="G5" i="4"/>
  <c r="Q5" i="4" l="1"/>
  <c r="R5" i="4"/>
  <c r="S5" i="4"/>
  <c r="P5" i="4"/>
  <c r="T5" i="4"/>
  <c r="U5" i="4"/>
  <c r="P20" i="4"/>
  <c r="I16" i="10" l="1"/>
  <c r="I9" i="10"/>
  <c r="I8" i="10" s="1"/>
  <c r="I13" i="10" s="1"/>
  <c r="I17" i="10" l="1"/>
  <c r="I14" i="10" l="1"/>
  <c r="I18" i="10" s="1"/>
  <c r="E41" i="2"/>
  <c r="N54" i="5"/>
  <c r="M54" i="5"/>
  <c r="H40" i="8"/>
  <c r="G40" i="8"/>
  <c r="N37" i="4"/>
  <c r="M37" i="4"/>
  <c r="J19" i="4"/>
  <c r="F40" i="8"/>
  <c r="N78" i="4"/>
  <c r="H125" i="18" s="1"/>
  <c r="M78" i="4"/>
  <c r="G125" i="18" s="1"/>
  <c r="L78" i="4"/>
  <c r="F125" i="18" s="1"/>
  <c r="K78" i="4"/>
  <c r="E125" i="18" s="1"/>
  <c r="J78" i="4"/>
  <c r="D125" i="18" s="1"/>
  <c r="I78" i="4"/>
  <c r="C125" i="18" s="1"/>
  <c r="N60" i="4"/>
  <c r="H124" i="18" s="1"/>
  <c r="M60" i="4"/>
  <c r="G124" i="18" s="1"/>
  <c r="L60" i="4"/>
  <c r="F124" i="18" s="1"/>
  <c r="K60" i="4"/>
  <c r="E124" i="18" s="1"/>
  <c r="J60" i="4"/>
  <c r="D124" i="18" s="1"/>
  <c r="I60" i="4"/>
  <c r="C124" i="18" s="1"/>
  <c r="N41" i="4"/>
  <c r="H123" i="18" s="1"/>
  <c r="M41" i="4"/>
  <c r="G123" i="18" s="1"/>
  <c r="L41" i="4"/>
  <c r="F123" i="18" s="1"/>
  <c r="K41" i="4"/>
  <c r="E123" i="18" s="1"/>
  <c r="J41" i="4"/>
  <c r="D123" i="18" s="1"/>
  <c r="I41" i="4"/>
  <c r="C123" i="18" s="1"/>
  <c r="N23" i="4"/>
  <c r="H122" i="18" s="1"/>
  <c r="M23" i="4"/>
  <c r="G122" i="18" s="1"/>
  <c r="G121" i="18" s="1"/>
  <c r="L23" i="4"/>
  <c r="F122" i="18" s="1"/>
  <c r="F121" i="18" s="1"/>
  <c r="K23" i="4"/>
  <c r="E122" i="18" s="1"/>
  <c r="E121" i="18" s="1"/>
  <c r="J23" i="4"/>
  <c r="D122" i="18" s="1"/>
  <c r="I23" i="4"/>
  <c r="G81" i="4"/>
  <c r="H85" i="1"/>
  <c r="T85" i="1" s="1"/>
  <c r="H84" i="1"/>
  <c r="I84" i="1" s="1"/>
  <c r="H83" i="1"/>
  <c r="X83" i="1" s="1"/>
  <c r="H82" i="1"/>
  <c r="X82" i="1" s="1"/>
  <c r="H81" i="1"/>
  <c r="T81" i="1" s="1"/>
  <c r="H80" i="1"/>
  <c r="I80" i="1" s="1"/>
  <c r="H79" i="1"/>
  <c r="X79" i="1" s="1"/>
  <c r="H78" i="1"/>
  <c r="X78" i="1" s="1"/>
  <c r="H77" i="1"/>
  <c r="T77" i="1" s="1"/>
  <c r="H76" i="1"/>
  <c r="I76" i="1" s="1"/>
  <c r="H75" i="1"/>
  <c r="X75" i="1" s="1"/>
  <c r="H74" i="1"/>
  <c r="X74" i="1" s="1"/>
  <c r="H73" i="1"/>
  <c r="X73" i="1" s="1"/>
  <c r="H72" i="1"/>
  <c r="I72" i="1" s="1"/>
  <c r="H71" i="1"/>
  <c r="X71" i="1" s="1"/>
  <c r="H70" i="1"/>
  <c r="X70" i="1" s="1"/>
  <c r="H69" i="1"/>
  <c r="T69" i="1" s="1"/>
  <c r="H68" i="1"/>
  <c r="W68" i="1" s="1"/>
  <c r="H67" i="1"/>
  <c r="S67" i="1" s="1"/>
  <c r="Z67" i="1" s="1"/>
  <c r="H66" i="1"/>
  <c r="V66" i="1" s="1"/>
  <c r="H65" i="1"/>
  <c r="H64" i="1"/>
  <c r="U64" i="1" s="1"/>
  <c r="H63" i="1"/>
  <c r="S63" i="1" s="1"/>
  <c r="Z63" i="1" s="1"/>
  <c r="H62" i="1"/>
  <c r="X62" i="1" s="1"/>
  <c r="H58" i="1"/>
  <c r="U58" i="1" s="1"/>
  <c r="H56" i="1"/>
  <c r="T56" i="1" s="1"/>
  <c r="W54" i="1"/>
  <c r="V54" i="1"/>
  <c r="U54" i="1"/>
  <c r="T54" i="1"/>
  <c r="S54" i="1"/>
  <c r="Z54" i="1" s="1"/>
  <c r="H53" i="1"/>
  <c r="H52" i="1"/>
  <c r="H51" i="1"/>
  <c r="H50" i="1"/>
  <c r="X50" i="1" s="1"/>
  <c r="H49" i="1"/>
  <c r="H48" i="1"/>
  <c r="U48" i="1" s="1"/>
  <c r="H47" i="1"/>
  <c r="S47" i="1" s="1"/>
  <c r="Z47" i="1" s="1"/>
  <c r="H45" i="1"/>
  <c r="H44" i="1"/>
  <c r="T44" i="1" s="1"/>
  <c r="H43" i="1"/>
  <c r="I43" i="1" s="1"/>
  <c r="H38" i="1"/>
  <c r="I38" i="1" s="1"/>
  <c r="H37" i="1"/>
  <c r="X37" i="1" s="1"/>
  <c r="H34" i="1"/>
  <c r="H33" i="1"/>
  <c r="I33" i="1" s="1"/>
  <c r="H31" i="1"/>
  <c r="I31" i="1" s="1"/>
  <c r="H29" i="1"/>
  <c r="U29" i="1" s="1"/>
  <c r="H28" i="1"/>
  <c r="S28" i="1" s="1"/>
  <c r="Z28" i="1" s="1"/>
  <c r="H27" i="1"/>
  <c r="X27" i="1" s="1"/>
  <c r="H26" i="1"/>
  <c r="H24" i="1"/>
  <c r="S24" i="1" s="1"/>
  <c r="Z24" i="1" s="1"/>
  <c r="H23" i="1"/>
  <c r="I23" i="1" s="1"/>
  <c r="H21" i="1"/>
  <c r="Y21" i="1" s="1"/>
  <c r="H20" i="1"/>
  <c r="X20" i="1" s="1"/>
  <c r="H19" i="1"/>
  <c r="I19" i="1" s="1"/>
  <c r="H18" i="1"/>
  <c r="X18" i="1" s="1"/>
  <c r="H17" i="1"/>
  <c r="Y17" i="1" s="1"/>
  <c r="H15" i="1"/>
  <c r="N10" i="1"/>
  <c r="M10" i="1"/>
  <c r="L10" i="1"/>
  <c r="H10" i="1"/>
  <c r="V10" i="1" s="1"/>
  <c r="N9" i="1"/>
  <c r="M9" i="1"/>
  <c r="L9" i="1"/>
  <c r="H9" i="1"/>
  <c r="X9" i="1" s="1"/>
  <c r="N8" i="1"/>
  <c r="M8" i="1"/>
  <c r="L8" i="1"/>
  <c r="H8" i="1"/>
  <c r="N7" i="1"/>
  <c r="M7" i="1"/>
  <c r="L7" i="1"/>
  <c r="H7" i="1"/>
  <c r="W7" i="1" s="1"/>
  <c r="N6" i="1"/>
  <c r="M6" i="1"/>
  <c r="L6" i="1"/>
  <c r="X6" i="1"/>
  <c r="H121" i="18" l="1"/>
  <c r="I88" i="4"/>
  <c r="C122" i="18"/>
  <c r="C121" i="18" s="1"/>
  <c r="D121" i="18"/>
  <c r="S6" i="1"/>
  <c r="Z6" i="1" s="1"/>
  <c r="L87" i="4"/>
  <c r="L88" i="4"/>
  <c r="H123" i="5"/>
  <c r="N89" i="4"/>
  <c r="D125" i="5"/>
  <c r="J91" i="4"/>
  <c r="M87" i="4"/>
  <c r="M88" i="4"/>
  <c r="C124" i="5"/>
  <c r="I90" i="4"/>
  <c r="E125" i="5"/>
  <c r="K91" i="4"/>
  <c r="H122" i="5"/>
  <c r="N87" i="4"/>
  <c r="N88" i="4"/>
  <c r="D124" i="5"/>
  <c r="J90" i="4"/>
  <c r="F125" i="5"/>
  <c r="L91" i="4"/>
  <c r="E122" i="5"/>
  <c r="K88" i="4"/>
  <c r="K87" i="4"/>
  <c r="C123" i="5"/>
  <c r="I89" i="4"/>
  <c r="E124" i="5"/>
  <c r="K90" i="4"/>
  <c r="G125" i="5"/>
  <c r="M91" i="4"/>
  <c r="G123" i="5"/>
  <c r="M89" i="4"/>
  <c r="D123" i="5"/>
  <c r="J89" i="4"/>
  <c r="F124" i="5"/>
  <c r="L90" i="4"/>
  <c r="H125" i="5"/>
  <c r="N91" i="4"/>
  <c r="C125" i="5"/>
  <c r="I91" i="4"/>
  <c r="E123" i="5"/>
  <c r="K89" i="4"/>
  <c r="G124" i="5"/>
  <c r="M90" i="4"/>
  <c r="D122" i="5"/>
  <c r="J88" i="4"/>
  <c r="J87" i="4"/>
  <c r="F123" i="5"/>
  <c r="L89" i="4"/>
  <c r="H124" i="5"/>
  <c r="N90" i="4"/>
  <c r="F41" i="2"/>
  <c r="I37" i="4"/>
  <c r="Q52" i="1"/>
  <c r="X52" i="1" s="1"/>
  <c r="M19" i="4"/>
  <c r="F122" i="5"/>
  <c r="G122" i="5"/>
  <c r="C122" i="5"/>
  <c r="I87" i="4"/>
  <c r="N19" i="4"/>
  <c r="V8" i="1"/>
  <c r="I8" i="1"/>
  <c r="I15" i="1"/>
  <c r="N52" i="1"/>
  <c r="U52" i="1" s="1"/>
  <c r="I51" i="1"/>
  <c r="P6" i="18" s="1"/>
  <c r="T10" i="1"/>
  <c r="J37" i="4"/>
  <c r="U10" i="1"/>
  <c r="F30" i="2"/>
  <c r="K54" i="5"/>
  <c r="K57" i="5" s="1"/>
  <c r="G30" i="2"/>
  <c r="L54" i="5"/>
  <c r="L57" i="5" s="1"/>
  <c r="F29" i="2"/>
  <c r="K37" i="4"/>
  <c r="X51" i="1"/>
  <c r="G29" i="2"/>
  <c r="K6" i="5"/>
  <c r="L37" i="4"/>
  <c r="S51" i="1"/>
  <c r="Z51" i="1" s="1"/>
  <c r="U51" i="1"/>
  <c r="X29" i="1"/>
  <c r="U67" i="1"/>
  <c r="S83" i="1"/>
  <c r="Z83" i="1" s="1"/>
  <c r="I69" i="1"/>
  <c r="T9" i="1"/>
  <c r="I30" i="1"/>
  <c r="AA54" i="1"/>
  <c r="AB54" i="1" s="1"/>
  <c r="AC54" i="1" s="1"/>
  <c r="AD54" i="1" s="1"/>
  <c r="AE54" i="1" s="1"/>
  <c r="V81" i="1"/>
  <c r="U7" i="1"/>
  <c r="V47" i="1"/>
  <c r="V51" i="1"/>
  <c r="G19" i="4"/>
  <c r="Q19" i="4" s="1"/>
  <c r="I6" i="1"/>
  <c r="S10" i="1"/>
  <c r="Z10" i="1" s="1"/>
  <c r="W51" i="1"/>
  <c r="X64" i="1"/>
  <c r="I83" i="1"/>
  <c r="T38" i="1"/>
  <c r="W56" i="1"/>
  <c r="T80" i="1"/>
  <c r="T84" i="1"/>
  <c r="T43" i="1"/>
  <c r="T42" i="1" s="1"/>
  <c r="I62" i="1"/>
  <c r="I68" i="1"/>
  <c r="W85" i="1"/>
  <c r="I29" i="2"/>
  <c r="K19" i="4"/>
  <c r="S85" i="1"/>
  <c r="Z85" i="1" s="1"/>
  <c r="AA85" i="1" s="1"/>
  <c r="S8" i="1"/>
  <c r="Z8" i="1" s="1"/>
  <c r="T8" i="1"/>
  <c r="S33" i="1"/>
  <c r="Z33" i="1" s="1"/>
  <c r="U43" i="1"/>
  <c r="U62" i="1"/>
  <c r="I66" i="1"/>
  <c r="S79" i="1"/>
  <c r="Z79" i="1" s="1"/>
  <c r="U8" i="1"/>
  <c r="S66" i="1"/>
  <c r="Z66" i="1" s="1"/>
  <c r="W48" i="1"/>
  <c r="U63" i="1"/>
  <c r="W66" i="1"/>
  <c r="G10" i="4"/>
  <c r="P10" i="4" s="1"/>
  <c r="S20" i="4"/>
  <c r="F47" i="3" s="1"/>
  <c r="H24" i="8" s="1"/>
  <c r="G29" i="4"/>
  <c r="U29" i="4" s="1"/>
  <c r="X72" i="1"/>
  <c r="W8" i="1"/>
  <c r="T7" i="1"/>
  <c r="X8" i="1"/>
  <c r="I37" i="1"/>
  <c r="I36" i="1" s="1"/>
  <c r="T51" i="1"/>
  <c r="V56" i="1"/>
  <c r="X63" i="1"/>
  <c r="X66" i="1"/>
  <c r="T76" i="1"/>
  <c r="U80" i="1"/>
  <c r="U21" i="4"/>
  <c r="H30" i="3" s="1"/>
  <c r="G37" i="4"/>
  <c r="T37" i="4" s="1"/>
  <c r="G32" i="3" s="1"/>
  <c r="I30" i="2"/>
  <c r="I54" i="1"/>
  <c r="G80" i="4"/>
  <c r="R80" i="4" s="1"/>
  <c r="T6" i="1"/>
  <c r="X7" i="1"/>
  <c r="U15" i="1"/>
  <c r="T21" i="1"/>
  <c r="S37" i="1"/>
  <c r="Z37" i="1" s="1"/>
  <c r="V44" i="1"/>
  <c r="X48" i="1"/>
  <c r="S62" i="1"/>
  <c r="Z62" i="1" s="1"/>
  <c r="V63" i="1"/>
  <c r="X68" i="1"/>
  <c r="I71" i="1"/>
  <c r="I73" i="1"/>
  <c r="U76" i="1"/>
  <c r="W81" i="1"/>
  <c r="U84" i="1"/>
  <c r="E29" i="2"/>
  <c r="F48" i="3"/>
  <c r="H25" i="8" s="1"/>
  <c r="U6" i="1"/>
  <c r="S9" i="1"/>
  <c r="Z9" i="1" s="1"/>
  <c r="V15" i="1"/>
  <c r="W44" i="1"/>
  <c r="T62" i="1"/>
  <c r="W63" i="1"/>
  <c r="S71" i="1"/>
  <c r="Z71" i="1" s="1"/>
  <c r="S73" i="1"/>
  <c r="Z73" i="1" s="1"/>
  <c r="X76" i="1"/>
  <c r="I79" i="1"/>
  <c r="H30" i="2"/>
  <c r="V71" i="1"/>
  <c r="T73" i="1"/>
  <c r="U9" i="1"/>
  <c r="U33" i="1"/>
  <c r="U38" i="1"/>
  <c r="S50" i="1"/>
  <c r="Z50" i="1" s="1"/>
  <c r="V62" i="1"/>
  <c r="T66" i="1"/>
  <c r="V67" i="1"/>
  <c r="V69" i="1"/>
  <c r="U73" i="1"/>
  <c r="I75" i="1"/>
  <c r="I77" i="1"/>
  <c r="V7" i="18" s="1"/>
  <c r="V85" i="1"/>
  <c r="H29" i="2"/>
  <c r="T20" i="4"/>
  <c r="G47" i="3" s="1"/>
  <c r="I24" i="8" s="1"/>
  <c r="P52" i="1"/>
  <c r="W52" i="1" s="1"/>
  <c r="W15" i="1"/>
  <c r="W33" i="1"/>
  <c r="U47" i="1"/>
  <c r="T50" i="1"/>
  <c r="W58" i="1"/>
  <c r="W62" i="1"/>
  <c r="I64" i="1"/>
  <c r="U66" i="1"/>
  <c r="W67" i="1"/>
  <c r="W69" i="1"/>
  <c r="T72" i="1"/>
  <c r="V73" i="1"/>
  <c r="S75" i="1"/>
  <c r="Z75" i="1" s="1"/>
  <c r="V77" i="1"/>
  <c r="S7" i="1"/>
  <c r="Z7" i="1" s="1"/>
  <c r="AA7" i="1" s="1"/>
  <c r="AB7" i="1" s="1"/>
  <c r="X58" i="1"/>
  <c r="W64" i="1"/>
  <c r="X67" i="1"/>
  <c r="U72" i="1"/>
  <c r="W73" i="1"/>
  <c r="V75" i="1"/>
  <c r="W77" i="1"/>
  <c r="G18" i="4"/>
  <c r="U18" i="4" s="1"/>
  <c r="P22" i="4"/>
  <c r="G30" i="4"/>
  <c r="P30" i="4" s="1"/>
  <c r="M52" i="1"/>
  <c r="T52" i="1" s="1"/>
  <c r="I19" i="4"/>
  <c r="L52" i="1"/>
  <c r="L19" i="4"/>
  <c r="O52" i="1"/>
  <c r="V52" i="1" s="1"/>
  <c r="V33" i="1"/>
  <c r="T31" i="1"/>
  <c r="X33" i="1"/>
  <c r="U31" i="1"/>
  <c r="T33" i="1"/>
  <c r="S27" i="1"/>
  <c r="Z27" i="1" s="1"/>
  <c r="T27" i="1"/>
  <c r="U28" i="1"/>
  <c r="V28" i="1"/>
  <c r="W29" i="1"/>
  <c r="V17" i="1"/>
  <c r="Y18" i="1"/>
  <c r="I17" i="1"/>
  <c r="S17" i="1"/>
  <c r="Z17" i="1" s="1"/>
  <c r="T17" i="1"/>
  <c r="U17" i="1"/>
  <c r="T23" i="1"/>
  <c r="U23" i="1"/>
  <c r="U24" i="1"/>
  <c r="V24" i="1"/>
  <c r="I20" i="1"/>
  <c r="S20" i="1"/>
  <c r="Z20" i="1" s="1"/>
  <c r="T18" i="1"/>
  <c r="S21" i="1"/>
  <c r="Z21" i="1" s="1"/>
  <c r="AA10" i="1"/>
  <c r="AB10" i="1" s="1"/>
  <c r="AC10" i="1" s="1"/>
  <c r="W19" i="1"/>
  <c r="V19" i="1"/>
  <c r="U19" i="1"/>
  <c r="T19" i="1"/>
  <c r="S19" i="1"/>
  <c r="Z19" i="1" s="1"/>
  <c r="X19" i="1"/>
  <c r="W65" i="1"/>
  <c r="V65" i="1"/>
  <c r="U65" i="1"/>
  <c r="T65" i="1"/>
  <c r="S65" i="1"/>
  <c r="Z65" i="1" s="1"/>
  <c r="I65" i="1"/>
  <c r="V5" i="18" s="1"/>
  <c r="X65" i="1"/>
  <c r="V9" i="1"/>
  <c r="W10" i="1"/>
  <c r="X15" i="1"/>
  <c r="X10" i="1"/>
  <c r="Y19" i="1"/>
  <c r="W26" i="1"/>
  <c r="V26" i="1"/>
  <c r="U26" i="1"/>
  <c r="T26" i="1"/>
  <c r="S26" i="1"/>
  <c r="X26" i="1"/>
  <c r="V45" i="1"/>
  <c r="U45" i="1"/>
  <c r="T45" i="1"/>
  <c r="S45" i="1"/>
  <c r="Z45" i="1" s="1"/>
  <c r="I45" i="1"/>
  <c r="W45" i="1"/>
  <c r="I10" i="1"/>
  <c r="W17" i="1"/>
  <c r="I26" i="1"/>
  <c r="X45" i="1"/>
  <c r="I9" i="1"/>
  <c r="V6" i="1"/>
  <c r="S15" i="1"/>
  <c r="Z15" i="1" s="1"/>
  <c r="X17" i="1"/>
  <c r="V18" i="1"/>
  <c r="U18" i="1"/>
  <c r="S18" i="1"/>
  <c r="Z18" i="1" s="1"/>
  <c r="I18" i="1"/>
  <c r="W18" i="1"/>
  <c r="S34" i="1"/>
  <c r="Z34" i="1" s="1"/>
  <c r="AA34" i="1" s="1"/>
  <c r="AB34" i="1" s="1"/>
  <c r="AC34" i="1" s="1"/>
  <c r="AD34" i="1" s="1"/>
  <c r="AE34" i="1" s="1"/>
  <c r="I34" i="1"/>
  <c r="W9" i="1"/>
  <c r="W6" i="1"/>
  <c r="V7" i="1"/>
  <c r="T15" i="1"/>
  <c r="I7" i="1"/>
  <c r="W49" i="1"/>
  <c r="V49" i="1"/>
  <c r="U49" i="1"/>
  <c r="T49" i="1"/>
  <c r="S49" i="1"/>
  <c r="Z49" i="1" s="1"/>
  <c r="I49" i="1"/>
  <c r="X49" i="1"/>
  <c r="Y20" i="1"/>
  <c r="I21" i="1"/>
  <c r="S23" i="1"/>
  <c r="Z23" i="1" s="1"/>
  <c r="T24" i="1"/>
  <c r="AA24" i="1" s="1"/>
  <c r="I27" i="1"/>
  <c r="T28" i="1"/>
  <c r="AA28" i="1" s="1"/>
  <c r="V29" i="1"/>
  <c r="S31" i="1"/>
  <c r="S38" i="1"/>
  <c r="Z38" i="1" s="1"/>
  <c r="S43" i="1"/>
  <c r="U44" i="1"/>
  <c r="T47" i="1"/>
  <c r="AA47" i="1" s="1"/>
  <c r="V48" i="1"/>
  <c r="I50" i="1"/>
  <c r="U56" i="1"/>
  <c r="U55" i="1" s="1"/>
  <c r="V58" i="1"/>
  <c r="T63" i="1"/>
  <c r="AA63" i="1" s="1"/>
  <c r="V64" i="1"/>
  <c r="T67" i="1"/>
  <c r="AA67" i="1" s="1"/>
  <c r="V68" i="1"/>
  <c r="V82" i="1"/>
  <c r="U82" i="1"/>
  <c r="T82" i="1"/>
  <c r="S82" i="1"/>
  <c r="Z82" i="1" s="1"/>
  <c r="I82" i="1"/>
  <c r="W82" i="1"/>
  <c r="D42" i="2"/>
  <c r="D44" i="2" s="1"/>
  <c r="D30" i="2"/>
  <c r="I57" i="5"/>
  <c r="G41" i="2"/>
  <c r="T20" i="1"/>
  <c r="U21" i="1"/>
  <c r="V23" i="1"/>
  <c r="W24" i="1"/>
  <c r="U27" i="1"/>
  <c r="W28" i="1"/>
  <c r="V31" i="1"/>
  <c r="T37" i="1"/>
  <c r="V38" i="1"/>
  <c r="V43" i="1"/>
  <c r="X44" i="1"/>
  <c r="W47" i="1"/>
  <c r="U50" i="1"/>
  <c r="X56" i="1"/>
  <c r="Y58" i="1"/>
  <c r="V70" i="1"/>
  <c r="U70" i="1"/>
  <c r="T70" i="1"/>
  <c r="S70" i="1"/>
  <c r="Z70" i="1" s="1"/>
  <c r="I70" i="1"/>
  <c r="W70" i="1"/>
  <c r="V74" i="1"/>
  <c r="U74" i="1"/>
  <c r="T74" i="1"/>
  <c r="S74" i="1"/>
  <c r="Z74" i="1" s="1"/>
  <c r="I74" i="1"/>
  <c r="W74" i="1"/>
  <c r="U20" i="1"/>
  <c r="V21" i="1"/>
  <c r="W23" i="1"/>
  <c r="X24" i="1"/>
  <c r="V27" i="1"/>
  <c r="X28" i="1"/>
  <c r="I29" i="1"/>
  <c r="W31" i="1"/>
  <c r="W30" i="1" s="1"/>
  <c r="U37" i="1"/>
  <c r="W38" i="1"/>
  <c r="W43" i="1"/>
  <c r="X47" i="1"/>
  <c r="I48" i="1"/>
  <c r="V50" i="1"/>
  <c r="Y56" i="1"/>
  <c r="I58" i="1"/>
  <c r="V20" i="1"/>
  <c r="W21" i="1"/>
  <c r="X23" i="1"/>
  <c r="Y24" i="1"/>
  <c r="W27" i="1"/>
  <c r="S29" i="1"/>
  <c r="Z29" i="1" s="1"/>
  <c r="X31" i="1"/>
  <c r="V37" i="1"/>
  <c r="X38" i="1"/>
  <c r="X36" i="1" s="1"/>
  <c r="X43" i="1"/>
  <c r="I44" i="1"/>
  <c r="I42" i="1" s="1"/>
  <c r="P8" i="18" s="1"/>
  <c r="S48" i="1"/>
  <c r="W50" i="1"/>
  <c r="I56" i="1"/>
  <c r="S58" i="1"/>
  <c r="Z58" i="1" s="1"/>
  <c r="S64" i="1"/>
  <c r="Z64" i="1" s="1"/>
  <c r="S68" i="1"/>
  <c r="Z68" i="1" s="1"/>
  <c r="W20" i="1"/>
  <c r="X21" i="1"/>
  <c r="Y23" i="1"/>
  <c r="I24" i="1"/>
  <c r="I28" i="1"/>
  <c r="T29" i="1"/>
  <c r="W37" i="1"/>
  <c r="S44" i="1"/>
  <c r="Z44" i="1" s="1"/>
  <c r="AA44" i="1" s="1"/>
  <c r="I47" i="1"/>
  <c r="T48" i="1"/>
  <c r="S56" i="1"/>
  <c r="T58" i="1"/>
  <c r="T55" i="1" s="1"/>
  <c r="I63" i="1"/>
  <c r="T64" i="1"/>
  <c r="I67" i="1"/>
  <c r="T68" i="1"/>
  <c r="U81" i="4"/>
  <c r="S81" i="4"/>
  <c r="R81" i="4"/>
  <c r="Q81" i="4"/>
  <c r="T81" i="4"/>
  <c r="P81" i="4"/>
  <c r="U68" i="1"/>
  <c r="V78" i="1"/>
  <c r="U78" i="1"/>
  <c r="T78" i="1"/>
  <c r="S78" i="1"/>
  <c r="Z78" i="1" s="1"/>
  <c r="I78" i="1"/>
  <c r="W78" i="1"/>
  <c r="D29" i="2"/>
  <c r="U69" i="1"/>
  <c r="S72" i="1"/>
  <c r="Z72" i="1" s="1"/>
  <c r="S76" i="1"/>
  <c r="Z76" i="1" s="1"/>
  <c r="U77" i="1"/>
  <c r="S80" i="1"/>
  <c r="Z80" i="1" s="1"/>
  <c r="U81" i="1"/>
  <c r="S84" i="1"/>
  <c r="Z84" i="1" s="1"/>
  <c r="AA84" i="1" s="1"/>
  <c r="U85" i="1"/>
  <c r="G11" i="4"/>
  <c r="R20" i="4"/>
  <c r="E47" i="3" s="1"/>
  <c r="G24" i="8" s="1"/>
  <c r="T21" i="4"/>
  <c r="G30" i="3" s="1"/>
  <c r="G31" i="4"/>
  <c r="G42" i="4"/>
  <c r="G45" i="4"/>
  <c r="G61" i="4"/>
  <c r="G64" i="4"/>
  <c r="E30" i="2"/>
  <c r="J57" i="5"/>
  <c r="X69" i="1"/>
  <c r="T71" i="1"/>
  <c r="V72" i="1"/>
  <c r="T75" i="1"/>
  <c r="V76" i="1"/>
  <c r="X77" i="1"/>
  <c r="T79" i="1"/>
  <c r="V80" i="1"/>
  <c r="X81" i="1"/>
  <c r="T83" i="1"/>
  <c r="V84" i="1"/>
  <c r="X85" i="1"/>
  <c r="G16" i="4"/>
  <c r="U16" i="4" s="1"/>
  <c r="Q17" i="4"/>
  <c r="U20" i="4"/>
  <c r="H47" i="3" s="1"/>
  <c r="J24" i="8" s="1"/>
  <c r="Q22" i="4"/>
  <c r="G28" i="4"/>
  <c r="S38" i="4"/>
  <c r="F33" i="3" s="1"/>
  <c r="G68" i="4"/>
  <c r="U71" i="1"/>
  <c r="W72" i="1"/>
  <c r="U75" i="1"/>
  <c r="W76" i="1"/>
  <c r="U79" i="1"/>
  <c r="W80" i="1"/>
  <c r="U83" i="1"/>
  <c r="W84" i="1"/>
  <c r="P21" i="4"/>
  <c r="C30" i="3" s="1"/>
  <c r="R22" i="4"/>
  <c r="G27" i="4"/>
  <c r="P39" i="4"/>
  <c r="C34" i="3" s="1"/>
  <c r="G55" i="4"/>
  <c r="P77" i="4"/>
  <c r="V79" i="1"/>
  <c r="X80" i="1"/>
  <c r="I81" i="1"/>
  <c r="V83" i="1"/>
  <c r="X84" i="1"/>
  <c r="I85" i="1"/>
  <c r="G70" i="4"/>
  <c r="G62" i="4"/>
  <c r="G57" i="4"/>
  <c r="G43" i="4"/>
  <c r="U38" i="4"/>
  <c r="H33" i="3" s="1"/>
  <c r="G71" i="4"/>
  <c r="G63" i="4"/>
  <c r="G58" i="4"/>
  <c r="G44" i="4"/>
  <c r="P40" i="4"/>
  <c r="T38" i="4"/>
  <c r="G33" i="3" s="1"/>
  <c r="T77" i="4"/>
  <c r="G65" i="4"/>
  <c r="G46" i="4"/>
  <c r="T39" i="4"/>
  <c r="G34" i="3" s="1"/>
  <c r="R38" i="4"/>
  <c r="E33" i="3" s="1"/>
  <c r="S77" i="4"/>
  <c r="G66" i="4"/>
  <c r="G47" i="4"/>
  <c r="S39" i="4"/>
  <c r="F34" i="3" s="1"/>
  <c r="Q38" i="4"/>
  <c r="D33" i="3" s="1"/>
  <c r="G79" i="4"/>
  <c r="R77" i="4"/>
  <c r="G67" i="4"/>
  <c r="G48" i="4"/>
  <c r="R39" i="4"/>
  <c r="E34" i="3" s="1"/>
  <c r="P38" i="4"/>
  <c r="C33" i="3" s="1"/>
  <c r="Q21" i="4"/>
  <c r="D30" i="3" s="1"/>
  <c r="S22" i="4"/>
  <c r="G26" i="4"/>
  <c r="Q39" i="4"/>
  <c r="D34" i="3" s="1"/>
  <c r="G69" i="4"/>
  <c r="G72" i="4"/>
  <c r="Q77" i="4"/>
  <c r="S69" i="1"/>
  <c r="Z69" i="1" s="1"/>
  <c r="AA69" i="1" s="1"/>
  <c r="W71" i="1"/>
  <c r="W75" i="1"/>
  <c r="S77" i="1"/>
  <c r="Z77" i="1" s="1"/>
  <c r="AA77" i="1" s="1"/>
  <c r="W79" i="1"/>
  <c r="S81" i="1"/>
  <c r="Z81" i="1" s="1"/>
  <c r="AA81" i="1" s="1"/>
  <c r="W83" i="1"/>
  <c r="G13" i="4"/>
  <c r="C47" i="3"/>
  <c r="E24" i="8" s="1"/>
  <c r="R21" i="4"/>
  <c r="E30" i="3" s="1"/>
  <c r="T22" i="4"/>
  <c r="G25" i="4"/>
  <c r="U39" i="4"/>
  <c r="H34" i="3" s="1"/>
  <c r="G56" i="4"/>
  <c r="G59" i="4"/>
  <c r="U77" i="4"/>
  <c r="N57" i="5"/>
  <c r="G12" i="4"/>
  <c r="Q20" i="4"/>
  <c r="D47" i="3" s="1"/>
  <c r="F24" i="8" s="1"/>
  <c r="S21" i="4"/>
  <c r="F30" i="3" s="1"/>
  <c r="U22" i="4"/>
  <c r="G24" i="4"/>
  <c r="P24" i="4" s="1"/>
  <c r="I40" i="8"/>
  <c r="J40" i="8"/>
  <c r="M57" i="5"/>
  <c r="P10" i="5" l="1"/>
  <c r="P10" i="18"/>
  <c r="V6" i="18"/>
  <c r="V8" i="5"/>
  <c r="V8" i="18"/>
  <c r="AC10" i="5"/>
  <c r="AC10" i="18"/>
  <c r="V4" i="18"/>
  <c r="V9" i="18" s="1"/>
  <c r="AC6" i="5"/>
  <c r="AC6" i="18"/>
  <c r="AC5" i="5"/>
  <c r="AC5" i="18"/>
  <c r="AC9" i="5"/>
  <c r="AC9" i="18"/>
  <c r="P11" i="5"/>
  <c r="P11" i="18"/>
  <c r="AA6" i="1"/>
  <c r="I86" i="1"/>
  <c r="K4" i="18" s="1"/>
  <c r="H121" i="5"/>
  <c r="G121" i="5"/>
  <c r="E121" i="5"/>
  <c r="D121" i="5"/>
  <c r="C121" i="5"/>
  <c r="AA33" i="1"/>
  <c r="AB33" i="1" s="1"/>
  <c r="AC33" i="1" s="1"/>
  <c r="AD33" i="1" s="1"/>
  <c r="AE33" i="1" s="1"/>
  <c r="V36" i="1"/>
  <c r="R18" i="4"/>
  <c r="F121" i="5"/>
  <c r="Q53" i="1"/>
  <c r="X53" i="1" s="1"/>
  <c r="H41" i="2"/>
  <c r="I41" i="2" s="1"/>
  <c r="AA9" i="1"/>
  <c r="AB9" i="1" s="1"/>
  <c r="AC9" i="1" s="1"/>
  <c r="AD9" i="1" s="1"/>
  <c r="AE9" i="1" s="1"/>
  <c r="AA80" i="1"/>
  <c r="AB80" i="1" s="1"/>
  <c r="AC80" i="1" s="1"/>
  <c r="AD80" i="1" s="1"/>
  <c r="AE80" i="1" s="1"/>
  <c r="AA79" i="1"/>
  <c r="AB79" i="1" s="1"/>
  <c r="AC79" i="1" s="1"/>
  <c r="AD79" i="1" s="1"/>
  <c r="AE79" i="1" s="1"/>
  <c r="T80" i="4"/>
  <c r="AB77" i="1"/>
  <c r="AC77" i="1" s="1"/>
  <c r="AD77" i="1" s="1"/>
  <c r="AE77" i="1" s="1"/>
  <c r="AA70" i="1"/>
  <c r="I46" i="1"/>
  <c r="P9" i="18" s="1"/>
  <c r="S55" i="1"/>
  <c r="AB28" i="1"/>
  <c r="AC28" i="1" s="1"/>
  <c r="AD28" i="1" s="1"/>
  <c r="AE28" i="1" s="1"/>
  <c r="T36" i="1"/>
  <c r="W42" i="1"/>
  <c r="V55" i="1"/>
  <c r="AB81" i="1"/>
  <c r="AC81" i="1" s="1"/>
  <c r="AD81" i="1" s="1"/>
  <c r="AE81" i="1" s="1"/>
  <c r="AA75" i="1"/>
  <c r="AB75" i="1" s="1"/>
  <c r="AC75" i="1" s="1"/>
  <c r="AD75" i="1" s="1"/>
  <c r="AE75" i="1" s="1"/>
  <c r="U10" i="4"/>
  <c r="O53" i="1"/>
  <c r="V53" i="1" s="1"/>
  <c r="N53" i="1"/>
  <c r="U53" i="1" s="1"/>
  <c r="U19" i="4"/>
  <c r="H29" i="3" s="1"/>
  <c r="H17" i="3" s="1"/>
  <c r="J13" i="8" s="1"/>
  <c r="Q40" i="4"/>
  <c r="AA51" i="1"/>
  <c r="AB51" i="1" s="1"/>
  <c r="AC51" i="1" s="1"/>
  <c r="AD51" i="1" s="1"/>
  <c r="AE51" i="1" s="1"/>
  <c r="D2" i="2"/>
  <c r="E42" i="2"/>
  <c r="E44" i="2" s="1"/>
  <c r="D23" i="2"/>
  <c r="AA78" i="1"/>
  <c r="AB78" i="1" s="1"/>
  <c r="AC78" i="1" s="1"/>
  <c r="AD78" i="1" s="1"/>
  <c r="AE78" i="1" s="1"/>
  <c r="AB24" i="1"/>
  <c r="AC24" i="1" s="1"/>
  <c r="AD24" i="1" s="1"/>
  <c r="AE24" i="1" s="1"/>
  <c r="AA83" i="1"/>
  <c r="AB83" i="1" s="1"/>
  <c r="AC83" i="1" s="1"/>
  <c r="AD83" i="1" s="1"/>
  <c r="AE83" i="1" s="1"/>
  <c r="AC7" i="5"/>
  <c r="M53" i="1"/>
  <c r="T53" i="1" s="1"/>
  <c r="P6" i="5"/>
  <c r="S80" i="4"/>
  <c r="T18" i="4"/>
  <c r="S6" i="4"/>
  <c r="W55" i="1"/>
  <c r="U5" i="1"/>
  <c r="U11" i="1" s="1"/>
  <c r="F25" i="2" s="1"/>
  <c r="T5" i="1"/>
  <c r="T11" i="1" s="1"/>
  <c r="E25" i="2" s="1"/>
  <c r="P18" i="4"/>
  <c r="AB67" i="1"/>
  <c r="AC67" i="1" s="1"/>
  <c r="AD67" i="1" s="1"/>
  <c r="AE67" i="1" s="1"/>
  <c r="AA66" i="1"/>
  <c r="AB66" i="1" s="1"/>
  <c r="AC66" i="1" s="1"/>
  <c r="AD66" i="1" s="1"/>
  <c r="AE66" i="1" s="1"/>
  <c r="AB69" i="1"/>
  <c r="AC69" i="1" s="1"/>
  <c r="AD69" i="1" s="1"/>
  <c r="AE69" i="1" s="1"/>
  <c r="Q18" i="4"/>
  <c r="X55" i="1"/>
  <c r="W36" i="1"/>
  <c r="P80" i="4"/>
  <c r="U80" i="4"/>
  <c r="S5" i="1"/>
  <c r="S11" i="1" s="1"/>
  <c r="D25" i="2" s="1"/>
  <c r="H38" i="8"/>
  <c r="Q80" i="4"/>
  <c r="P53" i="1"/>
  <c r="W53" i="1" s="1"/>
  <c r="U30" i="1"/>
  <c r="C20" i="5"/>
  <c r="S18" i="4"/>
  <c r="B20" i="5"/>
  <c r="E20" i="5"/>
  <c r="G2" i="2"/>
  <c r="S10" i="4"/>
  <c r="Q10" i="4"/>
  <c r="R10" i="4"/>
  <c r="T10" i="4"/>
  <c r="U37" i="4"/>
  <c r="H32" i="3" s="1"/>
  <c r="X42" i="1"/>
  <c r="V42" i="1"/>
  <c r="AB44" i="1"/>
  <c r="AC44" i="1" s="1"/>
  <c r="AD44" i="1" s="1"/>
  <c r="AE44" i="1" s="1"/>
  <c r="U42" i="1"/>
  <c r="AB84" i="1"/>
  <c r="AC84" i="1" s="1"/>
  <c r="AD84" i="1" s="1"/>
  <c r="AE84" i="1" s="1"/>
  <c r="R29" i="4"/>
  <c r="P29" i="4"/>
  <c r="Q29" i="4"/>
  <c r="T29" i="4"/>
  <c r="S29" i="4"/>
  <c r="T19" i="4"/>
  <c r="G29" i="3" s="1"/>
  <c r="G17" i="3" s="1"/>
  <c r="I12" i="8" s="1"/>
  <c r="V30" i="1"/>
  <c r="X5" i="1"/>
  <c r="X11" i="1" s="1"/>
  <c r="I25" i="2" s="1"/>
  <c r="P19" i="4"/>
  <c r="AA76" i="1"/>
  <c r="AB76" i="1" s="1"/>
  <c r="AC76" i="1" s="1"/>
  <c r="AD76" i="1" s="1"/>
  <c r="AE76" i="1" s="1"/>
  <c r="AB70" i="1"/>
  <c r="AC70" i="1" s="1"/>
  <c r="AD70" i="1" s="1"/>
  <c r="AE70" i="1" s="1"/>
  <c r="Q30" i="4"/>
  <c r="AA38" i="1"/>
  <c r="AB38" i="1" s="1"/>
  <c r="AC38" i="1" s="1"/>
  <c r="AD38" i="1" s="1"/>
  <c r="AE38" i="1" s="1"/>
  <c r="R30" i="4"/>
  <c r="AA73" i="1"/>
  <c r="AB73" i="1" s="1"/>
  <c r="AC73" i="1" s="1"/>
  <c r="AD73" i="1" s="1"/>
  <c r="AE73" i="1" s="1"/>
  <c r="S19" i="4"/>
  <c r="F29" i="3" s="1"/>
  <c r="F17" i="3" s="1"/>
  <c r="H13" i="8" s="1"/>
  <c r="R19" i="4"/>
  <c r="E29" i="3" s="1"/>
  <c r="E17" i="3" s="1"/>
  <c r="G12" i="8" s="1"/>
  <c r="AA27" i="1"/>
  <c r="AB27" i="1" s="1"/>
  <c r="AC27" i="1" s="1"/>
  <c r="AD27" i="1" s="1"/>
  <c r="AE27" i="1" s="1"/>
  <c r="D29" i="3"/>
  <c r="D17" i="3" s="1"/>
  <c r="F12" i="8" s="1"/>
  <c r="V6" i="5"/>
  <c r="P37" i="4"/>
  <c r="C32" i="3" s="1"/>
  <c r="S30" i="4"/>
  <c r="T30" i="4"/>
  <c r="Q37" i="4"/>
  <c r="D32" i="3" s="1"/>
  <c r="U46" i="1"/>
  <c r="S37" i="4"/>
  <c r="F32" i="3" s="1"/>
  <c r="U30" i="4"/>
  <c r="T30" i="1"/>
  <c r="V7" i="5"/>
  <c r="R37" i="4"/>
  <c r="E32" i="3" s="1"/>
  <c r="U36" i="1"/>
  <c r="T86" i="1"/>
  <c r="E28" i="2" s="1"/>
  <c r="D50" i="3"/>
  <c r="F26" i="8" s="1"/>
  <c r="Z5" i="1"/>
  <c r="Z11" i="1" s="1"/>
  <c r="AA8" i="1"/>
  <c r="AB8" i="1" s="1"/>
  <c r="AC8" i="1" s="1"/>
  <c r="AD8" i="1" s="1"/>
  <c r="AE8" i="1" s="1"/>
  <c r="AA72" i="1"/>
  <c r="AB72" i="1" s="1"/>
  <c r="AC72" i="1" s="1"/>
  <c r="AD72" i="1" s="1"/>
  <c r="AE72" i="1" s="1"/>
  <c r="AA71" i="1"/>
  <c r="AB71" i="1" s="1"/>
  <c r="AC71" i="1" s="1"/>
  <c r="AD71" i="1" s="1"/>
  <c r="AE71" i="1" s="1"/>
  <c r="AA20" i="1"/>
  <c r="AB20" i="1" s="1"/>
  <c r="AC20" i="1" s="1"/>
  <c r="AD20" i="1" s="1"/>
  <c r="AE20" i="1" s="1"/>
  <c r="AB63" i="1"/>
  <c r="AC63" i="1" s="1"/>
  <c r="AD63" i="1" s="1"/>
  <c r="AE63" i="1" s="1"/>
  <c r="W5" i="1"/>
  <c r="W11" i="1" s="1"/>
  <c r="H25" i="2" s="1"/>
  <c r="AA21" i="1"/>
  <c r="AB21" i="1" s="1"/>
  <c r="AC21" i="1" s="1"/>
  <c r="AD21" i="1" s="1"/>
  <c r="AE21" i="1" s="1"/>
  <c r="H50" i="3"/>
  <c r="J26" i="8" s="1"/>
  <c r="AA68" i="1"/>
  <c r="AB68" i="1" s="1"/>
  <c r="AC68" i="1" s="1"/>
  <c r="AD68" i="1" s="1"/>
  <c r="AE68" i="1" s="1"/>
  <c r="I2" i="2"/>
  <c r="J38" i="8"/>
  <c r="V86" i="1"/>
  <c r="G28" i="2" s="1"/>
  <c r="F38" i="8"/>
  <c r="E2" i="2"/>
  <c r="AA50" i="1"/>
  <c r="AB50" i="1" s="1"/>
  <c r="AC50" i="1" s="1"/>
  <c r="AD50" i="1" s="1"/>
  <c r="AE50" i="1" s="1"/>
  <c r="X86" i="1"/>
  <c r="I28" i="2" s="1"/>
  <c r="U86" i="1"/>
  <c r="F28" i="2" s="1"/>
  <c r="AB85" i="1"/>
  <c r="AC85" i="1" s="1"/>
  <c r="AD85" i="1" s="1"/>
  <c r="AE85" i="1" s="1"/>
  <c r="AA82" i="1"/>
  <c r="AB82" i="1" s="1"/>
  <c r="AC82" i="1" s="1"/>
  <c r="AD82" i="1" s="1"/>
  <c r="AE82" i="1" s="1"/>
  <c r="W86" i="1"/>
  <c r="H28" i="2" s="1"/>
  <c r="X46" i="1"/>
  <c r="V46" i="1"/>
  <c r="AA49" i="1"/>
  <c r="AB49" i="1" s="1"/>
  <c r="AC49" i="1" s="1"/>
  <c r="AD49" i="1" s="1"/>
  <c r="AE49" i="1" s="1"/>
  <c r="AC7" i="1"/>
  <c r="AD7" i="1" s="1"/>
  <c r="AE7" i="1" s="1"/>
  <c r="AA17" i="1"/>
  <c r="AB17" i="1" s="1"/>
  <c r="S16" i="4"/>
  <c r="Q16" i="4"/>
  <c r="Q15" i="4" s="1"/>
  <c r="L53" i="1"/>
  <c r="S53" i="1" s="1"/>
  <c r="Z53" i="1" s="1"/>
  <c r="E52" i="1"/>
  <c r="I52" i="1" s="1"/>
  <c r="P4" i="18" s="1"/>
  <c r="S52" i="1"/>
  <c r="Z52" i="1" s="1"/>
  <c r="AA52" i="1" s="1"/>
  <c r="AB52" i="1" s="1"/>
  <c r="AC52" i="1" s="1"/>
  <c r="AD52" i="1" s="1"/>
  <c r="AE52" i="1" s="1"/>
  <c r="X30" i="1"/>
  <c r="W25" i="1"/>
  <c r="AA29" i="1"/>
  <c r="AB29" i="1" s="1"/>
  <c r="AC29" i="1" s="1"/>
  <c r="AD29" i="1" s="1"/>
  <c r="AE29" i="1" s="1"/>
  <c r="AA19" i="1"/>
  <c r="AB19" i="1" s="1"/>
  <c r="AC19" i="1" s="1"/>
  <c r="AD19" i="1" s="1"/>
  <c r="AE19" i="1" s="1"/>
  <c r="AA23" i="1"/>
  <c r="AB23" i="1" s="1"/>
  <c r="AC23" i="1" s="1"/>
  <c r="AD23" i="1" s="1"/>
  <c r="AE23" i="1" s="1"/>
  <c r="AA18" i="1"/>
  <c r="AB18" i="1" s="1"/>
  <c r="AC18" i="1" s="1"/>
  <c r="AD18" i="1" s="1"/>
  <c r="AE18" i="1" s="1"/>
  <c r="V16" i="1"/>
  <c r="U16" i="1"/>
  <c r="T16" i="1"/>
  <c r="P8" i="5"/>
  <c r="AB47" i="1"/>
  <c r="V25" i="1"/>
  <c r="U68" i="4"/>
  <c r="T68" i="4"/>
  <c r="R68" i="4"/>
  <c r="Q68" i="4"/>
  <c r="P68" i="4"/>
  <c r="S68" i="4"/>
  <c r="Q64" i="4"/>
  <c r="P64" i="4"/>
  <c r="U64" i="4"/>
  <c r="T64" i="4"/>
  <c r="S64" i="4"/>
  <c r="R64" i="4"/>
  <c r="F50" i="3"/>
  <c r="H26" i="8" s="1"/>
  <c r="P44" i="4"/>
  <c r="U44" i="4"/>
  <c r="T44" i="4"/>
  <c r="S44" i="4"/>
  <c r="R44" i="4"/>
  <c r="Q44" i="4"/>
  <c r="C43" i="3"/>
  <c r="U61" i="4"/>
  <c r="S61" i="4"/>
  <c r="R61" i="4"/>
  <c r="Q61" i="4"/>
  <c r="T61" i="4"/>
  <c r="P61" i="4"/>
  <c r="Q6" i="4"/>
  <c r="D48" i="3"/>
  <c r="F25" i="8" s="1"/>
  <c r="AA64" i="1"/>
  <c r="AB64" i="1" s="1"/>
  <c r="AC64" i="1" s="1"/>
  <c r="AD64" i="1" s="1"/>
  <c r="AE64" i="1" s="1"/>
  <c r="S16" i="1"/>
  <c r="I16" i="1"/>
  <c r="W16" i="1"/>
  <c r="Q59" i="4"/>
  <c r="D40" i="3" s="1"/>
  <c r="D21" i="3" s="1"/>
  <c r="P59" i="4"/>
  <c r="C40" i="3" s="1"/>
  <c r="C21" i="3" s="1"/>
  <c r="U59" i="4"/>
  <c r="H40" i="3" s="1"/>
  <c r="H21" i="3" s="1"/>
  <c r="T59" i="4"/>
  <c r="G40" i="3" s="1"/>
  <c r="G21" i="3" s="1"/>
  <c r="R59" i="4"/>
  <c r="E40" i="3" s="1"/>
  <c r="E21" i="3" s="1"/>
  <c r="S59" i="4"/>
  <c r="F40" i="3" s="1"/>
  <c r="F21" i="3" s="1"/>
  <c r="F43" i="3"/>
  <c r="Z48" i="1"/>
  <c r="S46" i="1"/>
  <c r="R17" i="4"/>
  <c r="U24" i="4"/>
  <c r="T24" i="4"/>
  <c r="S24" i="4"/>
  <c r="Q24" i="4"/>
  <c r="R24" i="4"/>
  <c r="T79" i="4"/>
  <c r="S79" i="4"/>
  <c r="Q79" i="4"/>
  <c r="P79" i="4"/>
  <c r="R79" i="4"/>
  <c r="R78" i="4" s="1"/>
  <c r="U79" i="4"/>
  <c r="V5" i="1"/>
  <c r="V11" i="1" s="1"/>
  <c r="Q72" i="4"/>
  <c r="P72" i="4"/>
  <c r="U72" i="4"/>
  <c r="T72" i="4"/>
  <c r="S72" i="4"/>
  <c r="R72" i="4"/>
  <c r="T62" i="4"/>
  <c r="S62" i="4"/>
  <c r="R62" i="4"/>
  <c r="U62" i="4"/>
  <c r="Q62" i="4"/>
  <c r="P62" i="4"/>
  <c r="U69" i="4"/>
  <c r="S69" i="4"/>
  <c r="R69" i="4"/>
  <c r="Q69" i="4"/>
  <c r="T69" i="4"/>
  <c r="P69" i="4"/>
  <c r="P58" i="4"/>
  <c r="U58" i="4"/>
  <c r="T58" i="4"/>
  <c r="S58" i="4"/>
  <c r="R58" i="4"/>
  <c r="Q58" i="4"/>
  <c r="T70" i="4"/>
  <c r="S70" i="4"/>
  <c r="R70" i="4"/>
  <c r="P70" i="4"/>
  <c r="U70" i="4"/>
  <c r="Q70" i="4"/>
  <c r="U55" i="4"/>
  <c r="T55" i="4"/>
  <c r="R55" i="4"/>
  <c r="Q55" i="4"/>
  <c r="P55" i="4"/>
  <c r="S55" i="4"/>
  <c r="S28" i="4"/>
  <c r="R28" i="4"/>
  <c r="Q28" i="4"/>
  <c r="P28" i="4"/>
  <c r="T28" i="4"/>
  <c r="U28" i="4"/>
  <c r="Q45" i="4"/>
  <c r="P45" i="4"/>
  <c r="U45" i="4"/>
  <c r="T45" i="4"/>
  <c r="S45" i="4"/>
  <c r="R45" i="4"/>
  <c r="Z43" i="1"/>
  <c r="S42" i="1"/>
  <c r="I5" i="1"/>
  <c r="I11" i="1" s="1"/>
  <c r="H48" i="3"/>
  <c r="J25" i="8" s="1"/>
  <c r="U6" i="4"/>
  <c r="G48" i="3"/>
  <c r="I25" i="8" s="1"/>
  <c r="T6" i="4"/>
  <c r="U56" i="4"/>
  <c r="H38" i="3" s="1"/>
  <c r="H20" i="3" s="1"/>
  <c r="S56" i="4"/>
  <c r="F38" i="3" s="1"/>
  <c r="F20" i="3" s="1"/>
  <c r="R56" i="4"/>
  <c r="E38" i="3" s="1"/>
  <c r="E20" i="3" s="1"/>
  <c r="Q56" i="4"/>
  <c r="D38" i="3" s="1"/>
  <c r="D20" i="3" s="1"/>
  <c r="P56" i="4"/>
  <c r="C38" i="3" s="1"/>
  <c r="C20" i="3" s="1"/>
  <c r="T56" i="4"/>
  <c r="G38" i="3" s="1"/>
  <c r="G20" i="3" s="1"/>
  <c r="D43" i="3"/>
  <c r="S17" i="4"/>
  <c r="E26" i="8"/>
  <c r="R46" i="4"/>
  <c r="Q46" i="4"/>
  <c r="U46" i="4"/>
  <c r="T46" i="4"/>
  <c r="S46" i="4"/>
  <c r="P46" i="4"/>
  <c r="P63" i="4"/>
  <c r="U63" i="4"/>
  <c r="T63" i="4"/>
  <c r="S63" i="4"/>
  <c r="R63" i="4"/>
  <c r="Q63" i="4"/>
  <c r="U42" i="4"/>
  <c r="S42" i="4"/>
  <c r="R42" i="4"/>
  <c r="Q42" i="4"/>
  <c r="T42" i="4"/>
  <c r="P42" i="4"/>
  <c r="T16" i="4"/>
  <c r="AA58" i="1"/>
  <c r="AB58" i="1" s="1"/>
  <c r="AC58" i="1" s="1"/>
  <c r="AD58" i="1" s="1"/>
  <c r="AE58" i="1" s="1"/>
  <c r="W46" i="1"/>
  <c r="V4" i="5"/>
  <c r="U17" i="4"/>
  <c r="U15" i="4" s="1"/>
  <c r="H28" i="3" s="1"/>
  <c r="H19" i="3" s="1"/>
  <c r="AB6" i="1"/>
  <c r="X25" i="1"/>
  <c r="V5" i="5"/>
  <c r="E43" i="3"/>
  <c r="G20" i="5"/>
  <c r="I25" i="1"/>
  <c r="P13" i="4"/>
  <c r="U13" i="4"/>
  <c r="T13" i="4"/>
  <c r="Q13" i="4"/>
  <c r="S13" i="4"/>
  <c r="R13" i="4"/>
  <c r="T57" i="4"/>
  <c r="S57" i="4"/>
  <c r="R57" i="4"/>
  <c r="U57" i="4"/>
  <c r="Q57" i="4"/>
  <c r="P57" i="4"/>
  <c r="U11" i="4"/>
  <c r="T11" i="4"/>
  <c r="S11" i="4"/>
  <c r="R11" i="4"/>
  <c r="Q11" i="4"/>
  <c r="P11" i="4"/>
  <c r="T46" i="1"/>
  <c r="G50" i="3"/>
  <c r="I26" i="8" s="1"/>
  <c r="U12" i="4"/>
  <c r="T12" i="4"/>
  <c r="S12" i="4"/>
  <c r="P12" i="4"/>
  <c r="Q12" i="4"/>
  <c r="R12" i="4"/>
  <c r="P25" i="4"/>
  <c r="U25" i="4"/>
  <c r="T25" i="4"/>
  <c r="Q25" i="4"/>
  <c r="S25" i="4"/>
  <c r="R25" i="4"/>
  <c r="T48" i="4"/>
  <c r="S48" i="4"/>
  <c r="Q48" i="4"/>
  <c r="P48" i="4"/>
  <c r="R48" i="4"/>
  <c r="U48" i="4"/>
  <c r="S47" i="4"/>
  <c r="R47" i="4"/>
  <c r="P47" i="4"/>
  <c r="T47" i="4"/>
  <c r="Q47" i="4"/>
  <c r="U47" i="4"/>
  <c r="P71" i="4"/>
  <c r="U71" i="4"/>
  <c r="T71" i="4"/>
  <c r="S71" i="4"/>
  <c r="R71" i="4"/>
  <c r="Q71" i="4"/>
  <c r="R27" i="4"/>
  <c r="Q27" i="4"/>
  <c r="P27" i="4"/>
  <c r="S27" i="4"/>
  <c r="U27" i="4"/>
  <c r="T27" i="4"/>
  <c r="E50" i="3"/>
  <c r="G26" i="8" s="1"/>
  <c r="P16" i="4"/>
  <c r="Z56" i="1"/>
  <c r="AA74" i="1"/>
  <c r="AB74" i="1" s="1"/>
  <c r="AC74" i="1" s="1"/>
  <c r="AD74" i="1" s="1"/>
  <c r="AE74" i="1" s="1"/>
  <c r="Z31" i="1"/>
  <c r="S30" i="1"/>
  <c r="Z86" i="1"/>
  <c r="AA62" i="1"/>
  <c r="T17" i="4"/>
  <c r="G16" i="3"/>
  <c r="AA37" i="1"/>
  <c r="Z36" i="1"/>
  <c r="S25" i="1"/>
  <c r="Z26" i="1"/>
  <c r="AA65" i="1"/>
  <c r="AB65" i="1" s="1"/>
  <c r="AC65" i="1" s="1"/>
  <c r="AD65" i="1" s="1"/>
  <c r="AE65" i="1" s="1"/>
  <c r="S86" i="1"/>
  <c r="D28" i="2" s="1"/>
  <c r="P17" i="4"/>
  <c r="X16" i="1"/>
  <c r="S36" i="1"/>
  <c r="T25" i="1"/>
  <c r="Q26" i="4"/>
  <c r="P26" i="4"/>
  <c r="U26" i="4"/>
  <c r="R26" i="4"/>
  <c r="T26" i="4"/>
  <c r="S26" i="4"/>
  <c r="R65" i="4"/>
  <c r="Q65" i="4"/>
  <c r="U65" i="4"/>
  <c r="T65" i="4"/>
  <c r="S65" i="4"/>
  <c r="P65" i="4"/>
  <c r="S31" i="4"/>
  <c r="U31" i="4"/>
  <c r="T31" i="4"/>
  <c r="R31" i="4"/>
  <c r="Q31" i="4"/>
  <c r="P31" i="4"/>
  <c r="H43" i="3"/>
  <c r="T67" i="4"/>
  <c r="S67" i="4"/>
  <c r="Q67" i="4"/>
  <c r="P67" i="4"/>
  <c r="R67" i="4"/>
  <c r="U67" i="4"/>
  <c r="S66" i="4"/>
  <c r="R66" i="4"/>
  <c r="P66" i="4"/>
  <c r="T66" i="4"/>
  <c r="Q66" i="4"/>
  <c r="U66" i="4"/>
  <c r="G43" i="3"/>
  <c r="T43" i="4"/>
  <c r="S43" i="4"/>
  <c r="R43" i="4"/>
  <c r="U43" i="4"/>
  <c r="Q43" i="4"/>
  <c r="P43" i="4"/>
  <c r="R16" i="4"/>
  <c r="AA15" i="1"/>
  <c r="AB15" i="1" s="1"/>
  <c r="AC15" i="1" s="1"/>
  <c r="AD15" i="1" s="1"/>
  <c r="AE15" i="1" s="1"/>
  <c r="AA45" i="1"/>
  <c r="AB45" i="1" s="1"/>
  <c r="AC45" i="1" s="1"/>
  <c r="AD45" i="1" s="1"/>
  <c r="AE45" i="1" s="1"/>
  <c r="U25" i="1"/>
  <c r="AD10" i="1"/>
  <c r="AE10" i="1" s="1"/>
  <c r="Z16" i="1"/>
  <c r="I25" i="11" l="1"/>
  <c r="C36" i="18"/>
  <c r="AC8" i="5"/>
  <c r="AC8" i="18"/>
  <c r="E131" i="5"/>
  <c r="E131" i="18"/>
  <c r="Q25" i="11"/>
  <c r="E36" i="18"/>
  <c r="E25" i="11"/>
  <c r="B36" i="18"/>
  <c r="R25" i="11"/>
  <c r="G36" i="18"/>
  <c r="AC4" i="5"/>
  <c r="AC4" i="18"/>
  <c r="D129" i="18"/>
  <c r="P9" i="4"/>
  <c r="T9" i="4"/>
  <c r="S9" i="4"/>
  <c r="F26" i="3" s="1"/>
  <c r="R9" i="4"/>
  <c r="Q9" i="4"/>
  <c r="U9" i="4"/>
  <c r="T78" i="4"/>
  <c r="C29" i="3"/>
  <c r="C17" i="3" s="1"/>
  <c r="D7" i="2"/>
  <c r="D13" i="2"/>
  <c r="AA53" i="1"/>
  <c r="AB53" i="1" s="1"/>
  <c r="AC53" i="1" s="1"/>
  <c r="AD53" i="1" s="1"/>
  <c r="AE53" i="1" s="1"/>
  <c r="I55" i="1"/>
  <c r="AA5" i="1"/>
  <c r="AA11" i="1" s="1"/>
  <c r="F39" i="3"/>
  <c r="F18" i="3" s="1"/>
  <c r="H15" i="8" s="1"/>
  <c r="S78" i="4"/>
  <c r="W59" i="1"/>
  <c r="H27" i="2" s="1"/>
  <c r="AA16" i="1"/>
  <c r="Q78" i="4"/>
  <c r="T59" i="1"/>
  <c r="E27" i="2" s="1"/>
  <c r="J12" i="8"/>
  <c r="C39" i="3"/>
  <c r="C18" i="3" s="1"/>
  <c r="E15" i="8" s="1"/>
  <c r="U78" i="4"/>
  <c r="R40" i="4"/>
  <c r="D19" i="2"/>
  <c r="C36" i="5"/>
  <c r="E36" i="5"/>
  <c r="G36" i="5"/>
  <c r="V59" i="1"/>
  <c r="G27" i="2" s="1"/>
  <c r="X59" i="1"/>
  <c r="I27" i="2" s="1"/>
  <c r="S59" i="1"/>
  <c r="D27" i="2" s="1"/>
  <c r="U59" i="1"/>
  <c r="F27" i="2" s="1"/>
  <c r="K4" i="5"/>
  <c r="P9" i="5"/>
  <c r="B36" i="5"/>
  <c r="P78" i="4"/>
  <c r="D28" i="3"/>
  <c r="D19" i="3" s="1"/>
  <c r="F17" i="8" s="1"/>
  <c r="H2" i="2"/>
  <c r="F36" i="18" s="1"/>
  <c r="F20" i="5"/>
  <c r="I38" i="8"/>
  <c r="E19" i="2"/>
  <c r="G19" i="2"/>
  <c r="M24" i="11"/>
  <c r="I13" i="8"/>
  <c r="G38" i="8"/>
  <c r="F2" i="2"/>
  <c r="D36" i="18" s="1"/>
  <c r="F13" i="8"/>
  <c r="G13" i="8"/>
  <c r="T39" i="1"/>
  <c r="E26" i="2" s="1"/>
  <c r="R15" i="4"/>
  <c r="E28" i="3" s="1"/>
  <c r="E19" i="3" s="1"/>
  <c r="G16" i="8" s="1"/>
  <c r="H12" i="8"/>
  <c r="E48" i="3"/>
  <c r="G25" i="8" s="1"/>
  <c r="R6" i="4"/>
  <c r="C48" i="3"/>
  <c r="E25" i="8" s="1"/>
  <c r="P6" i="4"/>
  <c r="E26" i="3"/>
  <c r="H39" i="3"/>
  <c r="H18" i="3" s="1"/>
  <c r="J15" i="8" s="1"/>
  <c r="D20" i="5"/>
  <c r="X39" i="1"/>
  <c r="I26" i="2" s="1"/>
  <c r="E21" i="8"/>
  <c r="E20" i="8"/>
  <c r="I10" i="8"/>
  <c r="I11" i="8"/>
  <c r="G6" i="8"/>
  <c r="S15" i="4"/>
  <c r="F28" i="3" s="1"/>
  <c r="F19" i="3" s="1"/>
  <c r="I18" i="8"/>
  <c r="I19" i="8"/>
  <c r="F21" i="8"/>
  <c r="F20" i="8"/>
  <c r="E34" i="8"/>
  <c r="P54" i="5"/>
  <c r="G19" i="8"/>
  <c r="G18" i="8"/>
  <c r="H6" i="8"/>
  <c r="E18" i="8"/>
  <c r="E19" i="8"/>
  <c r="F6" i="8"/>
  <c r="F19" i="8"/>
  <c r="F18" i="8"/>
  <c r="I6" i="8"/>
  <c r="H21" i="8"/>
  <c r="H20" i="8"/>
  <c r="J21" i="8"/>
  <c r="J20" i="8"/>
  <c r="S39" i="1"/>
  <c r="J6" i="8"/>
  <c r="H26" i="3"/>
  <c r="J16" i="8"/>
  <c r="J17" i="8"/>
  <c r="H18" i="8"/>
  <c r="H19" i="8"/>
  <c r="G21" i="8"/>
  <c r="G20" i="8"/>
  <c r="E6" i="8"/>
  <c r="J18" i="8"/>
  <c r="J19" i="8"/>
  <c r="I21" i="8"/>
  <c r="I20" i="8"/>
  <c r="E39" i="3"/>
  <c r="E18" i="3" s="1"/>
  <c r="G26" i="3"/>
  <c r="G39" i="3"/>
  <c r="G18" i="3" s="1"/>
  <c r="S23" i="4"/>
  <c r="F128" i="18" s="1"/>
  <c r="D26" i="3"/>
  <c r="D39" i="3"/>
  <c r="D18" i="3" s="1"/>
  <c r="E53" i="1"/>
  <c r="I53" i="1" s="1"/>
  <c r="P4" i="5"/>
  <c r="V39" i="1"/>
  <c r="G26" i="2" s="1"/>
  <c r="W39" i="1"/>
  <c r="H26" i="2" s="1"/>
  <c r="U39" i="1"/>
  <c r="AC17" i="1"/>
  <c r="AB16" i="1"/>
  <c r="Q41" i="4"/>
  <c r="D129" i="5" s="1"/>
  <c r="P23" i="4"/>
  <c r="C128" i="18" s="1"/>
  <c r="F22" i="3"/>
  <c r="P60" i="4"/>
  <c r="C130" i="18" s="1"/>
  <c r="P15" i="4"/>
  <c r="C28" i="3" s="1"/>
  <c r="C19" i="3" s="1"/>
  <c r="R41" i="4"/>
  <c r="F37" i="3"/>
  <c r="S54" i="4"/>
  <c r="C41" i="3"/>
  <c r="R82" i="4"/>
  <c r="R83" i="4" s="1"/>
  <c r="T60" i="4"/>
  <c r="AA86" i="1"/>
  <c r="AB62" i="1"/>
  <c r="F16" i="3"/>
  <c r="H16" i="3"/>
  <c r="E16" i="3"/>
  <c r="S41" i="4"/>
  <c r="C37" i="3"/>
  <c r="P54" i="4"/>
  <c r="D41" i="3"/>
  <c r="T23" i="4"/>
  <c r="G128" i="18" s="1"/>
  <c r="Q60" i="4"/>
  <c r="Z25" i="1"/>
  <c r="AA26" i="1"/>
  <c r="I19" i="2"/>
  <c r="U41" i="4"/>
  <c r="C16" i="3"/>
  <c r="D37" i="3"/>
  <c r="Q54" i="4"/>
  <c r="H41" i="3"/>
  <c r="U23" i="4"/>
  <c r="H128" i="18" s="1"/>
  <c r="D16" i="3"/>
  <c r="R60" i="4"/>
  <c r="I39" i="1"/>
  <c r="K5" i="18" s="1"/>
  <c r="AC47" i="1"/>
  <c r="E8" i="2"/>
  <c r="F42" i="2"/>
  <c r="F44" i="2" s="1"/>
  <c r="AA56" i="1"/>
  <c r="Z55" i="1"/>
  <c r="C26" i="3"/>
  <c r="AB5" i="1"/>
  <c r="AB11" i="1" s="1"/>
  <c r="AC6" i="1"/>
  <c r="T15" i="4"/>
  <c r="G28" i="3" s="1"/>
  <c r="G19" i="3" s="1"/>
  <c r="D22" i="3"/>
  <c r="E37" i="3"/>
  <c r="R54" i="4"/>
  <c r="E41" i="3"/>
  <c r="S60" i="4"/>
  <c r="H22" i="3"/>
  <c r="AA31" i="1"/>
  <c r="Z30" i="1"/>
  <c r="E22" i="3"/>
  <c r="G37" i="3"/>
  <c r="T54" i="4"/>
  <c r="F41" i="3"/>
  <c r="G25" i="2"/>
  <c r="T82" i="4"/>
  <c r="T83" i="4" s="1"/>
  <c r="I21" i="3"/>
  <c r="Q27" i="18" s="1"/>
  <c r="U60" i="4"/>
  <c r="I20" i="3"/>
  <c r="Q26" i="18" s="1"/>
  <c r="G22" i="3"/>
  <c r="Q23" i="4"/>
  <c r="D128" i="18" s="1"/>
  <c r="AA36" i="1"/>
  <c r="AB37" i="1"/>
  <c r="P41" i="4"/>
  <c r="AA43" i="1"/>
  <c r="Z42" i="1"/>
  <c r="U54" i="4"/>
  <c r="H37" i="3"/>
  <c r="G41" i="3"/>
  <c r="R23" i="4"/>
  <c r="E128" i="18" s="1"/>
  <c r="AA48" i="1"/>
  <c r="Z46" i="1"/>
  <c r="C22" i="3"/>
  <c r="V9" i="5"/>
  <c r="T41" i="4"/>
  <c r="H130" i="5" l="1"/>
  <c r="H130" i="18"/>
  <c r="G130" i="5"/>
  <c r="G130" i="18"/>
  <c r="E130" i="5"/>
  <c r="E130" i="18"/>
  <c r="E129" i="18"/>
  <c r="E127" i="18" s="1"/>
  <c r="F131" i="5"/>
  <c r="F131" i="18"/>
  <c r="G131" i="5"/>
  <c r="G131" i="18"/>
  <c r="C129" i="5"/>
  <c r="C129" i="18"/>
  <c r="C127" i="18" s="1"/>
  <c r="F130" i="5"/>
  <c r="F130" i="18"/>
  <c r="H131" i="5"/>
  <c r="H131" i="18"/>
  <c r="P5" i="5"/>
  <c r="P5" i="18"/>
  <c r="D130" i="5"/>
  <c r="D130" i="18"/>
  <c r="P7" i="5"/>
  <c r="P7" i="18"/>
  <c r="C131" i="5"/>
  <c r="C131" i="18"/>
  <c r="I27" i="11"/>
  <c r="B2" i="16" s="1"/>
  <c r="Q54" i="18"/>
  <c r="D131" i="5"/>
  <c r="D131" i="18"/>
  <c r="D127" i="18" s="1"/>
  <c r="H14" i="8"/>
  <c r="E13" i="8"/>
  <c r="I17" i="3"/>
  <c r="E12" i="8"/>
  <c r="S82" i="4"/>
  <c r="S83" i="4" s="1"/>
  <c r="C15" i="3"/>
  <c r="P82" i="4"/>
  <c r="C44" i="3" s="1"/>
  <c r="C42" i="3" s="1"/>
  <c r="I59" i="1"/>
  <c r="Q82" i="4"/>
  <c r="Q83" i="4" s="1"/>
  <c r="U82" i="4"/>
  <c r="U83" i="4" s="1"/>
  <c r="E14" i="8"/>
  <c r="D128" i="5"/>
  <c r="D127" i="5" s="1"/>
  <c r="E128" i="5"/>
  <c r="C128" i="5"/>
  <c r="E24" i="2"/>
  <c r="U32" i="4"/>
  <c r="H128" i="5"/>
  <c r="T32" i="4"/>
  <c r="G128" i="5"/>
  <c r="S32" i="4"/>
  <c r="F128" i="5"/>
  <c r="P73" i="4"/>
  <c r="C49" i="3" s="1"/>
  <c r="C46" i="3" s="1"/>
  <c r="D5" i="2" s="1"/>
  <c r="D21" i="2" s="1"/>
  <c r="C130" i="5"/>
  <c r="S40" i="4"/>
  <c r="F129" i="18" s="1"/>
  <c r="F127" i="18" s="1"/>
  <c r="E129" i="5"/>
  <c r="Q26" i="5"/>
  <c r="Q27" i="5"/>
  <c r="D36" i="5"/>
  <c r="I24" i="2"/>
  <c r="U91" i="1"/>
  <c r="F16" i="8"/>
  <c r="D26" i="2"/>
  <c r="D24" i="2" s="1"/>
  <c r="S91" i="1"/>
  <c r="B4" i="18" s="1"/>
  <c r="K5" i="5"/>
  <c r="F36" i="5"/>
  <c r="H19" i="2"/>
  <c r="Z59" i="1"/>
  <c r="M25" i="11"/>
  <c r="F19" i="2"/>
  <c r="J14" i="8"/>
  <c r="F7" i="8"/>
  <c r="F5" i="8" s="1"/>
  <c r="X91" i="1"/>
  <c r="T91" i="1"/>
  <c r="C4" i="18" s="1"/>
  <c r="G17" i="8"/>
  <c r="F44" i="3"/>
  <c r="F42" i="3" s="1"/>
  <c r="G7" i="8"/>
  <c r="G5" i="8" s="1"/>
  <c r="E44" i="3"/>
  <c r="E42" i="3" s="1"/>
  <c r="E7" i="8"/>
  <c r="E5" i="8" s="1"/>
  <c r="H24" i="2"/>
  <c r="F11" i="8"/>
  <c r="F10" i="8"/>
  <c r="E23" i="8"/>
  <c r="E22" i="8"/>
  <c r="G22" i="8"/>
  <c r="G23" i="8"/>
  <c r="E17" i="8"/>
  <c r="E16" i="8"/>
  <c r="G15" i="8"/>
  <c r="G14" i="8"/>
  <c r="H16" i="8"/>
  <c r="H17" i="8"/>
  <c r="H7" i="8"/>
  <c r="H5" i="8" s="1"/>
  <c r="F22" i="8"/>
  <c r="F23" i="8"/>
  <c r="H23" i="8"/>
  <c r="H22" i="8"/>
  <c r="J23" i="8"/>
  <c r="J22" i="8"/>
  <c r="I16" i="8"/>
  <c r="I17" i="8"/>
  <c r="E23" i="2"/>
  <c r="Q54" i="5"/>
  <c r="F34" i="8"/>
  <c r="G11" i="8"/>
  <c r="G10" i="8"/>
  <c r="F26" i="2"/>
  <c r="F24" i="2" s="1"/>
  <c r="J7" i="8"/>
  <c r="J5" i="8" s="1"/>
  <c r="J10" i="8"/>
  <c r="J11" i="8"/>
  <c r="F15" i="8"/>
  <c r="F14" i="8"/>
  <c r="I23" i="8"/>
  <c r="I22" i="8"/>
  <c r="E10" i="8"/>
  <c r="E11" i="8"/>
  <c r="H11" i="8"/>
  <c r="H10" i="8"/>
  <c r="I14" i="8"/>
  <c r="I15" i="8"/>
  <c r="I7" i="8"/>
  <c r="I5" i="8" s="1"/>
  <c r="H36" i="3"/>
  <c r="D36" i="3"/>
  <c r="G36" i="3"/>
  <c r="I18" i="3"/>
  <c r="Q24" i="18" s="1"/>
  <c r="G27" i="3"/>
  <c r="G25" i="3" s="1"/>
  <c r="C36" i="3"/>
  <c r="Z39" i="1"/>
  <c r="V91" i="1"/>
  <c r="G24" i="2"/>
  <c r="W91" i="1"/>
  <c r="F15" i="3"/>
  <c r="R32" i="4"/>
  <c r="G44" i="3"/>
  <c r="G42" i="3" s="1"/>
  <c r="T73" i="4"/>
  <c r="G49" i="3" s="1"/>
  <c r="G46" i="3" s="1"/>
  <c r="H5" i="2" s="1"/>
  <c r="H21" i="2" s="1"/>
  <c r="I19" i="3"/>
  <c r="Q25" i="18" s="1"/>
  <c r="AB48" i="1"/>
  <c r="AA46" i="1"/>
  <c r="AB36" i="1"/>
  <c r="AC37" i="1"/>
  <c r="Q32" i="4"/>
  <c r="C81" i="18" s="1"/>
  <c r="AD6" i="1"/>
  <c r="AC5" i="1"/>
  <c r="AC11" i="1" s="1"/>
  <c r="D15" i="3"/>
  <c r="AD47" i="1"/>
  <c r="Q49" i="4"/>
  <c r="D35" i="3" s="1"/>
  <c r="D31" i="3" s="1"/>
  <c r="AA25" i="1"/>
  <c r="AB26" i="1"/>
  <c r="AB31" i="1"/>
  <c r="AA30" i="1"/>
  <c r="E36" i="3"/>
  <c r="R73" i="4"/>
  <c r="R74" i="4" s="1"/>
  <c r="AB86" i="1"/>
  <c r="AC62" i="1"/>
  <c r="I22" i="3"/>
  <c r="AB43" i="1"/>
  <c r="AA42" i="1"/>
  <c r="AB56" i="1"/>
  <c r="AA55" i="1"/>
  <c r="I16" i="3"/>
  <c r="Q22" i="18" s="1"/>
  <c r="Q73" i="4"/>
  <c r="D49" i="3" s="1"/>
  <c r="D46" i="3" s="1"/>
  <c r="E5" i="2" s="1"/>
  <c r="E21" i="2" s="1"/>
  <c r="S49" i="4"/>
  <c r="F36" i="3"/>
  <c r="P32" i="4"/>
  <c r="G15" i="3"/>
  <c r="T49" i="4"/>
  <c r="P49" i="4"/>
  <c r="C35" i="3" s="1"/>
  <c r="C31" i="3" s="1"/>
  <c r="U73" i="4"/>
  <c r="U74" i="4" s="1"/>
  <c r="R49" i="4"/>
  <c r="R51" i="4" s="1"/>
  <c r="AD17" i="1"/>
  <c r="AC16" i="1"/>
  <c r="S73" i="4"/>
  <c r="S74" i="4" s="1"/>
  <c r="G42" i="2"/>
  <c r="G44" i="2" s="1"/>
  <c r="F8" i="2"/>
  <c r="U49" i="4"/>
  <c r="E15" i="3"/>
  <c r="H15" i="3"/>
  <c r="O105" i="5" l="1"/>
  <c r="O105" i="18"/>
  <c r="P34" i="4"/>
  <c r="B81" i="18"/>
  <c r="Q28" i="5"/>
  <c r="Q28" i="18"/>
  <c r="F4" i="5"/>
  <c r="F4" i="18"/>
  <c r="L105" i="5"/>
  <c r="L105" i="18"/>
  <c r="S34" i="4"/>
  <c r="E81" i="18"/>
  <c r="M105" i="5"/>
  <c r="M105" i="18"/>
  <c r="Q23" i="5"/>
  <c r="Q23" i="18"/>
  <c r="E4" i="5"/>
  <c r="E4" i="18"/>
  <c r="G4" i="5"/>
  <c r="G4" i="18"/>
  <c r="T34" i="4"/>
  <c r="F81" i="18"/>
  <c r="N105" i="5"/>
  <c r="N105" i="18"/>
  <c r="U34" i="4"/>
  <c r="G81" i="18"/>
  <c r="K3" i="5"/>
  <c r="K3" i="18"/>
  <c r="M27" i="11"/>
  <c r="C2" i="16" s="1"/>
  <c r="R54" i="18"/>
  <c r="K105" i="5"/>
  <c r="K105" i="18"/>
  <c r="D81" i="18"/>
  <c r="D4" i="5"/>
  <c r="D4" i="18"/>
  <c r="R87" i="4"/>
  <c r="I91" i="1"/>
  <c r="D44" i="3"/>
  <c r="D42" i="3" s="1"/>
  <c r="P83" i="4"/>
  <c r="F27" i="3"/>
  <c r="F25" i="3" s="1"/>
  <c r="B4" i="5"/>
  <c r="H27" i="3"/>
  <c r="H25" i="3" s="1"/>
  <c r="U87" i="4"/>
  <c r="F35" i="3"/>
  <c r="F31" i="3" s="1"/>
  <c r="H44" i="3"/>
  <c r="H42" i="3" s="1"/>
  <c r="Q87" i="4"/>
  <c r="T87" i="4"/>
  <c r="P87" i="4"/>
  <c r="S87" i="4"/>
  <c r="E127" i="5"/>
  <c r="C127" i="5"/>
  <c r="C4" i="5"/>
  <c r="T40" i="4"/>
  <c r="F129" i="5"/>
  <c r="F127" i="5" s="1"/>
  <c r="Z91" i="1"/>
  <c r="D9" i="2" s="1"/>
  <c r="Q25" i="5"/>
  <c r="Q24" i="5"/>
  <c r="Q22" i="5"/>
  <c r="I36" i="3"/>
  <c r="C81" i="5"/>
  <c r="E27" i="3"/>
  <c r="E25" i="3" s="1"/>
  <c r="D81" i="5"/>
  <c r="F81" i="5"/>
  <c r="C27" i="3"/>
  <c r="C25" i="3" s="1"/>
  <c r="C7" i="3" s="1"/>
  <c r="B81" i="5"/>
  <c r="E81" i="5"/>
  <c r="G81" i="5"/>
  <c r="T74" i="4"/>
  <c r="R34" i="4"/>
  <c r="R85" i="4" s="1"/>
  <c r="AA59" i="1"/>
  <c r="S51" i="4"/>
  <c r="S85" i="4" s="1"/>
  <c r="F49" i="3"/>
  <c r="F46" i="3" s="1"/>
  <c r="G5" i="2" s="1"/>
  <c r="G21" i="2" s="1"/>
  <c r="F8" i="8"/>
  <c r="F9" i="8"/>
  <c r="E9" i="8"/>
  <c r="E8" i="8"/>
  <c r="F23" i="2"/>
  <c r="G34" i="8"/>
  <c r="R54" i="5"/>
  <c r="J8" i="8"/>
  <c r="J9" i="8"/>
  <c r="H9" i="8"/>
  <c r="H8" i="8"/>
  <c r="G8" i="8"/>
  <c r="G9" i="8"/>
  <c r="I9" i="8"/>
  <c r="I8" i="8"/>
  <c r="P74" i="4"/>
  <c r="Q51" i="4"/>
  <c r="P51" i="4"/>
  <c r="Q34" i="4"/>
  <c r="I15" i="3"/>
  <c r="Q21" i="18" s="1"/>
  <c r="E35" i="3"/>
  <c r="E31" i="3" s="1"/>
  <c r="AC56" i="1"/>
  <c r="AB55" i="1"/>
  <c r="AC43" i="1"/>
  <c r="AB42" i="1"/>
  <c r="E49" i="3"/>
  <c r="AB25" i="1"/>
  <c r="AC26" i="1"/>
  <c r="AC36" i="1"/>
  <c r="AD37" i="1"/>
  <c r="H49" i="3"/>
  <c r="H46" i="3" s="1"/>
  <c r="I5" i="2" s="1"/>
  <c r="I21" i="2" s="1"/>
  <c r="Q74" i="4"/>
  <c r="AA39" i="1"/>
  <c r="AE47" i="1"/>
  <c r="AE6" i="1"/>
  <c r="AE5" i="1" s="1"/>
  <c r="AE11" i="1" s="1"/>
  <c r="AD5" i="1"/>
  <c r="AD11" i="1" s="1"/>
  <c r="AC48" i="1"/>
  <c r="AB46" i="1"/>
  <c r="AE17" i="1"/>
  <c r="AE16" i="1" s="1"/>
  <c r="AD16" i="1"/>
  <c r="AB30" i="1"/>
  <c r="AC31" i="1"/>
  <c r="D27" i="3"/>
  <c r="H42" i="2"/>
  <c r="H44" i="2" s="1"/>
  <c r="G8" i="2"/>
  <c r="AC86" i="1"/>
  <c r="AD62" i="1"/>
  <c r="T51" i="4" l="1"/>
  <c r="G129" i="18"/>
  <c r="G127" i="18" s="1"/>
  <c r="J22" i="5"/>
  <c r="J22" i="18"/>
  <c r="Q27" i="11"/>
  <c r="D2" i="16" s="1"/>
  <c r="S54" i="18"/>
  <c r="G85" i="18"/>
  <c r="F7" i="3"/>
  <c r="F8" i="3" s="1"/>
  <c r="I42" i="3"/>
  <c r="G85" i="5"/>
  <c r="E33" i="8"/>
  <c r="E28" i="11"/>
  <c r="F14" i="3"/>
  <c r="F13" i="3" s="1"/>
  <c r="G35" i="3"/>
  <c r="E7" i="3"/>
  <c r="U40" i="4"/>
  <c r="H129" i="18" s="1"/>
  <c r="H127" i="18" s="1"/>
  <c r="G129" i="5"/>
  <c r="G127" i="5" s="1"/>
  <c r="Q21" i="5"/>
  <c r="C52" i="3"/>
  <c r="C14" i="3"/>
  <c r="C13" i="3" s="1"/>
  <c r="E14" i="3"/>
  <c r="F52" i="3"/>
  <c r="T85" i="4"/>
  <c r="AA91" i="1"/>
  <c r="E9" i="2" s="1"/>
  <c r="I28" i="11" s="1"/>
  <c r="B3" i="16" s="1"/>
  <c r="P85" i="4"/>
  <c r="G23" i="2"/>
  <c r="H34" i="8"/>
  <c r="S54" i="5"/>
  <c r="E46" i="3"/>
  <c r="F5" i="2" s="1"/>
  <c r="F21" i="2" s="1"/>
  <c r="H4" i="8"/>
  <c r="H32" i="8" s="1"/>
  <c r="Q85" i="4"/>
  <c r="AC30" i="1"/>
  <c r="AD31" i="1"/>
  <c r="D14" i="3"/>
  <c r="D25" i="3"/>
  <c r="D7" i="3" s="1"/>
  <c r="AB39" i="1"/>
  <c r="AD48" i="1"/>
  <c r="AC46" i="1"/>
  <c r="I42" i="2"/>
  <c r="H8" i="2"/>
  <c r="T54" i="18" s="1"/>
  <c r="AC25" i="1"/>
  <c r="AD26" i="1"/>
  <c r="AD56" i="1"/>
  <c r="AC55" i="1"/>
  <c r="AD86" i="1"/>
  <c r="AE62" i="1"/>
  <c r="AE86" i="1" s="1"/>
  <c r="AB59" i="1"/>
  <c r="AD36" i="1"/>
  <c r="AE37" i="1"/>
  <c r="AE36" i="1" s="1"/>
  <c r="AC42" i="1"/>
  <c r="AD43" i="1"/>
  <c r="J23" i="5" l="1"/>
  <c r="J23" i="18"/>
  <c r="G20" i="2"/>
  <c r="D1" i="16"/>
  <c r="B1" i="16"/>
  <c r="E8" i="3"/>
  <c r="E11" i="3" s="1"/>
  <c r="C1" i="16"/>
  <c r="H3" i="8"/>
  <c r="H30" i="8" s="1"/>
  <c r="H29" i="8" s="1"/>
  <c r="D20" i="2"/>
  <c r="C55" i="3"/>
  <c r="C54" i="3"/>
  <c r="D8" i="3"/>
  <c r="I8" i="2"/>
  <c r="I44" i="2"/>
  <c r="G14" i="3"/>
  <c r="G31" i="3"/>
  <c r="E3" i="8"/>
  <c r="E30" i="8" s="1"/>
  <c r="E29" i="8" s="1"/>
  <c r="E4" i="8"/>
  <c r="E32" i="8" s="1"/>
  <c r="E31" i="8" s="1"/>
  <c r="H129" i="5"/>
  <c r="H127" i="5" s="1"/>
  <c r="U51" i="4"/>
  <c r="U85" i="4" s="1"/>
  <c r="H35" i="3"/>
  <c r="F55" i="3"/>
  <c r="F33" i="8"/>
  <c r="G3" i="8"/>
  <c r="G30" i="8" s="1"/>
  <c r="G29" i="8" s="1"/>
  <c r="G4" i="8"/>
  <c r="G32" i="8" s="1"/>
  <c r="E13" i="3"/>
  <c r="F20" i="2" s="1"/>
  <c r="E52" i="3"/>
  <c r="E54" i="3" s="1"/>
  <c r="F54" i="3"/>
  <c r="AB91" i="1"/>
  <c r="F9" i="2" s="1"/>
  <c r="AC59" i="1"/>
  <c r="H23" i="2"/>
  <c r="I34" i="8"/>
  <c r="T54" i="5"/>
  <c r="D13" i="3"/>
  <c r="E20" i="2" s="1"/>
  <c r="F4" i="8"/>
  <c r="F32" i="8" s="1"/>
  <c r="F3" i="8"/>
  <c r="F30" i="8" s="1"/>
  <c r="F29" i="8" s="1"/>
  <c r="Q82" i="18" s="1"/>
  <c r="F11" i="3"/>
  <c r="AC39" i="1"/>
  <c r="D52" i="3"/>
  <c r="D54" i="3" s="1"/>
  <c r="I25" i="3"/>
  <c r="AE56" i="1"/>
  <c r="AE55" i="1" s="1"/>
  <c r="AD55" i="1"/>
  <c r="AD25" i="1"/>
  <c r="AE26" i="1"/>
  <c r="AE25" i="1" s="1"/>
  <c r="AE48" i="1"/>
  <c r="AE46" i="1" s="1"/>
  <c r="AD46" i="1"/>
  <c r="AD42" i="1"/>
  <c r="AE43" i="1"/>
  <c r="AE42" i="1" s="1"/>
  <c r="AD30" i="1"/>
  <c r="AE31" i="1"/>
  <c r="AE30" i="1" s="1"/>
  <c r="J20" i="5" l="1"/>
  <c r="J20" i="18"/>
  <c r="R27" i="11"/>
  <c r="E2" i="16" s="1"/>
  <c r="U54" i="18"/>
  <c r="G39" i="8"/>
  <c r="G41" i="8" s="1"/>
  <c r="R82" i="18"/>
  <c r="Q84" i="18"/>
  <c r="S82" i="5"/>
  <c r="S82" i="18"/>
  <c r="P83" i="5"/>
  <c r="P83" i="18"/>
  <c r="P82" i="5"/>
  <c r="P82" i="18"/>
  <c r="H39" i="8"/>
  <c r="H41" i="8" s="1"/>
  <c r="G52" i="3"/>
  <c r="G54" i="3" s="1"/>
  <c r="G7" i="3"/>
  <c r="G13" i="3"/>
  <c r="H20" i="2" s="1"/>
  <c r="I4" i="8"/>
  <c r="I32" i="8" s="1"/>
  <c r="I3" i="8"/>
  <c r="I30" i="8" s="1"/>
  <c r="I29" i="8" s="1"/>
  <c r="T82" i="18" s="1"/>
  <c r="P84" i="5"/>
  <c r="E35" i="8"/>
  <c r="H14" i="3"/>
  <c r="H31" i="3"/>
  <c r="R82" i="5"/>
  <c r="G33" i="8"/>
  <c r="G31" i="8" s="1"/>
  <c r="M28" i="11"/>
  <c r="C3" i="16" s="1"/>
  <c r="E55" i="3"/>
  <c r="AD59" i="1"/>
  <c r="AC91" i="1"/>
  <c r="G9" i="2" s="1"/>
  <c r="F39" i="8"/>
  <c r="F41" i="8" s="1"/>
  <c r="Q82" i="5"/>
  <c r="I23" i="2"/>
  <c r="J34" i="8"/>
  <c r="K34" i="8" s="1"/>
  <c r="U54" i="5"/>
  <c r="F31" i="8"/>
  <c r="Q83" i="18" s="1"/>
  <c r="AE59" i="1"/>
  <c r="AE39" i="1"/>
  <c r="AD39" i="1"/>
  <c r="D55" i="3"/>
  <c r="P84" i="18" l="1"/>
  <c r="G43" i="8"/>
  <c r="G44" i="8" s="1"/>
  <c r="R83" i="18"/>
  <c r="R84" i="18" s="1"/>
  <c r="H33" i="8"/>
  <c r="H31" i="8" s="1"/>
  <c r="Q28" i="11"/>
  <c r="D3" i="16" s="1"/>
  <c r="G55" i="3"/>
  <c r="T82" i="5"/>
  <c r="I39" i="8"/>
  <c r="I41" i="8" s="1"/>
  <c r="G8" i="3"/>
  <c r="G11" i="3" s="1"/>
  <c r="H7" i="3"/>
  <c r="H52" i="3"/>
  <c r="H54" i="3" s="1"/>
  <c r="I31" i="3"/>
  <c r="J4" i="8"/>
  <c r="J32" i="8" s="1"/>
  <c r="K32" i="8" s="1"/>
  <c r="J3" i="8"/>
  <c r="J30" i="8" s="1"/>
  <c r="J29" i="8" s="1"/>
  <c r="U82" i="18" s="1"/>
  <c r="H13" i="3"/>
  <c r="I20" i="2" s="1"/>
  <c r="I14" i="3"/>
  <c r="Q20" i="18" s="1"/>
  <c r="AE91" i="1"/>
  <c r="I9" i="2" s="1"/>
  <c r="R28" i="11" s="1"/>
  <c r="E3" i="16" s="1"/>
  <c r="G35" i="8"/>
  <c r="R83" i="5"/>
  <c r="R84" i="5" s="1"/>
  <c r="AD91" i="1"/>
  <c r="H9" i="2" s="1"/>
  <c r="I33" i="8" s="1"/>
  <c r="I31" i="8" s="1"/>
  <c r="Q83" i="5"/>
  <c r="Q84" i="5" s="1"/>
  <c r="F43" i="8"/>
  <c r="F44" i="8" s="1"/>
  <c r="F35" i="8"/>
  <c r="D11" i="3"/>
  <c r="J21" i="5" l="1"/>
  <c r="J21" i="18"/>
  <c r="T83" i="5"/>
  <c r="T83" i="18"/>
  <c r="T84" i="18" s="1"/>
  <c r="S83" i="5"/>
  <c r="S84" i="5" s="1"/>
  <c r="S83" i="18"/>
  <c r="S84" i="18" s="1"/>
  <c r="U84" i="18"/>
  <c r="I7" i="3"/>
  <c r="I8" i="3" s="1"/>
  <c r="I3" i="2" s="1"/>
  <c r="R26" i="11" s="1"/>
  <c r="E1" i="16"/>
  <c r="H43" i="8"/>
  <c r="H44" i="8" s="1"/>
  <c r="H35" i="8"/>
  <c r="T84" i="5"/>
  <c r="H55" i="3"/>
  <c r="I23" i="3"/>
  <c r="Q20" i="5"/>
  <c r="U82" i="5"/>
  <c r="J39" i="8"/>
  <c r="J41" i="8" s="1"/>
  <c r="H8" i="3"/>
  <c r="H11" i="3" s="1"/>
  <c r="J33" i="8"/>
  <c r="J31" i="8" s="1"/>
  <c r="U83" i="18" s="1"/>
  <c r="I35" i="8"/>
  <c r="I43" i="8"/>
  <c r="I44" i="8" s="1"/>
  <c r="H3" i="2" l="1"/>
  <c r="H4" i="2" s="1"/>
  <c r="G3" i="2"/>
  <c r="F3" i="2"/>
  <c r="G36" i="8" s="1"/>
  <c r="D3" i="2"/>
  <c r="D4" i="2" s="1"/>
  <c r="E3" i="2"/>
  <c r="I26" i="11" s="1"/>
  <c r="I11" i="3"/>
  <c r="J14" i="3"/>
  <c r="I36" i="8"/>
  <c r="E26" i="11"/>
  <c r="Q26" i="11"/>
  <c r="G4" i="2"/>
  <c r="H36" i="8"/>
  <c r="F4" i="2"/>
  <c r="M26" i="11"/>
  <c r="J43" i="8"/>
  <c r="J44" i="8" s="1"/>
  <c r="M36" i="5"/>
  <c r="M37" i="5"/>
  <c r="I4" i="2"/>
  <c r="J15" i="3"/>
  <c r="J20" i="3"/>
  <c r="J17" i="3"/>
  <c r="J21" i="3"/>
  <c r="J22" i="3"/>
  <c r="J19" i="3"/>
  <c r="J16" i="3"/>
  <c r="J18" i="3"/>
  <c r="K33" i="8"/>
  <c r="U83" i="5"/>
  <c r="U84" i="5" s="1"/>
  <c r="J35" i="8"/>
  <c r="J36" i="8" s="1"/>
  <c r="L36" i="18" l="1"/>
  <c r="L37" i="18"/>
  <c r="I36" i="18"/>
  <c r="I37" i="18"/>
  <c r="K36" i="18"/>
  <c r="K37" i="18"/>
  <c r="N36" i="18"/>
  <c r="N37" i="18"/>
  <c r="E4" i="2"/>
  <c r="H6" i="2"/>
  <c r="T36" i="5" s="1"/>
  <c r="M37" i="18"/>
  <c r="M36" i="18"/>
  <c r="F36" i="8"/>
  <c r="E36" i="8"/>
  <c r="J36" i="5"/>
  <c r="E6" i="2"/>
  <c r="Q36" i="18" s="1"/>
  <c r="J37" i="5"/>
  <c r="I36" i="5"/>
  <c r="I37" i="5"/>
  <c r="D6" i="2"/>
  <c r="P36" i="18" s="1"/>
  <c r="K36" i="5"/>
  <c r="K37" i="5"/>
  <c r="F6" i="2"/>
  <c r="R36" i="18" s="1"/>
  <c r="L36" i="5"/>
  <c r="L37" i="5"/>
  <c r="G6" i="2"/>
  <c r="S36" i="18" s="1"/>
  <c r="H10" i="2"/>
  <c r="N36" i="5"/>
  <c r="N37" i="5"/>
  <c r="I6" i="2"/>
  <c r="I7" i="2" l="1"/>
  <c r="U36" i="18"/>
  <c r="H7" i="2"/>
  <c r="T36" i="18"/>
  <c r="J37" i="18"/>
  <c r="J36" i="18"/>
  <c r="D10" i="2"/>
  <c r="P36" i="5"/>
  <c r="E7" i="2"/>
  <c r="Q36" i="5"/>
  <c r="E10" i="2"/>
  <c r="E11" i="2" s="1"/>
  <c r="G7" i="2"/>
  <c r="S36" i="5"/>
  <c r="G10" i="2"/>
  <c r="F7" i="2"/>
  <c r="R36" i="5"/>
  <c r="F10" i="2"/>
  <c r="H11" i="2"/>
  <c r="U36" i="5"/>
  <c r="I10" i="2"/>
  <c r="H12" i="2" l="1"/>
  <c r="F82" i="18"/>
  <c r="I29" i="11"/>
  <c r="B4" i="16" s="1"/>
  <c r="C82" i="18"/>
  <c r="C83" i="18" s="1"/>
  <c r="C82" i="5"/>
  <c r="C83" i="5" s="1"/>
  <c r="E12" i="2"/>
  <c r="E22" i="2"/>
  <c r="E18" i="2" s="1"/>
  <c r="F11" i="2"/>
  <c r="D82" i="18" s="1"/>
  <c r="D83" i="18" s="1"/>
  <c r="G11" i="2"/>
  <c r="E82" i="18" s="1"/>
  <c r="E83" i="18" s="1"/>
  <c r="D11" i="2"/>
  <c r="H15" i="2"/>
  <c r="AA36" i="5"/>
  <c r="F82" i="5"/>
  <c r="F83" i="5" s="1"/>
  <c r="H22" i="2"/>
  <c r="H18" i="2" s="1"/>
  <c r="I11" i="2"/>
  <c r="G82" i="18" s="1"/>
  <c r="G83" i="18" s="1"/>
  <c r="P8" i="10" l="1"/>
  <c r="C51" i="18"/>
  <c r="K104" i="18"/>
  <c r="K106" i="18" s="1"/>
  <c r="E13" i="2"/>
  <c r="X36" i="18"/>
  <c r="D12" i="2"/>
  <c r="W36" i="18" s="1"/>
  <c r="B82" i="18"/>
  <c r="B83" i="18" s="1"/>
  <c r="G87" i="18" s="1"/>
  <c r="F83" i="18"/>
  <c r="S8" i="10"/>
  <c r="N104" i="18"/>
  <c r="N106" i="18" s="1"/>
  <c r="F51" i="18"/>
  <c r="H13" i="2"/>
  <c r="AA36" i="18"/>
  <c r="G12" i="2"/>
  <c r="D4" i="16"/>
  <c r="F12" i="2"/>
  <c r="Y36" i="18" s="1"/>
  <c r="C4" i="16"/>
  <c r="X36" i="5"/>
  <c r="C51" i="5"/>
  <c r="K104" i="5"/>
  <c r="K106" i="5" s="1"/>
  <c r="E15" i="2"/>
  <c r="I30" i="11"/>
  <c r="B5" i="16" s="1"/>
  <c r="E37" i="2"/>
  <c r="B82" i="5"/>
  <c r="E29" i="11"/>
  <c r="D22" i="2"/>
  <c r="D18" i="2" s="1"/>
  <c r="G13" i="2"/>
  <c r="Q30" i="11"/>
  <c r="D5" i="16" s="1"/>
  <c r="F13" i="2"/>
  <c r="Y36" i="5"/>
  <c r="F15" i="2"/>
  <c r="M30" i="11"/>
  <c r="C5" i="16" s="1"/>
  <c r="I12" i="2"/>
  <c r="R29" i="11"/>
  <c r="E4" i="16" s="1"/>
  <c r="E82" i="5"/>
  <c r="E83" i="5" s="1"/>
  <c r="Q29" i="11"/>
  <c r="G22" i="2"/>
  <c r="D82" i="5"/>
  <c r="D83" i="5" s="1"/>
  <c r="F22" i="2"/>
  <c r="F18" i="2" s="1"/>
  <c r="M29" i="11"/>
  <c r="H37" i="2"/>
  <c r="F51" i="5"/>
  <c r="N104" i="5"/>
  <c r="N106" i="5" s="1"/>
  <c r="G82" i="5"/>
  <c r="I22" i="2"/>
  <c r="I18" i="2" s="1"/>
  <c r="G15" i="2" l="1"/>
  <c r="Z36" i="18"/>
  <c r="O8" i="10"/>
  <c r="B51" i="18"/>
  <c r="AB36" i="5"/>
  <c r="AB36" i="18"/>
  <c r="Q8" i="10"/>
  <c r="D51" i="18"/>
  <c r="L104" i="18"/>
  <c r="L106" i="18" s="1"/>
  <c r="W36" i="5"/>
  <c r="E30" i="11"/>
  <c r="T8" i="10"/>
  <c r="U8" i="10" s="1"/>
  <c r="V8" i="10" s="1"/>
  <c r="W8" i="10" s="1"/>
  <c r="X8" i="10" s="1"/>
  <c r="O104" i="18"/>
  <c r="O106" i="18" s="1"/>
  <c r="G51" i="18"/>
  <c r="G86" i="18"/>
  <c r="Z36" i="5"/>
  <c r="O3" i="10"/>
  <c r="P3" i="10" s="1"/>
  <c r="I15" i="2"/>
  <c r="G18" i="2"/>
  <c r="B83" i="5"/>
  <c r="G86" i="5"/>
  <c r="L104" i="5"/>
  <c r="L106" i="5" s="1"/>
  <c r="F37" i="2"/>
  <c r="D51" i="5"/>
  <c r="I13" i="2"/>
  <c r="R30" i="11"/>
  <c r="E5" i="16" s="1"/>
  <c r="D37" i="2"/>
  <c r="D39" i="2" s="1"/>
  <c r="B51" i="5"/>
  <c r="O104" i="5"/>
  <c r="O106" i="5" s="1"/>
  <c r="G51" i="5"/>
  <c r="I37" i="2"/>
  <c r="G83" i="5"/>
  <c r="R8" i="10" l="1"/>
  <c r="O15" i="10" s="1"/>
  <c r="E51" i="18"/>
  <c r="M104" i="18"/>
  <c r="M106" i="18" s="1"/>
  <c r="Q3" i="10"/>
  <c r="Q4" i="10" s="1"/>
  <c r="P4" i="10"/>
  <c r="R3" i="10"/>
  <c r="O16" i="10"/>
  <c r="G87" i="5"/>
  <c r="M104" i="5"/>
  <c r="M106" i="5" s="1"/>
  <c r="E51" i="5"/>
  <c r="G37" i="2"/>
  <c r="E38" i="2"/>
  <c r="E39" i="2" s="1"/>
  <c r="R4" i="10" l="1"/>
  <c r="S3" i="10"/>
  <c r="S4" i="10" s="1"/>
  <c r="F38" i="2"/>
  <c r="F39" i="2" s="1"/>
  <c r="T3" i="10" l="1"/>
  <c r="T4" i="10" s="1"/>
  <c r="G38" i="2"/>
  <c r="G39" i="2" s="1"/>
  <c r="U3" i="10" l="1"/>
  <c r="U4" i="10" s="1"/>
  <c r="H38" i="2"/>
  <c r="H39" i="2" s="1"/>
  <c r="V3" i="10" l="1"/>
  <c r="V4" i="10" s="1"/>
  <c r="I38" i="2"/>
  <c r="I39" i="2" s="1"/>
  <c r="Y8" i="10"/>
  <c r="W3" i="10" l="1"/>
  <c r="W4" i="10" s="1"/>
  <c r="X3" i="10" l="1"/>
  <c r="X4" i="10" s="1"/>
  <c r="O1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</author>
  </authors>
  <commentList>
    <comment ref="B2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DS:</t>
        </r>
        <r>
          <rPr>
            <sz val="9"/>
            <color indexed="81"/>
            <rFont val="Tahoma"/>
            <family val="2"/>
            <charset val="204"/>
          </rPr>
          <t xml:space="preserve">
 Г/П 6,5 т 2ПТС-6,5 (Сармат - 85261А)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</author>
  </authors>
  <commentList>
    <comment ref="B9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DS:</t>
        </r>
        <r>
          <rPr>
            <sz val="9"/>
            <color indexed="81"/>
            <rFont val="Tahoma"/>
            <family val="2"/>
            <charset val="204"/>
          </rPr>
          <t xml:space="preserve">
делается 2 раза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</author>
  </authors>
  <commentList>
    <comment ref="A2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DS:</t>
        </r>
        <r>
          <rPr>
            <sz val="9"/>
            <color indexed="81"/>
            <rFont val="Tahoma"/>
            <family val="2"/>
            <charset val="204"/>
          </rPr>
          <t xml:space="preserve">
делается 2 раза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</author>
  </authors>
  <commentList>
    <comment ref="B8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04"/>
          </rPr>
          <t>DS:</t>
        </r>
        <r>
          <rPr>
            <sz val="9"/>
            <color indexed="81"/>
            <rFont val="Tahoma"/>
            <family val="2"/>
            <charset val="204"/>
          </rPr>
          <t xml:space="preserve">
делается 2 раза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</author>
  </authors>
  <commentList>
    <comment ref="P22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04"/>
          </rPr>
          <t>DS:</t>
        </r>
        <r>
          <rPr>
            <sz val="9"/>
            <color indexed="81"/>
            <rFont val="Tahoma"/>
            <family val="2"/>
            <charset val="204"/>
          </rPr>
          <t xml:space="preserve">
делается 2 раза</t>
        </r>
      </text>
    </comment>
  </commentList>
</comments>
</file>

<file path=xl/sharedStrings.xml><?xml version="1.0" encoding="utf-8"?>
<sst xmlns="http://schemas.openxmlformats.org/spreadsheetml/2006/main" count="635" uniqueCount="373">
  <si>
    <t>Земля</t>
  </si>
  <si>
    <t>Агрохозяйство</t>
  </si>
  <si>
    <t>Пасека</t>
  </si>
  <si>
    <t>Здания и сооружения</t>
  </si>
  <si>
    <t>Благоустройство земли</t>
  </si>
  <si>
    <t>Межевание участка и др расходы</t>
  </si>
  <si>
    <t xml:space="preserve">Карта хим </t>
  </si>
  <si>
    <t>Семязагрязненность</t>
  </si>
  <si>
    <t>Прочие расходы</t>
  </si>
  <si>
    <t>Ед.</t>
  </si>
  <si>
    <t>Цена, долл.</t>
  </si>
  <si>
    <t>Курс</t>
  </si>
  <si>
    <t>Total CAPEX</t>
  </si>
  <si>
    <t>Донник</t>
  </si>
  <si>
    <t>Фацелия</t>
  </si>
  <si>
    <t>Норма</t>
  </si>
  <si>
    <t>Трактора и прицепное оборудование</t>
  </si>
  <si>
    <t>Разбрасыватель удобрений</t>
  </si>
  <si>
    <t>шт.</t>
  </si>
  <si>
    <t>СХ оборудование и механизмы</t>
  </si>
  <si>
    <t>Бензовоз</t>
  </si>
  <si>
    <t>Семена (многолетние растения)</t>
  </si>
  <si>
    <t>Ангар для техники</t>
  </si>
  <si>
    <t>База тех облуживания</t>
  </si>
  <si>
    <t>Кухня</t>
  </si>
  <si>
    <t>ГСМ</t>
  </si>
  <si>
    <t>Ремонт техники</t>
  </si>
  <si>
    <t>Тракторист</t>
  </si>
  <si>
    <t>Агроном</t>
  </si>
  <si>
    <t>Бригадир</t>
  </si>
  <si>
    <t>Авто слесарь</t>
  </si>
  <si>
    <t>Склад</t>
  </si>
  <si>
    <t>Повар</t>
  </si>
  <si>
    <t>Кол-во</t>
  </si>
  <si>
    <t>мес.</t>
  </si>
  <si>
    <t>чел.</t>
  </si>
  <si>
    <t>Налоги на ФОТ</t>
  </si>
  <si>
    <t>Total OPEX</t>
  </si>
  <si>
    <t>Резерв на непредвиденные расходы</t>
  </si>
  <si>
    <t>Омшанник (зимовник для пчел)</t>
  </si>
  <si>
    <t>Проектирование</t>
  </si>
  <si>
    <t>Строительство</t>
  </si>
  <si>
    <t>Покупка пчелосемей</t>
  </si>
  <si>
    <t>Производство ульев</t>
  </si>
  <si>
    <t>Вощина</t>
  </si>
  <si>
    <t>Вспомогательное оборудование</t>
  </si>
  <si>
    <t xml:space="preserve">Cодержание пчелосемьи </t>
  </si>
  <si>
    <t>Квадроцикл</t>
  </si>
  <si>
    <t>Распределение инвестиций по годам, стоимость</t>
  </si>
  <si>
    <t>Аренда земли</t>
  </si>
  <si>
    <t>Химикаты, удобрения (разово)</t>
  </si>
  <si>
    <t xml:space="preserve">Пасечники </t>
  </si>
  <si>
    <t>Помощник пасечника</t>
  </si>
  <si>
    <t>Водитель</t>
  </si>
  <si>
    <t>Молочко пчеловоды</t>
  </si>
  <si>
    <t>Молочко помощники пчеловоды</t>
  </si>
  <si>
    <t>Завод</t>
  </si>
  <si>
    <t>Сертификация</t>
  </si>
  <si>
    <t>Обустройство территории</t>
  </si>
  <si>
    <t>Линия по переработке воска</t>
  </si>
  <si>
    <t>Линия переработки меда с гомогенизатором</t>
  </si>
  <si>
    <t>Котельная</t>
  </si>
  <si>
    <t>Камера разогрева</t>
  </si>
  <si>
    <t>Скважина</t>
  </si>
  <si>
    <t>Станция водоподготовки</t>
  </si>
  <si>
    <t>Септики и канализация</t>
  </si>
  <si>
    <t>Станция резервного энергоснабжения</t>
  </si>
  <si>
    <t>Столярный цех</t>
  </si>
  <si>
    <t>Складское оборудование</t>
  </si>
  <si>
    <t>Погрузчик электро</t>
  </si>
  <si>
    <t>Тара бочки начальная закупка</t>
  </si>
  <si>
    <t>А/м легковой</t>
  </si>
  <si>
    <t>Снегоуборочная машина</t>
  </si>
  <si>
    <t>Строительство общежития</t>
  </si>
  <si>
    <t>Гостевой домик</t>
  </si>
  <si>
    <t>Прочее</t>
  </si>
  <si>
    <t>Эл энергия завод по переработке меда</t>
  </si>
  <si>
    <t>Эл энергия столярный цех</t>
  </si>
  <si>
    <t>Уголь</t>
  </si>
  <si>
    <t>Текущие затраты завода</t>
  </si>
  <si>
    <t>Персонал</t>
  </si>
  <si>
    <t>Гл Бухгалтер</t>
  </si>
  <si>
    <t>Бухгалтер</t>
  </si>
  <si>
    <t>Рабочий цеха меда</t>
  </si>
  <si>
    <t xml:space="preserve">Рабочий столярного цеха </t>
  </si>
  <si>
    <t xml:space="preserve">Кладовщик </t>
  </si>
  <si>
    <t>Горничная в гостиницу</t>
  </si>
  <si>
    <t>Кочегар</t>
  </si>
  <si>
    <t>Лаборатория</t>
  </si>
  <si>
    <t>Зав лабораторией</t>
  </si>
  <si>
    <t>Лаборант</t>
  </si>
  <si>
    <t>Текущие расходы лаборатории</t>
  </si>
  <si>
    <t>Амортизация</t>
  </si>
  <si>
    <t>Grand Total CAPEX</t>
  </si>
  <si>
    <t>Grand Total OPEX</t>
  </si>
  <si>
    <t>т</t>
  </si>
  <si>
    <t>EBITDA</t>
  </si>
  <si>
    <t>EBT</t>
  </si>
  <si>
    <t>Остаток банковского кредита</t>
  </si>
  <si>
    <t>Остаток льготного кредита</t>
  </si>
  <si>
    <t>Free Cash Flow</t>
  </si>
  <si>
    <t>Соотношение льготного и банковского финансирования</t>
  </si>
  <si>
    <t>Ставка</t>
  </si>
  <si>
    <t>Количество пчелосемей</t>
  </si>
  <si>
    <t>шт</t>
  </si>
  <si>
    <t>Беларус МТЗ-1221.2 </t>
  </si>
  <si>
    <t>Беларус 80/82 серий</t>
  </si>
  <si>
    <t>Самосвальный двухосный тракторный прицеп</t>
  </si>
  <si>
    <t>Трактор К744 420 лс</t>
  </si>
  <si>
    <t>Плуг полунавесной FINIST ПП 9-35</t>
  </si>
  <si>
    <t>Навесное оборудование</t>
  </si>
  <si>
    <t>Навесное для уборки снега</t>
  </si>
  <si>
    <t xml:space="preserve">Навесное - погрузчик </t>
  </si>
  <si>
    <t xml:space="preserve">Склад для семян и химии </t>
  </si>
  <si>
    <t>Домики пасечника</t>
  </si>
  <si>
    <t>Скважина под ключ</t>
  </si>
  <si>
    <t>Септик под ключ</t>
  </si>
  <si>
    <t>Забор</t>
  </si>
  <si>
    <t>Энергоснабжение</t>
  </si>
  <si>
    <t>Холодильная камера</t>
  </si>
  <si>
    <t>Холодильная установка</t>
  </si>
  <si>
    <t>Мебель и орг техника</t>
  </si>
  <si>
    <t>Разработка и согласование проекта землеустройства</t>
  </si>
  <si>
    <t>Срок амортизации</t>
  </si>
  <si>
    <t>Вспашка</t>
  </si>
  <si>
    <t>Боронование</t>
  </si>
  <si>
    <t>Посев</t>
  </si>
  <si>
    <t>Доставка топлива на поля</t>
  </si>
  <si>
    <t>Уборка семян</t>
  </si>
  <si>
    <t>Вывоз семян</t>
  </si>
  <si>
    <t>Вывоз ульев на поле и назад</t>
  </si>
  <si>
    <t>ГСМ админ</t>
  </si>
  <si>
    <t>Питание сотрудников</t>
  </si>
  <si>
    <t>Механик</t>
  </si>
  <si>
    <t>Охранник</t>
  </si>
  <si>
    <t xml:space="preserve">Персонал </t>
  </si>
  <si>
    <t>Зам директора</t>
  </si>
  <si>
    <t>Гл инженер</t>
  </si>
  <si>
    <t>Электро слесарь</t>
  </si>
  <si>
    <t>Администратор гостинницы</t>
  </si>
  <si>
    <t>Помощник Лаборанта</t>
  </si>
  <si>
    <t>Потребность в ресурсах</t>
  </si>
  <si>
    <t>Затраты на ресурсы</t>
  </si>
  <si>
    <t>Площадь</t>
  </si>
  <si>
    <t>Коэф.</t>
  </si>
  <si>
    <t>Эл энергия</t>
  </si>
  <si>
    <t>Производственная себестоимость</t>
  </si>
  <si>
    <t>Начальная обработка земли (ГСМ)</t>
  </si>
  <si>
    <t>Проверка 1</t>
  </si>
  <si>
    <t>Персонал произв. (в т.ч. питание и налоги)</t>
  </si>
  <si>
    <t>Уборка и вывоз семян</t>
  </si>
  <si>
    <t>Персонал произв. (в т.ч. налоги)</t>
  </si>
  <si>
    <t>Персонал непроизв. (в т.ч. налоги)</t>
  </si>
  <si>
    <t>Прочие операционные расходы</t>
  </si>
  <si>
    <t>Маржа</t>
  </si>
  <si>
    <t>Цена, дол. США</t>
  </si>
  <si>
    <t>Структура себестоимости</t>
  </si>
  <si>
    <t>Проверка 2</t>
  </si>
  <si>
    <t>Всего получение (+), выплата кредитов</t>
  </si>
  <si>
    <t>Финансовый денежный поток, млн. руб.</t>
  </si>
  <si>
    <t>EBITDA, %</t>
  </si>
  <si>
    <t>Сезонные полевые работы</t>
  </si>
  <si>
    <t>Подъем целинных земель</t>
  </si>
  <si>
    <t>IRR</t>
  </si>
  <si>
    <t>VC</t>
  </si>
  <si>
    <t>Постоянные затраты</t>
  </si>
  <si>
    <t>Операционные</t>
  </si>
  <si>
    <t>1 кг</t>
  </si>
  <si>
    <t>Цена</t>
  </si>
  <si>
    <t>Переменные затраты</t>
  </si>
  <si>
    <t>FC</t>
  </si>
  <si>
    <t>расчет</t>
  </si>
  <si>
    <t>Всего затраты</t>
  </si>
  <si>
    <t>Проверка</t>
  </si>
  <si>
    <t>руб./кг</t>
  </si>
  <si>
    <t>Запас прочности</t>
  </si>
  <si>
    <t>%</t>
  </si>
  <si>
    <t>Industry Name</t>
  </si>
  <si>
    <t>Number of firms</t>
  </si>
  <si>
    <t xml:space="preserve">Beta </t>
  </si>
  <si>
    <t>D/E Ratio</t>
  </si>
  <si>
    <t>Tax rate</t>
  </si>
  <si>
    <t>Unlevered beta</t>
  </si>
  <si>
    <t>Farming/ Agriculture</t>
  </si>
  <si>
    <t>Country</t>
  </si>
  <si>
    <t>Moody's rating</t>
  </si>
  <si>
    <t>Rating-based Default Spread</t>
  </si>
  <si>
    <t>Russia</t>
  </si>
  <si>
    <t>Eastern Europe &amp; Russia</t>
  </si>
  <si>
    <t>Ba1</t>
  </si>
  <si>
    <t>Region</t>
  </si>
  <si>
    <t>Date updated:</t>
  </si>
  <si>
    <t>CPI inflation Russia 2016</t>
  </si>
  <si>
    <t>Damodaran</t>
  </si>
  <si>
    <t>US treasury rate (10 Yr)</t>
  </si>
  <si>
    <t>average inflation</t>
  </si>
  <si>
    <t>Cost of Equity</t>
  </si>
  <si>
    <t>Cost of Debt</t>
  </si>
  <si>
    <t>nominal</t>
  </si>
  <si>
    <t>share</t>
  </si>
  <si>
    <t>WACC</t>
  </si>
  <si>
    <t>real</t>
  </si>
  <si>
    <t>tax shield</t>
  </si>
  <si>
    <t>Cost of Capital</t>
  </si>
  <si>
    <t>Данные для расчета стоимости капитала</t>
  </si>
  <si>
    <t>Расчет стоимости капитала</t>
  </si>
  <si>
    <t>Total Equity Risk Premium</t>
  </si>
  <si>
    <t>Country Risk Premium</t>
  </si>
  <si>
    <t>Источник:</t>
  </si>
  <si>
    <t>NPV</t>
  </si>
  <si>
    <t>Payback</t>
  </si>
  <si>
    <t>Рабочая область</t>
  </si>
  <si>
    <t>Отчет о прибылях и убытках</t>
  </si>
  <si>
    <t>Производство меда, тонн</t>
  </si>
  <si>
    <t>Численность персонала</t>
  </si>
  <si>
    <t>Строительтсво Здания завода</t>
  </si>
  <si>
    <t>млн. долл.</t>
  </si>
  <si>
    <t>Summer</t>
  </si>
  <si>
    <t>Autumn</t>
  </si>
  <si>
    <t>Winter</t>
  </si>
  <si>
    <t>Spring</t>
  </si>
  <si>
    <t>Production, tons</t>
  </si>
  <si>
    <t>in annual computation</t>
  </si>
  <si>
    <t>Apiary</t>
  </si>
  <si>
    <t>Plant</t>
  </si>
  <si>
    <t>Laboratory</t>
  </si>
  <si>
    <t>Agricultural division</t>
  </si>
  <si>
    <t>Hive production</t>
  </si>
  <si>
    <t>Winter hut for bees (omshanik)</t>
  </si>
  <si>
    <t>Bee colonies</t>
  </si>
  <si>
    <t>Apiaries infrastructure</t>
  </si>
  <si>
    <t>Additional equipment</t>
  </si>
  <si>
    <t>Hivers' houses</t>
  </si>
  <si>
    <t>Machinery and equipment</t>
  </si>
  <si>
    <t>Beeswax</t>
  </si>
  <si>
    <t>Buildings and constructions</t>
  </si>
  <si>
    <t>Infrastructure</t>
  </si>
  <si>
    <t>Production equipment</t>
  </si>
  <si>
    <t>Other</t>
  </si>
  <si>
    <t>Chemicals and fertilizers (one-time)</t>
  </si>
  <si>
    <t>Tractors and towing equip.</t>
  </si>
  <si>
    <t>Seeds (perennial plants)</t>
  </si>
  <si>
    <t>Agricultural equip. and machinery</t>
  </si>
  <si>
    <t>Petrol tank truck</t>
  </si>
  <si>
    <t>Attachable equipment</t>
  </si>
  <si>
    <t>Receipt (+), repayment (-) of a soft loan</t>
  </si>
  <si>
    <t>Receipt (+), repayment (-) of a bank loan</t>
  </si>
  <si>
    <t>Agri divis.</t>
  </si>
  <si>
    <t>Production staff(incl. meals and taxes)</t>
  </si>
  <si>
    <t>Fuels and Lubricants</t>
  </si>
  <si>
    <t>Seasonal field works</t>
  </si>
  <si>
    <t>Electricity</t>
  </si>
  <si>
    <t>Coal</t>
  </si>
  <si>
    <t>Current costs of laboratory</t>
  </si>
  <si>
    <t>Equipment repair</t>
  </si>
  <si>
    <t>Keeping of bee colonies</t>
  </si>
  <si>
    <t>Gross income</t>
  </si>
  <si>
    <t>Gross margin</t>
  </si>
  <si>
    <t>Interest</t>
  </si>
  <si>
    <t>Depreciation</t>
  </si>
  <si>
    <t>Income Tax</t>
  </si>
  <si>
    <t>Net profit</t>
  </si>
  <si>
    <t>Profitability</t>
  </si>
  <si>
    <t>Other operating  costs</t>
  </si>
  <si>
    <t>Cash flow</t>
  </si>
  <si>
    <t>Operational</t>
  </si>
  <si>
    <t>Income from the sales</t>
  </si>
  <si>
    <t>Taxes</t>
  </si>
  <si>
    <t>Investment</t>
  </si>
  <si>
    <t>Land</t>
  </si>
  <si>
    <t>Agrofirm</t>
  </si>
  <si>
    <t>Financial</t>
  </si>
  <si>
    <t>Preferential loan</t>
  </si>
  <si>
    <t>Receiving</t>
  </si>
  <si>
    <t>Return</t>
  </si>
  <si>
    <t>Bank loan</t>
  </si>
  <si>
    <t>Net flow</t>
  </si>
  <si>
    <t>Initial balance</t>
  </si>
  <si>
    <t>Final balance</t>
  </si>
  <si>
    <t>Variable costs</t>
  </si>
  <si>
    <t>Fixed costs</t>
  </si>
  <si>
    <t>Sales price</t>
  </si>
  <si>
    <t>Margin</t>
  </si>
  <si>
    <t>Production volume</t>
  </si>
  <si>
    <t xml:space="preserve">Breakeven point </t>
  </si>
  <si>
    <t>Распределение по годам</t>
  </si>
  <si>
    <t>Стоимость, тыс.</t>
  </si>
  <si>
    <t>На 1 кг меда</t>
  </si>
  <si>
    <t>Прибыль на 1 пчелосемью, USD</t>
  </si>
  <si>
    <t>Cost of Goods Sold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</si>
  <si>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</si>
  <si>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</si>
  <si>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</si>
  <si>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</si>
  <si>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</si>
  <si>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</si>
  <si>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</si>
  <si>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</si>
  <si>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</si>
  <si>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</si>
  <si>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Plan</t>
  </si>
  <si>
    <t>Forecast</t>
  </si>
  <si>
    <t>land plot</t>
  </si>
  <si>
    <t>tillage</t>
  </si>
  <si>
    <t>ready</t>
  </si>
  <si>
    <t>harvest</t>
  </si>
  <si>
    <t>kg/ha</t>
  </si>
  <si>
    <t>harvest, tons</t>
  </si>
  <si>
    <t>price</t>
  </si>
  <si>
    <t>$/kg</t>
  </si>
  <si>
    <t>revenue, k $</t>
  </si>
  <si>
    <t># of bee colonies</t>
  </si>
  <si>
    <t>purchase</t>
  </si>
  <si>
    <t>grew</t>
  </si>
  <si>
    <t>bee colony productivity</t>
  </si>
  <si>
    <t>kg/year</t>
  </si>
  <si>
    <t>interest rate*</t>
  </si>
  <si>
    <t>*1st year - no interest payments</t>
  </si>
  <si>
    <t>Борона дисковая БДТ-6</t>
  </si>
  <si>
    <t>Борона дисковая БДМ-8</t>
  </si>
  <si>
    <t>Сеялка</t>
  </si>
  <si>
    <t>Комбайн зерноуборочный</t>
  </si>
  <si>
    <t>Телеги</t>
  </si>
  <si>
    <t>Ремонтная машина</t>
  </si>
  <si>
    <t>Авто для специалистов</t>
  </si>
  <si>
    <t>Фуры</t>
  </si>
  <si>
    <t>Транспортные средства</t>
  </si>
  <si>
    <t>Production cost</t>
  </si>
  <si>
    <t>Other operating costs</t>
  </si>
  <si>
    <t>2022 - 2023</t>
  </si>
  <si>
    <t xml:space="preserve">Financial indicators </t>
  </si>
  <si>
    <t>Profit / loss</t>
  </si>
  <si>
    <t>Gross revenue, k USD</t>
  </si>
  <si>
    <t>COG, k USD</t>
  </si>
  <si>
    <t>Loan interest, k USD</t>
  </si>
  <si>
    <t>Depreciation, k USD</t>
  </si>
  <si>
    <t>Taxes, k USD</t>
  </si>
  <si>
    <t>Обустройство территории пасек</t>
  </si>
  <si>
    <t>Interests</t>
  </si>
  <si>
    <t>лет</t>
  </si>
  <si>
    <t>Corporate income tax, million USD</t>
  </si>
  <si>
    <t>Depreciation, million USD</t>
  </si>
  <si>
    <t>Cost of production, million USD</t>
  </si>
  <si>
    <r>
      <rPr>
        <sz val="7"/>
        <color theme="1"/>
        <rFont val="Verdana"/>
        <family val="2"/>
        <charset val="204"/>
      </rPr>
      <t xml:space="preserve"> </t>
    </r>
    <r>
      <rPr>
        <sz val="10"/>
        <color theme="1"/>
        <rFont val="Verdana"/>
        <family val="2"/>
        <charset val="204"/>
      </rPr>
      <t>Loan servicing, million USD</t>
    </r>
  </si>
  <si>
    <t>Profit for the period, million USD</t>
  </si>
  <si>
    <t>Investment needs</t>
  </si>
  <si>
    <t>Free cash flow</t>
  </si>
  <si>
    <t>Операционный</t>
  </si>
  <si>
    <t>Инвестиционный</t>
  </si>
  <si>
    <t>Свободный денежный поток</t>
  </si>
  <si>
    <t>Год 1</t>
  </si>
  <si>
    <t>Год 2</t>
  </si>
  <si>
    <t>Год 3</t>
  </si>
  <si>
    <t>Год 4</t>
  </si>
  <si>
    <t>Год 5</t>
  </si>
  <si>
    <t>Год 6</t>
  </si>
  <si>
    <t>Год 7</t>
  </si>
  <si>
    <t>Год 8</t>
  </si>
  <si>
    <t>Год 9</t>
  </si>
  <si>
    <t>Год 10</t>
  </si>
  <si>
    <t>Налоги на фонд оплаты труда</t>
  </si>
  <si>
    <t>Налог на прибыль</t>
  </si>
  <si>
    <t>Всего налоги</t>
  </si>
  <si>
    <t>Получение (+), возврат (-) льготного кредита</t>
  </si>
  <si>
    <t>Получение (+), возврат (-) банковского кредита</t>
  </si>
  <si>
    <t>Инфраструктура</t>
  </si>
  <si>
    <t>Производственное оборудование</t>
  </si>
  <si>
    <t>Прочие</t>
  </si>
  <si>
    <t>Техника и оборудование</t>
  </si>
  <si>
    <t>Обустройтство территории пасек</t>
  </si>
  <si>
    <t>Harvesting</t>
  </si>
  <si>
    <t>Электроэнергия</t>
  </si>
  <si>
    <t>Проценты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</si>
</sst>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_(* #,##0.00_);_(* \(#,##0.00\);_(* &quot;-&quot;_);_(@_)"/>
    <numFmt numFmtId="168" formatCode="0.0"/>
    <numFmt numFmtId="169" formatCode="_(* #,##0.0_);_(* \(#,##0.0\);_(* &quot;-&quot;??_);_(@_)"/>
    <numFmt numFmtId="170" formatCode="0.000"/>
    <numFmt numFmtId="171" formatCode="#,##0.0"/>
    <numFmt numFmtId="172" formatCode="_(* #,##0.0_);_(* \(#,##0.0\);_(* &quot;-&quot;_);_(@_)"/>
    <numFmt numFmtId="173" formatCode="_(* #,##0.0_);_(* \(#,##0.0\);_(* &quot;-&quot;?_);_(@_)"/>
  </numFmts>
  <fonts count="75" x14ac:knownFonts="1">
    <font>
      <sz val="10"/>
      <color theme="1"/>
      <name val="Arial"/>
      <family val="2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sz val="10"/>
      <name val="Arial Cyr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name val="Arial"/>
      <family val="2"/>
    </font>
    <font>
      <sz val="8"/>
      <name val="Arial"/>
      <family val="2"/>
      <charset val="204"/>
    </font>
    <font>
      <b/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0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10"/>
      <name val="Arial"/>
      <family val="2"/>
    </font>
    <font>
      <i/>
      <sz val="10"/>
      <name val="Arial"/>
      <family val="2"/>
      <charset val="204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4"/>
      <color rgb="FF000000"/>
      <name val="Century Gothic"/>
      <family val="2"/>
      <charset val="204"/>
    </font>
    <font>
      <sz val="8"/>
      <color rgb="FF000000"/>
      <name val="Century Gothic"/>
      <family val="2"/>
      <charset val="204"/>
    </font>
    <font>
      <b/>
      <sz val="10"/>
      <color theme="3" tint="-0.499984740745262"/>
      <name val="Arial"/>
      <family val="2"/>
      <charset val="204"/>
    </font>
    <font>
      <b/>
      <sz val="10"/>
      <color rgb="FF000000"/>
      <name val="Century Gothic"/>
      <family val="2"/>
      <charset val="204"/>
    </font>
    <font>
      <sz val="10"/>
      <color rgb="FF000000"/>
      <name val="Century Gothic"/>
      <family val="2"/>
      <charset val="204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10"/>
      <name val="Arial"/>
      <family val="2"/>
      <charset val="204"/>
    </font>
    <font>
      <sz val="8"/>
      <color theme="1" tint="0.499984740745262"/>
      <name val="Arial"/>
      <family val="2"/>
    </font>
    <font>
      <b/>
      <sz val="10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8"/>
      <name val="Arial"/>
      <family val="2"/>
    </font>
    <font>
      <sz val="10"/>
      <color theme="1" tint="0.499984740745262"/>
      <name val="Arial"/>
      <family val="2"/>
    </font>
    <font>
      <b/>
      <sz val="10"/>
      <color theme="1" tint="0.499984740745262"/>
      <name val="Arial"/>
      <family val="2"/>
      <charset val="204"/>
    </font>
    <font>
      <sz val="10"/>
      <color theme="1"/>
      <name val="Arial"/>
      <family val="2"/>
    </font>
    <font>
      <sz val="11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</font>
    <font>
      <i/>
      <sz val="10"/>
      <name val="Arial"/>
      <family val="2"/>
      <charset val="204"/>
    </font>
    <font>
      <sz val="8"/>
      <color theme="1"/>
      <name val="Arial"/>
      <family val="2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  <charset val="204"/>
      <scheme val="minor"/>
    </font>
    <font>
      <sz val="8"/>
      <color theme="2" tint="-9.9978637043366805E-2"/>
      <name val="Arial"/>
      <family val="2"/>
      <charset val="204"/>
      <scheme val="minor"/>
    </font>
    <font>
      <b/>
      <sz val="10"/>
      <name val="Arial"/>
      <family val="2"/>
      <charset val="204"/>
      <scheme val="minor"/>
    </font>
    <font>
      <u/>
      <sz val="10"/>
      <color theme="10"/>
      <name val="Arial"/>
      <family val="2"/>
    </font>
    <font>
      <b/>
      <sz val="10"/>
      <color rgb="FF000000"/>
      <name val="Arial"/>
      <family val="2"/>
      <scheme val="minor"/>
    </font>
    <font>
      <i/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i/>
      <sz val="10"/>
      <name val="Arial"/>
      <family val="2"/>
      <charset val="204"/>
      <scheme val="minor"/>
    </font>
    <font>
      <sz val="8"/>
      <name val="Arial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9"/>
      <name val="Arial"/>
      <family val="2"/>
      <charset val="204"/>
      <scheme val="minor"/>
    </font>
    <font>
      <sz val="10"/>
      <color theme="2" tint="-9.9978637043366805E-2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  <charset val="204"/>
    </font>
    <font>
      <sz val="10"/>
      <color theme="1"/>
      <name val="Verdana"/>
      <family val="2"/>
      <charset val="204"/>
    </font>
    <font>
      <sz val="7"/>
      <color theme="1"/>
      <name val="Verdana"/>
      <family val="2"/>
      <charset val="204"/>
    </font>
    <font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3B56C"/>
        <bgColor indexed="64"/>
      </patternFill>
    </fill>
    <fill>
      <patternFill patternType="solid">
        <fgColor rgb="FFF7CE9D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5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dotted">
        <color rgb="FFE48312"/>
      </bottom>
      <diagonal/>
    </border>
    <border>
      <left style="medium">
        <color rgb="FFFFFFFF"/>
      </left>
      <right style="medium">
        <color rgb="FFFFFFFF"/>
      </right>
      <top style="dotted">
        <color rgb="FFE48312"/>
      </top>
      <bottom style="dotted">
        <color rgb="FFE48312"/>
      </bottom>
      <diagonal/>
    </border>
    <border>
      <left style="medium">
        <color rgb="FFFFFFFF"/>
      </left>
      <right style="medium">
        <color rgb="FFFFFFFF"/>
      </right>
      <top style="dotted">
        <color rgb="FFE48312"/>
      </top>
      <bottom style="medium">
        <color rgb="FFFFFFFF"/>
      </bottom>
      <diagonal/>
    </border>
    <border>
      <left/>
      <right/>
      <top style="thick">
        <color theme="6" tint="-0.24994659260841701"/>
      </top>
      <bottom style="dotted">
        <color rgb="FFE48312"/>
      </bottom>
      <diagonal/>
    </border>
    <border>
      <left style="medium">
        <color rgb="FFFFFFFF"/>
      </left>
      <right/>
      <top style="dotted">
        <color rgb="FFE48312"/>
      </top>
      <bottom style="dotted">
        <color rgb="FFE48312"/>
      </bottom>
      <diagonal/>
    </border>
    <border>
      <left/>
      <right/>
      <top style="dotted">
        <color rgb="FFE48312"/>
      </top>
      <bottom style="medium">
        <color rgb="FFFFFFFF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rgb="FFFFFFFF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ck">
        <color theme="6" tint="-0.24994659260841701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22" fillId="0" borderId="0" applyNumberFormat="0" applyFill="0" applyBorder="0" applyAlignment="0" applyProtection="0"/>
  </cellStyleXfs>
  <cellXfs count="453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41" fontId="11" fillId="0" borderId="2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41" fontId="11" fillId="0" borderId="2" xfId="0" applyNumberFormat="1" applyFont="1" applyBorder="1" applyAlignment="1">
      <alignment horizontal="right" vertical="center"/>
    </xf>
    <xf numFmtId="41" fontId="3" fillId="0" borderId="2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18" fillId="0" borderId="0" xfId="0" applyFont="1" applyAlignment="1">
      <alignment horizontal="left" vertical="center" indent="1"/>
    </xf>
    <xf numFmtId="0" fontId="12" fillId="0" borderId="0" xfId="1" applyFont="1"/>
    <xf numFmtId="0" fontId="10" fillId="0" borderId="0" xfId="0" applyFont="1" applyBorder="1" applyAlignment="1">
      <alignment horizontal="center"/>
    </xf>
    <xf numFmtId="41" fontId="9" fillId="0" borderId="0" xfId="1" applyNumberFormat="1" applyFont="1"/>
    <xf numFmtId="0" fontId="7" fillId="11" borderId="2" xfId="1" applyFont="1" applyFill="1" applyBorder="1" applyAlignment="1">
      <alignment vertical="center"/>
    </xf>
    <xf numFmtId="0" fontId="19" fillId="11" borderId="2" xfId="1" applyFont="1" applyFill="1" applyBorder="1" applyAlignment="1">
      <alignment horizontal="center" vertical="center"/>
    </xf>
    <xf numFmtId="41" fontId="7" fillId="11" borderId="2" xfId="1" applyNumberFormat="1" applyFont="1" applyFill="1" applyBorder="1"/>
    <xf numFmtId="167" fontId="9" fillId="0" borderId="0" xfId="1" applyNumberFormat="1" applyFont="1"/>
    <xf numFmtId="0" fontId="13" fillId="4" borderId="1" xfId="0" applyFont="1" applyFill="1" applyBorder="1" applyAlignment="1">
      <alignment vertical="center"/>
    </xf>
    <xf numFmtId="2" fontId="3" fillId="0" borderId="2" xfId="0" applyNumberFormat="1" applyFont="1" applyBorder="1" applyAlignment="1">
      <alignment horizontal="right" vertical="center"/>
    </xf>
    <xf numFmtId="9" fontId="12" fillId="0" borderId="0" xfId="2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2" xfId="0" applyNumberFormat="1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14" fillId="0" borderId="5" xfId="0" applyNumberFormat="1" applyFont="1" applyBorder="1" applyAlignment="1">
      <alignment horizontal="center" vertical="center"/>
    </xf>
    <xf numFmtId="41" fontId="14" fillId="0" borderId="4" xfId="0" applyNumberFormat="1" applyFont="1" applyBorder="1" applyAlignment="1">
      <alignment horizontal="center" vertical="center"/>
    </xf>
    <xf numFmtId="41" fontId="14" fillId="0" borderId="2" xfId="0" applyNumberFormat="1" applyFont="1" applyBorder="1" applyAlignment="1">
      <alignment horizontal="center" vertical="center"/>
    </xf>
    <xf numFmtId="41" fontId="14" fillId="0" borderId="0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13" fillId="6" borderId="2" xfId="0" applyFont="1" applyFill="1" applyBorder="1" applyAlignment="1">
      <alignment horizontal="left" vertical="center" wrapText="1"/>
    </xf>
    <xf numFmtId="41" fontId="13" fillId="6" borderId="2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/>
    </xf>
    <xf numFmtId="41" fontId="15" fillId="0" borderId="2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right" vertical="center"/>
    </xf>
    <xf numFmtId="41" fontId="13" fillId="4" borderId="1" xfId="0" applyNumberFormat="1" applyFont="1" applyFill="1" applyBorder="1" applyAlignment="1">
      <alignment vertical="center"/>
    </xf>
    <xf numFmtId="41" fontId="9" fillId="0" borderId="5" xfId="8" applyNumberFormat="1" applyFont="1" applyBorder="1"/>
    <xf numFmtId="0" fontId="12" fillId="0" borderId="0" xfId="1" applyFont="1" applyBorder="1"/>
    <xf numFmtId="41" fontId="9" fillId="0" borderId="0" xfId="8" applyNumberFormat="1" applyFont="1" applyBorder="1"/>
    <xf numFmtId="0" fontId="9" fillId="0" borderId="0" xfId="1" applyFont="1" applyBorder="1"/>
    <xf numFmtId="0" fontId="13" fillId="9" borderId="11" xfId="0" applyFont="1" applyFill="1" applyBorder="1" applyAlignment="1">
      <alignment vertical="center"/>
    </xf>
    <xf numFmtId="41" fontId="13" fillId="9" borderId="11" xfId="0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left" vertical="center" indent="1"/>
    </xf>
    <xf numFmtId="0" fontId="7" fillId="10" borderId="12" xfId="1" applyFont="1" applyFill="1" applyBorder="1"/>
    <xf numFmtId="41" fontId="7" fillId="10" borderId="12" xfId="1" applyNumberFormat="1" applyFont="1" applyFill="1" applyBorder="1"/>
    <xf numFmtId="9" fontId="9" fillId="0" borderId="0" xfId="2" applyFont="1" applyBorder="1"/>
    <xf numFmtId="41" fontId="7" fillId="0" borderId="5" xfId="1" applyNumberFormat="1" applyFont="1" applyBorder="1"/>
    <xf numFmtId="9" fontId="9" fillId="0" borderId="0" xfId="2" applyFont="1"/>
    <xf numFmtId="41" fontId="0" fillId="0" borderId="0" xfId="0" applyNumberFormat="1"/>
    <xf numFmtId="9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/>
    </xf>
    <xf numFmtId="172" fontId="11" fillId="0" borderId="2" xfId="0" applyNumberFormat="1" applyFont="1" applyBorder="1" applyAlignment="1">
      <alignment vertical="center"/>
    </xf>
    <xf numFmtId="172" fontId="11" fillId="0" borderId="2" xfId="0" applyNumberFormat="1" applyFont="1" applyBorder="1" applyAlignment="1">
      <alignment horizontal="right" vertical="center"/>
    </xf>
    <xf numFmtId="172" fontId="3" fillId="0" borderId="2" xfId="0" applyNumberFormat="1" applyFont="1" applyFill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15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3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4" borderId="1" xfId="0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3" fontId="11" fillId="0" borderId="2" xfId="0" applyNumberFormat="1" applyFont="1" applyBorder="1" applyAlignment="1">
      <alignment horizontal="center" vertical="center" wrapText="1"/>
    </xf>
    <xf numFmtId="41" fontId="15" fillId="0" borderId="2" xfId="0" applyNumberFormat="1" applyFont="1" applyBorder="1" applyAlignment="1">
      <alignment horizontal="center" vertical="center" wrapText="1"/>
    </xf>
    <xf numFmtId="41" fontId="11" fillId="0" borderId="2" xfId="0" applyNumberFormat="1" applyFont="1" applyBorder="1" applyAlignment="1">
      <alignment horizontal="right" vertical="center" wrapText="1"/>
    </xf>
    <xf numFmtId="3" fontId="3" fillId="0" borderId="0" xfId="0" applyNumberFormat="1" applyFont="1" applyFill="1" applyAlignment="1">
      <alignment horizontal="center" vertical="center"/>
    </xf>
    <xf numFmtId="41" fontId="14" fillId="0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>
      <alignment horizontal="right" vertical="center"/>
    </xf>
    <xf numFmtId="172" fontId="3" fillId="0" borderId="5" xfId="0" applyNumberFormat="1" applyFont="1" applyBorder="1" applyAlignment="1">
      <alignment vertical="center"/>
    </xf>
    <xf numFmtId="41" fontId="3" fillId="0" borderId="5" xfId="0" applyNumberFormat="1" applyFont="1" applyBorder="1" applyAlignment="1">
      <alignment vertical="center"/>
    </xf>
    <xf numFmtId="165" fontId="3" fillId="0" borderId="5" xfId="2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172" fontId="3" fillId="0" borderId="0" xfId="0" applyNumberFormat="1" applyFont="1"/>
    <xf numFmtId="172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165" fontId="3" fillId="0" borderId="0" xfId="2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41" fontId="3" fillId="0" borderId="0" xfId="0" applyNumberFormat="1" applyFont="1" applyFill="1" applyAlignment="1">
      <alignment vertical="center"/>
    </xf>
    <xf numFmtId="172" fontId="3" fillId="0" borderId="4" xfId="0" applyNumberFormat="1" applyFont="1" applyBorder="1" applyAlignment="1">
      <alignment vertical="center"/>
    </xf>
    <xf numFmtId="41" fontId="3" fillId="0" borderId="4" xfId="0" applyNumberFormat="1" applyFont="1" applyBorder="1" applyAlignment="1">
      <alignment vertical="center"/>
    </xf>
    <xf numFmtId="165" fontId="3" fillId="0" borderId="4" xfId="2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 wrapText="1"/>
    </xf>
    <xf numFmtId="3" fontId="11" fillId="6" borderId="2" xfId="0" applyNumberFormat="1" applyFont="1" applyFill="1" applyBorder="1" applyAlignment="1">
      <alignment horizontal="center" vertical="center" wrapText="1"/>
    </xf>
    <xf numFmtId="41" fontId="15" fillId="6" borderId="2" xfId="0" applyNumberFormat="1" applyFont="1" applyFill="1" applyBorder="1" applyAlignment="1">
      <alignment horizontal="center" vertical="center" wrapText="1"/>
    </xf>
    <xf numFmtId="41" fontId="11" fillId="6" borderId="2" xfId="0" applyNumberFormat="1" applyFont="1" applyFill="1" applyBorder="1" applyAlignment="1">
      <alignment horizontal="left" vertical="center" wrapText="1"/>
    </xf>
    <xf numFmtId="41" fontId="11" fillId="6" borderId="2" xfId="0" applyNumberFormat="1" applyFont="1" applyFill="1" applyBorder="1" applyAlignment="1">
      <alignment horizontal="right" vertical="center" wrapText="1"/>
    </xf>
    <xf numFmtId="172" fontId="11" fillId="6" borderId="2" xfId="0" applyNumberFormat="1" applyFont="1" applyFill="1" applyBorder="1" applyAlignment="1">
      <alignment vertical="center"/>
    </xf>
    <xf numFmtId="41" fontId="11" fillId="6" borderId="2" xfId="0" applyNumberFormat="1" applyFont="1" applyFill="1" applyBorder="1" applyAlignment="1">
      <alignment vertical="center"/>
    </xf>
    <xf numFmtId="0" fontId="3" fillId="6" borderId="0" xfId="0" applyFont="1" applyFill="1"/>
    <xf numFmtId="3" fontId="11" fillId="6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/>
    </xf>
    <xf numFmtId="41" fontId="3" fillId="0" borderId="0" xfId="0" applyNumberFormat="1" applyFont="1"/>
    <xf numFmtId="41" fontId="3" fillId="4" borderId="1" xfId="0" applyNumberFormat="1" applyFont="1" applyFill="1" applyBorder="1" applyAlignment="1">
      <alignment horizontal="left" vertical="center" indent="1"/>
    </xf>
    <xf numFmtId="172" fontId="3" fillId="4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 indent="1"/>
    </xf>
    <xf numFmtId="3" fontId="3" fillId="0" borderId="0" xfId="0" applyNumberFormat="1" applyFont="1" applyAlignment="1">
      <alignment horizontal="right" vertical="center" wrapText="1"/>
    </xf>
    <xf numFmtId="41" fontId="3" fillId="0" borderId="0" xfId="0" applyNumberFormat="1" applyFont="1" applyAlignment="1">
      <alignment horizontal="right" vertical="center" wrapText="1"/>
    </xf>
    <xf numFmtId="172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166" fontId="3" fillId="0" borderId="5" xfId="0" applyNumberFormat="1" applyFont="1" applyBorder="1" applyAlignment="1">
      <alignment vertical="center"/>
    </xf>
    <xf numFmtId="166" fontId="3" fillId="0" borderId="4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41" fontId="3" fillId="0" borderId="2" xfId="0" applyNumberFormat="1" applyFont="1" applyBorder="1" applyAlignment="1">
      <alignment horizontal="right" vertical="center" wrapText="1"/>
    </xf>
    <xf numFmtId="9" fontId="3" fillId="0" borderId="2" xfId="2" applyFont="1" applyBorder="1" applyAlignment="1">
      <alignment horizontal="center" vertical="center"/>
    </xf>
    <xf numFmtId="43" fontId="3" fillId="0" borderId="0" xfId="0" applyNumberFormat="1" applyFont="1" applyAlignment="1">
      <alignment vertical="center" wrapText="1"/>
    </xf>
    <xf numFmtId="172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 wrapText="1"/>
    </xf>
    <xf numFmtId="166" fontId="3" fillId="0" borderId="0" xfId="0" applyNumberFormat="1" applyFont="1" applyBorder="1" applyAlignment="1">
      <alignment vertical="center"/>
    </xf>
    <xf numFmtId="173" fontId="3" fillId="0" borderId="0" xfId="0" applyNumberFormat="1" applyFont="1" applyAlignment="1">
      <alignment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right" vertical="center" wrapText="1"/>
    </xf>
    <xf numFmtId="166" fontId="3" fillId="0" borderId="0" xfId="0" applyNumberFormat="1" applyFont="1"/>
    <xf numFmtId="172" fontId="3" fillId="0" borderId="0" xfId="0" applyNumberFormat="1" applyFont="1" applyFill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43" fontId="3" fillId="0" borderId="0" xfId="0" applyNumberFormat="1" applyFont="1" applyAlignment="1">
      <alignment horizontal="right" vertical="center"/>
    </xf>
    <xf numFmtId="43" fontId="3" fillId="0" borderId="0" xfId="0" applyNumberFormat="1" applyFont="1"/>
    <xf numFmtId="171" fontId="3" fillId="0" borderId="2" xfId="0" applyNumberFormat="1" applyFont="1" applyBorder="1" applyAlignment="1">
      <alignment horizontal="right" vertical="center"/>
    </xf>
    <xf numFmtId="172" fontId="9" fillId="0" borderId="0" xfId="1" applyNumberFormat="1" applyFont="1"/>
    <xf numFmtId="0" fontId="21" fillId="8" borderId="0" xfId="0" applyFont="1" applyFill="1" applyBorder="1" applyAlignment="1">
      <alignment horizontal="left" vertical="center" indent="1"/>
    </xf>
    <xf numFmtId="167" fontId="9" fillId="8" borderId="0" xfId="8" applyNumberFormat="1" applyFont="1" applyFill="1" applyBorder="1"/>
    <xf numFmtId="0" fontId="21" fillId="3" borderId="0" xfId="0" applyFont="1" applyFill="1" applyBorder="1" applyAlignment="1">
      <alignment horizontal="left" vertical="center" indent="1"/>
    </xf>
    <xf numFmtId="167" fontId="9" fillId="3" borderId="0" xfId="1" applyNumberFormat="1" applyFont="1" applyFill="1"/>
    <xf numFmtId="167" fontId="9" fillId="0" borderId="0" xfId="8" applyNumberFormat="1" applyFont="1" applyBorder="1"/>
    <xf numFmtId="43" fontId="9" fillId="0" borderId="0" xfId="1" applyNumberFormat="1" applyFont="1" applyBorder="1"/>
    <xf numFmtId="43" fontId="9" fillId="0" borderId="0" xfId="1" applyNumberFormat="1" applyFont="1"/>
    <xf numFmtId="49" fontId="9" fillId="0" borderId="0" xfId="1" applyNumberFormat="1" applyFont="1" applyBorder="1"/>
    <xf numFmtId="49" fontId="9" fillId="0" borderId="0" xfId="1" applyNumberFormat="1" applyFont="1"/>
    <xf numFmtId="2" fontId="9" fillId="0" borderId="0" xfId="1" applyNumberFormat="1" applyFont="1" applyBorder="1"/>
    <xf numFmtId="0" fontId="1" fillId="0" borderId="0" xfId="0" applyFont="1" applyAlignment="1">
      <alignment horizontal="center"/>
    </xf>
    <xf numFmtId="0" fontId="23" fillId="0" borderId="0" xfId="0" applyFont="1"/>
    <xf numFmtId="0" fontId="25" fillId="13" borderId="26" xfId="0" applyFont="1" applyFill="1" applyBorder="1" applyAlignment="1">
      <alignment horizontal="center" vertical="center" wrapText="1" readingOrder="1"/>
    </xf>
    <xf numFmtId="0" fontId="23" fillId="0" borderId="38" xfId="0" applyFont="1" applyBorder="1"/>
    <xf numFmtId="0" fontId="23" fillId="0" borderId="39" xfId="0" applyFont="1" applyBorder="1"/>
    <xf numFmtId="0" fontId="26" fillId="15" borderId="39" xfId="0" applyFont="1" applyFill="1" applyBorder="1" applyAlignment="1">
      <alignment horizontal="center" wrapText="1"/>
    </xf>
    <xf numFmtId="0" fontId="26" fillId="15" borderId="39" xfId="0" applyFont="1" applyFill="1" applyBorder="1" applyAlignment="1">
      <alignment horizontal="center"/>
    </xf>
    <xf numFmtId="0" fontId="23" fillId="0" borderId="40" xfId="0" applyFont="1" applyBorder="1"/>
    <xf numFmtId="0" fontId="27" fillId="0" borderId="32" xfId="0" applyFont="1" applyBorder="1" applyAlignment="1">
      <alignment horizontal="left" vertical="center" readingOrder="1"/>
    </xf>
    <xf numFmtId="0" fontId="27" fillId="0" borderId="33" xfId="0" applyFont="1" applyBorder="1" applyAlignment="1">
      <alignment horizontal="left" vertical="center" readingOrder="1"/>
    </xf>
    <xf numFmtId="3" fontId="27" fillId="0" borderId="33" xfId="0" applyNumberFormat="1" applyFont="1" applyBorder="1" applyAlignment="1">
      <alignment horizontal="right" vertical="center" wrapText="1" readingOrder="1"/>
    </xf>
    <xf numFmtId="0" fontId="27" fillId="14" borderId="34" xfId="0" applyFont="1" applyFill="1" applyBorder="1" applyAlignment="1">
      <alignment horizontal="left" vertical="center" readingOrder="1"/>
    </xf>
    <xf numFmtId="3" fontId="27" fillId="14" borderId="34" xfId="0" applyNumberFormat="1" applyFont="1" applyFill="1" applyBorder="1" applyAlignment="1">
      <alignment horizontal="right" vertical="center" wrapText="1" readingOrder="1"/>
    </xf>
    <xf numFmtId="0" fontId="23" fillId="0" borderId="0" xfId="0" applyFont="1" applyAlignment="1">
      <alignment vertical="center"/>
    </xf>
    <xf numFmtId="10" fontId="0" fillId="0" borderId="0" xfId="0" applyNumberFormat="1"/>
    <xf numFmtId="2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18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171" fontId="3" fillId="0" borderId="2" xfId="0" applyNumberFormat="1" applyFont="1" applyBorder="1" applyAlignment="1">
      <alignment horizontal="right" vertical="center" wrapText="1"/>
    </xf>
    <xf numFmtId="41" fontId="28" fillId="0" borderId="35" xfId="0" applyNumberFormat="1" applyFont="1" applyBorder="1" applyAlignment="1">
      <alignment wrapText="1" readingOrder="1"/>
    </xf>
    <xf numFmtId="41" fontId="27" fillId="0" borderId="36" xfId="0" applyNumberFormat="1" applyFont="1" applyBorder="1" applyAlignment="1">
      <alignment vertical="center" wrapText="1" readingOrder="1"/>
    </xf>
    <xf numFmtId="41" fontId="28" fillId="0" borderId="36" xfId="0" applyNumberFormat="1" applyFont="1" applyBorder="1" applyAlignment="1">
      <alignment vertical="center" wrapText="1" readingOrder="1"/>
    </xf>
    <xf numFmtId="41" fontId="27" fillId="14" borderId="37" xfId="0" applyNumberFormat="1" applyFont="1" applyFill="1" applyBorder="1" applyAlignment="1">
      <alignment vertical="center" wrapText="1" readingOrder="1"/>
    </xf>
    <xf numFmtId="4" fontId="3" fillId="0" borderId="0" xfId="0" applyNumberFormat="1" applyFont="1" applyAlignment="1">
      <alignment horizontal="center" vertical="center" wrapText="1"/>
    </xf>
    <xf numFmtId="0" fontId="29" fillId="0" borderId="0" xfId="0" applyFont="1"/>
    <xf numFmtId="0" fontId="30" fillId="0" borderId="0" xfId="0" applyFont="1" applyAlignment="1">
      <alignment vertical="center"/>
    </xf>
    <xf numFmtId="9" fontId="30" fillId="0" borderId="0" xfId="2" applyFont="1" applyAlignment="1">
      <alignment horizontal="center" vertical="center"/>
    </xf>
    <xf numFmtId="1" fontId="31" fillId="2" borderId="1" xfId="0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left" vertical="center" indent="1"/>
    </xf>
    <xf numFmtId="0" fontId="29" fillId="0" borderId="5" xfId="0" applyFont="1" applyBorder="1"/>
    <xf numFmtId="9" fontId="30" fillId="0" borderId="5" xfId="2" applyFont="1" applyBorder="1" applyAlignment="1">
      <alignment horizontal="center" vertical="center"/>
    </xf>
    <xf numFmtId="41" fontId="29" fillId="0" borderId="5" xfId="0" applyNumberFormat="1" applyFont="1" applyBorder="1"/>
    <xf numFmtId="0" fontId="32" fillId="0" borderId="4" xfId="0" applyFont="1" applyBorder="1" applyAlignment="1">
      <alignment horizontal="left" vertical="center" indent="1"/>
    </xf>
    <xf numFmtId="0" fontId="29" fillId="0" borderId="4" xfId="0" applyFont="1" applyBorder="1"/>
    <xf numFmtId="9" fontId="30" fillId="0" borderId="4" xfId="2" applyFont="1" applyBorder="1" applyAlignment="1">
      <alignment horizontal="center" vertical="center"/>
    </xf>
    <xf numFmtId="41" fontId="29" fillId="0" borderId="4" xfId="0" applyNumberFormat="1" applyFont="1" applyBorder="1"/>
    <xf numFmtId="0" fontId="33" fillId="0" borderId="0" xfId="0" applyFont="1"/>
    <xf numFmtId="9" fontId="33" fillId="0" borderId="0" xfId="2" applyFont="1" applyAlignment="1">
      <alignment horizontal="center" vertical="center"/>
    </xf>
    <xf numFmtId="9" fontId="33" fillId="0" borderId="0" xfId="2" applyNumberFormat="1" applyFont="1"/>
    <xf numFmtId="0" fontId="33" fillId="0" borderId="0" xfId="0" applyFont="1" applyAlignment="1">
      <alignment vertical="center"/>
    </xf>
    <xf numFmtId="41" fontId="33" fillId="0" borderId="0" xfId="0" applyNumberFormat="1" applyFont="1"/>
    <xf numFmtId="0" fontId="32" fillId="0" borderId="2" xfId="0" applyFont="1" applyBorder="1" applyAlignment="1">
      <alignment horizontal="left" vertical="center" indent="1"/>
    </xf>
    <xf numFmtId="0" fontId="30" fillId="0" borderId="2" xfId="0" applyFont="1" applyBorder="1" applyAlignment="1">
      <alignment vertical="center"/>
    </xf>
    <xf numFmtId="9" fontId="30" fillId="0" borderId="2" xfId="2" applyFont="1" applyBorder="1" applyAlignment="1">
      <alignment horizontal="center" vertical="center"/>
    </xf>
    <xf numFmtId="41" fontId="29" fillId="0" borderId="2" xfId="0" applyNumberFormat="1" applyFont="1" applyBorder="1"/>
    <xf numFmtId="41" fontId="29" fillId="0" borderId="0" xfId="0" applyNumberFormat="1" applyFont="1"/>
    <xf numFmtId="0" fontId="34" fillId="0" borderId="2" xfId="0" applyFont="1" applyFill="1" applyBorder="1" applyAlignment="1">
      <alignment horizontal="left" vertical="center"/>
    </xf>
    <xf numFmtId="0" fontId="35" fillId="0" borderId="2" xfId="0" applyFont="1" applyBorder="1" applyAlignment="1">
      <alignment vertical="center"/>
    </xf>
    <xf numFmtId="9" fontId="35" fillId="0" borderId="2" xfId="2" applyFont="1" applyBorder="1" applyAlignment="1">
      <alignment horizontal="center" vertical="center"/>
    </xf>
    <xf numFmtId="41" fontId="36" fillId="0" borderId="2" xfId="0" applyNumberFormat="1" applyFont="1" applyBorder="1"/>
    <xf numFmtId="0" fontId="37" fillId="0" borderId="0" xfId="0" applyFont="1" applyFill="1" applyBorder="1" applyAlignment="1">
      <alignment horizontal="left" vertical="center" indent="1"/>
    </xf>
    <xf numFmtId="41" fontId="30" fillId="0" borderId="0" xfId="0" applyNumberFormat="1" applyFont="1"/>
    <xf numFmtId="0" fontId="30" fillId="0" borderId="0" xfId="0" applyFont="1"/>
    <xf numFmtId="0" fontId="38" fillId="0" borderId="0" xfId="0" applyFont="1" applyFill="1" applyBorder="1" applyAlignment="1">
      <alignment horizontal="left" vertical="center"/>
    </xf>
    <xf numFmtId="41" fontId="38" fillId="0" borderId="0" xfId="0" applyNumberFormat="1" applyFont="1"/>
    <xf numFmtId="0" fontId="38" fillId="0" borderId="0" xfId="0" applyFont="1"/>
    <xf numFmtId="167" fontId="38" fillId="0" borderId="0" xfId="0" applyNumberFormat="1" applyFont="1"/>
    <xf numFmtId="167" fontId="29" fillId="0" borderId="0" xfId="0" applyNumberFormat="1" applyFont="1"/>
    <xf numFmtId="43" fontId="38" fillId="0" borderId="0" xfId="0" applyNumberFormat="1" applyFont="1"/>
    <xf numFmtId="43" fontId="29" fillId="0" borderId="0" xfId="0" applyNumberFormat="1" applyFont="1"/>
    <xf numFmtId="0" fontId="36" fillId="8" borderId="12" xfId="0" applyFont="1" applyFill="1" applyBorder="1"/>
    <xf numFmtId="0" fontId="35" fillId="8" borderId="12" xfId="0" applyFont="1" applyFill="1" applyBorder="1" applyAlignment="1">
      <alignment vertical="center"/>
    </xf>
    <xf numFmtId="9" fontId="35" fillId="8" borderId="12" xfId="2" applyFont="1" applyFill="1" applyBorder="1" applyAlignment="1">
      <alignment horizontal="center" vertical="center"/>
    </xf>
    <xf numFmtId="0" fontId="39" fillId="8" borderId="12" xfId="0" applyFont="1" applyFill="1" applyBorder="1"/>
    <xf numFmtId="1" fontId="36" fillId="8" borderId="12" xfId="0" applyNumberFormat="1" applyFont="1" applyFill="1" applyBorder="1"/>
    <xf numFmtId="9" fontId="29" fillId="0" borderId="0" xfId="2" applyFont="1"/>
    <xf numFmtId="0" fontId="40" fillId="0" borderId="0" xfId="0" applyFont="1"/>
    <xf numFmtId="0" fontId="41" fillId="0" borderId="0" xfId="0" applyFont="1"/>
    <xf numFmtId="166" fontId="40" fillId="0" borderId="0" xfId="0" applyNumberFormat="1" applyFont="1"/>
    <xf numFmtId="0" fontId="42" fillId="0" borderId="2" xfId="0" applyFont="1" applyBorder="1" applyAlignment="1">
      <alignment vertical="center"/>
    </xf>
    <xf numFmtId="41" fontId="40" fillId="0" borderId="0" xfId="0" applyNumberFormat="1" applyFont="1"/>
    <xf numFmtId="169" fontId="40" fillId="0" borderId="0" xfId="0" applyNumberFormat="1" applyFont="1"/>
    <xf numFmtId="0" fontId="40" fillId="0" borderId="2" xfId="0" applyFont="1" applyBorder="1" applyAlignment="1">
      <alignment vertical="center"/>
    </xf>
    <xf numFmtId="41" fontId="43" fillId="0" borderId="5" xfId="0" applyNumberFormat="1" applyFont="1" applyBorder="1"/>
    <xf numFmtId="41" fontId="44" fillId="0" borderId="0" xfId="0" applyNumberFormat="1" applyFont="1"/>
    <xf numFmtId="0" fontId="45" fillId="0" borderId="0" xfId="0" applyFont="1" applyBorder="1" applyAlignment="1">
      <alignment horizontal="left" vertical="center" indent="1"/>
    </xf>
    <xf numFmtId="9" fontId="40" fillId="0" borderId="0" xfId="2" applyFont="1"/>
    <xf numFmtId="166" fontId="40" fillId="0" borderId="0" xfId="0" applyNumberFormat="1" applyFont="1" applyAlignment="1">
      <alignment vertical="center"/>
    </xf>
    <xf numFmtId="41" fontId="46" fillId="0" borderId="0" xfId="0" applyNumberFormat="1" applyFont="1"/>
    <xf numFmtId="0" fontId="47" fillId="0" borderId="2" xfId="0" applyFont="1" applyFill="1" applyBorder="1" applyAlignment="1">
      <alignment horizontal="left" vertical="center"/>
    </xf>
    <xf numFmtId="43" fontId="40" fillId="0" borderId="0" xfId="0" applyNumberFormat="1" applyFont="1"/>
    <xf numFmtId="41" fontId="43" fillId="0" borderId="0" xfId="0" applyNumberFormat="1" applyFont="1"/>
    <xf numFmtId="172" fontId="40" fillId="0" borderId="0" xfId="0" applyNumberFormat="1" applyFont="1"/>
    <xf numFmtId="166" fontId="43" fillId="0" borderId="0" xfId="0" applyNumberFormat="1" applyFont="1"/>
    <xf numFmtId="3" fontId="40" fillId="0" borderId="0" xfId="0" applyNumberFormat="1" applyFont="1"/>
    <xf numFmtId="1" fontId="40" fillId="0" borderId="0" xfId="0" applyNumberFormat="1" applyFont="1"/>
    <xf numFmtId="0" fontId="48" fillId="0" borderId="0" xfId="0" applyFont="1"/>
    <xf numFmtId="0" fontId="49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8" fillId="4" borderId="1" xfId="0" applyFont="1" applyFill="1" applyBorder="1" applyAlignment="1">
      <alignment vertical="center"/>
    </xf>
    <xf numFmtId="0" fontId="48" fillId="4" borderId="1" xfId="0" applyFont="1" applyFill="1" applyBorder="1" applyAlignment="1">
      <alignment horizontal="center" vertical="center"/>
    </xf>
    <xf numFmtId="41" fontId="48" fillId="4" borderId="1" xfId="0" applyNumberFormat="1" applyFont="1" applyFill="1" applyBorder="1" applyAlignment="1">
      <alignment vertical="center"/>
    </xf>
    <xf numFmtId="0" fontId="48" fillId="0" borderId="1" xfId="0" applyFont="1" applyFill="1" applyBorder="1" applyAlignment="1">
      <alignment vertical="center"/>
    </xf>
    <xf numFmtId="0" fontId="48" fillId="0" borderId="1" xfId="0" applyFont="1" applyFill="1" applyBorder="1" applyAlignment="1">
      <alignment horizontal="center" vertical="center"/>
    </xf>
    <xf numFmtId="41" fontId="48" fillId="0" borderId="1" xfId="0" applyNumberFormat="1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166" fontId="48" fillId="4" borderId="1" xfId="0" applyNumberFormat="1" applyFont="1" applyFill="1" applyBorder="1" applyAlignment="1">
      <alignment vertical="center"/>
    </xf>
    <xf numFmtId="0" fontId="49" fillId="0" borderId="0" xfId="0" applyFont="1" applyAlignment="1">
      <alignment vertical="center"/>
    </xf>
    <xf numFmtId="0" fontId="48" fillId="4" borderId="0" xfId="0" applyFont="1" applyFill="1" applyBorder="1" applyAlignment="1">
      <alignment vertical="center"/>
    </xf>
    <xf numFmtId="0" fontId="48" fillId="4" borderId="0" xfId="0" applyFont="1" applyFill="1" applyBorder="1" applyAlignment="1">
      <alignment horizontal="center" vertical="center"/>
    </xf>
    <xf numFmtId="9" fontId="48" fillId="4" borderId="0" xfId="2" applyFont="1" applyFill="1" applyBorder="1" applyAlignment="1">
      <alignment vertical="center"/>
    </xf>
    <xf numFmtId="10" fontId="49" fillId="0" borderId="0" xfId="2" applyNumberFormat="1" applyFont="1" applyAlignment="1">
      <alignment vertical="center"/>
    </xf>
    <xf numFmtId="166" fontId="49" fillId="0" borderId="0" xfId="0" applyNumberFormat="1" applyFont="1" applyAlignment="1">
      <alignment vertical="center"/>
    </xf>
    <xf numFmtId="9" fontId="49" fillId="0" borderId="0" xfId="2" applyFont="1" applyAlignment="1">
      <alignment vertical="center"/>
    </xf>
    <xf numFmtId="43" fontId="49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0" fontId="48" fillId="8" borderId="7" xfId="0" applyFont="1" applyFill="1" applyBorder="1" applyAlignment="1">
      <alignment vertical="center"/>
    </xf>
    <xf numFmtId="41" fontId="48" fillId="8" borderId="7" xfId="0" applyNumberFormat="1" applyFont="1" applyFill="1" applyBorder="1" applyAlignment="1">
      <alignment vertical="center"/>
    </xf>
    <xf numFmtId="41" fontId="49" fillId="0" borderId="0" xfId="0" applyNumberFormat="1" applyFont="1" applyAlignment="1">
      <alignment vertical="center"/>
    </xf>
    <xf numFmtId="0" fontId="49" fillId="0" borderId="0" xfId="0" applyFont="1" applyAlignment="1">
      <alignment horizontal="left" vertical="center" indent="1"/>
    </xf>
    <xf numFmtId="41" fontId="49" fillId="0" borderId="0" xfId="0" applyNumberFormat="1" applyFont="1" applyFill="1" applyAlignment="1">
      <alignment vertical="center"/>
    </xf>
    <xf numFmtId="166" fontId="49" fillId="0" borderId="0" xfId="0" applyNumberFormat="1" applyFont="1" applyFill="1" applyAlignment="1">
      <alignment vertical="center"/>
    </xf>
    <xf numFmtId="0" fontId="48" fillId="9" borderId="8" xfId="0" applyFont="1" applyFill="1" applyBorder="1" applyAlignment="1">
      <alignment vertical="center"/>
    </xf>
    <xf numFmtId="41" fontId="48" fillId="9" borderId="8" xfId="0" applyNumberFormat="1" applyFont="1" applyFill="1" applyBorder="1" applyAlignment="1">
      <alignment vertical="center"/>
    </xf>
    <xf numFmtId="0" fontId="49" fillId="0" borderId="0" xfId="0" applyFont="1" applyAlignment="1">
      <alignment horizontal="left" vertical="center"/>
    </xf>
    <xf numFmtId="0" fontId="48" fillId="10" borderId="10" xfId="0" applyFont="1" applyFill="1" applyBorder="1" applyAlignment="1">
      <alignment horizontal="left" vertical="center"/>
    </xf>
    <xf numFmtId="0" fontId="48" fillId="10" borderId="10" xfId="0" applyFont="1" applyFill="1" applyBorder="1" applyAlignment="1">
      <alignment vertical="center"/>
    </xf>
    <xf numFmtId="41" fontId="48" fillId="10" borderId="10" xfId="0" applyNumberFormat="1" applyFont="1" applyFill="1" applyBorder="1" applyAlignment="1">
      <alignment vertical="center"/>
    </xf>
    <xf numFmtId="0" fontId="49" fillId="0" borderId="0" xfId="0" applyFont="1"/>
    <xf numFmtId="0" fontId="48" fillId="7" borderId="9" xfId="0" applyFont="1" applyFill="1" applyBorder="1" applyAlignment="1">
      <alignment vertical="center"/>
    </xf>
    <xf numFmtId="41" fontId="48" fillId="7" borderId="9" xfId="0" applyNumberFormat="1" applyFont="1" applyFill="1" applyBorder="1" applyAlignment="1">
      <alignment vertical="center"/>
    </xf>
    <xf numFmtId="9" fontId="49" fillId="0" borderId="0" xfId="0" applyNumberFormat="1" applyFont="1" applyAlignment="1">
      <alignment vertical="center"/>
    </xf>
    <xf numFmtId="165" fontId="48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left" vertical="center" wrapText="1"/>
    </xf>
    <xf numFmtId="12" fontId="49" fillId="0" borderId="3" xfId="0" applyNumberFormat="1" applyFont="1" applyBorder="1" applyAlignment="1">
      <alignment horizontal="center" vertical="center"/>
    </xf>
    <xf numFmtId="0" fontId="51" fillId="0" borderId="0" xfId="1" applyFont="1"/>
    <xf numFmtId="0" fontId="52" fillId="0" borderId="0" xfId="1" applyFont="1"/>
    <xf numFmtId="0" fontId="51" fillId="0" borderId="17" xfId="1" applyFont="1" applyBorder="1"/>
    <xf numFmtId="0" fontId="53" fillId="0" borderId="18" xfId="1" applyFont="1" applyBorder="1"/>
    <xf numFmtId="0" fontId="51" fillId="0" borderId="18" xfId="1" applyFont="1" applyBorder="1"/>
    <xf numFmtId="0" fontId="51" fillId="0" borderId="19" xfId="1" applyFont="1" applyBorder="1"/>
    <xf numFmtId="1" fontId="52" fillId="0" borderId="25" xfId="1" applyNumberFormat="1" applyFont="1" applyBorder="1" applyAlignment="1">
      <alignment horizontal="center" vertical="center"/>
    </xf>
    <xf numFmtId="0" fontId="51" fillId="0" borderId="20" xfId="1" applyFont="1" applyBorder="1"/>
    <xf numFmtId="0" fontId="51" fillId="0" borderId="0" xfId="1" applyFont="1" applyBorder="1"/>
    <xf numFmtId="0" fontId="51" fillId="0" borderId="21" xfId="1" applyFont="1" applyBorder="1"/>
    <xf numFmtId="172" fontId="52" fillId="0" borderId="25" xfId="1" applyNumberFormat="1" applyFont="1" applyBorder="1" applyAlignment="1">
      <alignment vertical="center"/>
    </xf>
    <xf numFmtId="0" fontId="54" fillId="0" borderId="0" xfId="10" applyFont="1" applyBorder="1"/>
    <xf numFmtId="0" fontId="53" fillId="0" borderId="0" xfId="1" applyFont="1" applyBorder="1"/>
    <xf numFmtId="0" fontId="51" fillId="0" borderId="0" xfId="1" applyFont="1" applyAlignment="1">
      <alignment vertical="center"/>
    </xf>
    <xf numFmtId="168" fontId="52" fillId="0" borderId="25" xfId="1" applyNumberFormat="1" applyFont="1" applyBorder="1" applyAlignment="1">
      <alignment vertical="center"/>
    </xf>
    <xf numFmtId="0" fontId="55" fillId="12" borderId="13" xfId="0" applyFont="1" applyFill="1" applyBorder="1"/>
    <xf numFmtId="15" fontId="56" fillId="12" borderId="14" xfId="0" applyNumberFormat="1" applyFont="1" applyFill="1" applyBorder="1" applyAlignment="1"/>
    <xf numFmtId="0" fontId="57" fillId="0" borderId="21" xfId="0" applyFont="1" applyBorder="1"/>
    <xf numFmtId="0" fontId="57" fillId="0" borderId="0" xfId="0" applyFont="1"/>
    <xf numFmtId="0" fontId="57" fillId="0" borderId="20" xfId="0" applyFont="1" applyBorder="1"/>
    <xf numFmtId="0" fontId="57" fillId="0" borderId="0" xfId="0" applyFont="1" applyBorder="1"/>
    <xf numFmtId="0" fontId="51" fillId="0" borderId="20" xfId="1" applyFont="1" applyBorder="1" applyAlignment="1">
      <alignment vertical="center"/>
    </xf>
    <xf numFmtId="0" fontId="58" fillId="0" borderId="15" xfId="0" applyFont="1" applyBorder="1" applyAlignment="1">
      <alignment horizontal="left" vertical="center"/>
    </xf>
    <xf numFmtId="0" fontId="51" fillId="0" borderId="15" xfId="0" applyFont="1" applyFill="1" applyBorder="1" applyAlignment="1">
      <alignment horizontal="right" vertical="center"/>
    </xf>
    <xf numFmtId="0" fontId="51" fillId="0" borderId="21" xfId="1" applyFont="1" applyFill="1" applyBorder="1" applyAlignment="1">
      <alignment vertical="center"/>
    </xf>
    <xf numFmtId="0" fontId="51" fillId="0" borderId="0" xfId="1" applyFont="1" applyBorder="1" applyAlignment="1">
      <alignment vertical="center"/>
    </xf>
    <xf numFmtId="0" fontId="51" fillId="0" borderId="21" xfId="1" applyFont="1" applyBorder="1" applyAlignment="1">
      <alignment vertical="center"/>
    </xf>
    <xf numFmtId="1" fontId="59" fillId="0" borderId="0" xfId="1" applyNumberFormat="1" applyFont="1" applyAlignment="1">
      <alignment horizontal="center" vertical="center"/>
    </xf>
    <xf numFmtId="2" fontId="51" fillId="0" borderId="0" xfId="1" applyNumberFormat="1" applyFont="1" applyBorder="1" applyAlignment="1">
      <alignment vertical="center"/>
    </xf>
    <xf numFmtId="0" fontId="60" fillId="0" borderId="3" xfId="0" applyFont="1" applyBorder="1" applyAlignment="1">
      <alignment horizontal="center" vertical="center"/>
    </xf>
    <xf numFmtId="2" fontId="58" fillId="0" borderId="15" xfId="0" applyNumberFormat="1" applyFont="1" applyBorder="1" applyAlignment="1">
      <alignment horizontal="left" vertical="center"/>
    </xf>
    <xf numFmtId="2" fontId="51" fillId="3" borderId="15" xfId="0" applyNumberFormat="1" applyFont="1" applyFill="1" applyBorder="1" applyAlignment="1">
      <alignment horizontal="right" vertical="center"/>
    </xf>
    <xf numFmtId="0" fontId="57" fillId="0" borderId="2" xfId="0" applyFont="1" applyBorder="1"/>
    <xf numFmtId="167" fontId="61" fillId="0" borderId="2" xfId="0" applyNumberFormat="1" applyFont="1" applyBorder="1"/>
    <xf numFmtId="167" fontId="51" fillId="0" borderId="0" xfId="1" applyNumberFormat="1" applyFont="1" applyAlignment="1">
      <alignment vertical="center"/>
    </xf>
    <xf numFmtId="10" fontId="51" fillId="0" borderId="15" xfId="0" applyNumberFormat="1" applyFont="1" applyFill="1" applyBorder="1" applyAlignment="1">
      <alignment horizontal="right" vertical="center"/>
    </xf>
    <xf numFmtId="172" fontId="62" fillId="0" borderId="0" xfId="1" applyNumberFormat="1" applyFont="1" applyAlignment="1">
      <alignment vertical="center"/>
    </xf>
    <xf numFmtId="2" fontId="53" fillId="3" borderId="15" xfId="0" applyNumberFormat="1" applyFont="1" applyFill="1" applyBorder="1" applyAlignment="1">
      <alignment horizontal="right" vertical="center"/>
    </xf>
    <xf numFmtId="2" fontId="51" fillId="0" borderId="21" xfId="1" applyNumberFormat="1" applyFont="1" applyFill="1" applyBorder="1" applyAlignment="1">
      <alignment vertical="center"/>
    </xf>
    <xf numFmtId="0" fontId="53" fillId="8" borderId="12" xfId="1" applyFont="1" applyFill="1" applyBorder="1"/>
    <xf numFmtId="10" fontId="53" fillId="8" borderId="12" xfId="2" applyNumberFormat="1" applyFont="1" applyFill="1" applyBorder="1"/>
    <xf numFmtId="9" fontId="53" fillId="8" borderId="12" xfId="1" applyNumberFormat="1" applyFont="1" applyFill="1" applyBorder="1"/>
    <xf numFmtId="43" fontId="51" fillId="0" borderId="0" xfId="1" applyNumberFormat="1" applyFont="1" applyAlignment="1">
      <alignment vertical="center"/>
    </xf>
    <xf numFmtId="0" fontId="51" fillId="0" borderId="0" xfId="1" applyFont="1" applyFill="1" applyBorder="1"/>
    <xf numFmtId="0" fontId="51" fillId="0" borderId="21" xfId="1" applyFont="1" applyFill="1" applyBorder="1"/>
    <xf numFmtId="0" fontId="51" fillId="0" borderId="0" xfId="1" applyFont="1" applyFill="1"/>
    <xf numFmtId="0" fontId="63" fillId="0" borderId="0" xfId="1" applyFont="1" applyBorder="1" applyAlignment="1">
      <alignment horizontal="left" indent="1"/>
    </xf>
    <xf numFmtId="165" fontId="63" fillId="0" borderId="0" xfId="1" applyNumberFormat="1" applyFont="1" applyBorder="1" applyAlignment="1">
      <alignment vertical="center"/>
    </xf>
    <xf numFmtId="0" fontId="63" fillId="0" borderId="0" xfId="1" applyFont="1" applyBorder="1"/>
    <xf numFmtId="0" fontId="51" fillId="0" borderId="15" xfId="0" applyFont="1" applyFill="1" applyBorder="1" applyAlignment="1">
      <alignment horizontal="right"/>
    </xf>
    <xf numFmtId="0" fontId="53" fillId="0" borderId="0" xfId="1" applyFont="1" applyBorder="1" applyAlignment="1">
      <alignment horizontal="left" indent="1"/>
    </xf>
    <xf numFmtId="165" fontId="53" fillId="0" borderId="0" xfId="2" applyNumberFormat="1" applyFont="1" applyBorder="1"/>
    <xf numFmtId="9" fontId="51" fillId="0" borderId="0" xfId="1" applyNumberFormat="1" applyFont="1" applyBorder="1"/>
    <xf numFmtId="0" fontId="64" fillId="0" borderId="15" xfId="0" applyFont="1" applyFill="1" applyBorder="1" applyAlignment="1">
      <alignment horizontal="right"/>
    </xf>
    <xf numFmtId="0" fontId="57" fillId="0" borderId="2" xfId="0" applyFont="1" applyBorder="1" applyAlignment="1">
      <alignment horizontal="left" indent="1"/>
    </xf>
    <xf numFmtId="165" fontId="65" fillId="0" borderId="2" xfId="2" applyNumberFormat="1" applyFont="1" applyBorder="1" applyAlignment="1">
      <alignment horizontal="center" vertical="center"/>
    </xf>
    <xf numFmtId="167" fontId="66" fillId="0" borderId="2" xfId="0" applyNumberFormat="1" applyFont="1" applyBorder="1"/>
    <xf numFmtId="10" fontId="51" fillId="0" borderId="15" xfId="2" applyNumberFormat="1" applyFont="1" applyFill="1" applyBorder="1" applyAlignment="1">
      <alignment horizontal="right"/>
    </xf>
    <xf numFmtId="0" fontId="51" fillId="0" borderId="0" xfId="1" applyFont="1" applyBorder="1" applyAlignment="1">
      <alignment horizontal="left" indent="1"/>
    </xf>
    <xf numFmtId="165" fontId="53" fillId="0" borderId="0" xfId="1" applyNumberFormat="1" applyFont="1" applyBorder="1" applyAlignment="1">
      <alignment vertical="center"/>
    </xf>
    <xf numFmtId="172" fontId="66" fillId="0" borderId="2" xfId="0" applyNumberFormat="1" applyFont="1" applyBorder="1"/>
    <xf numFmtId="10" fontId="53" fillId="3" borderId="15" xfId="2" applyNumberFormat="1" applyFont="1" applyFill="1" applyBorder="1" applyAlignment="1">
      <alignment horizontal="right"/>
    </xf>
    <xf numFmtId="9" fontId="51" fillId="8" borderId="12" xfId="1" applyNumberFormat="1" applyFont="1" applyFill="1" applyBorder="1"/>
    <xf numFmtId="10" fontId="51" fillId="0" borderId="15" xfId="0" applyNumberFormat="1" applyFont="1" applyFill="1" applyBorder="1" applyAlignment="1">
      <alignment horizontal="right"/>
    </xf>
    <xf numFmtId="0" fontId="51" fillId="0" borderId="0" xfId="1" applyFont="1" applyBorder="1" applyAlignment="1">
      <alignment horizontal="right"/>
    </xf>
    <xf numFmtId="8" fontId="57" fillId="0" borderId="0" xfId="0" applyNumberFormat="1" applyFont="1"/>
    <xf numFmtId="0" fontId="55" fillId="12" borderId="16" xfId="0" applyFont="1" applyFill="1" applyBorder="1"/>
    <xf numFmtId="15" fontId="56" fillId="12" borderId="14" xfId="0" applyNumberFormat="1" applyFont="1" applyFill="1" applyBorder="1" applyAlignment="1">
      <alignment horizontal="right"/>
    </xf>
    <xf numFmtId="0" fontId="54" fillId="0" borderId="15" xfId="10" applyFont="1" applyBorder="1"/>
    <xf numFmtId="0" fontId="51" fillId="0" borderId="0" xfId="1" applyFont="1" applyAlignment="1">
      <alignment horizontal="right"/>
    </xf>
    <xf numFmtId="0" fontId="51" fillId="0" borderId="22" xfId="1" applyFont="1" applyBorder="1"/>
    <xf numFmtId="0" fontId="51" fillId="0" borderId="23" xfId="1" applyFont="1" applyBorder="1"/>
    <xf numFmtId="0" fontId="51" fillId="0" borderId="24" xfId="1" applyFont="1" applyBorder="1"/>
    <xf numFmtId="0" fontId="67" fillId="0" borderId="0" xfId="0" applyFont="1"/>
    <xf numFmtId="0" fontId="67" fillId="0" borderId="0" xfId="0" applyFont="1" applyAlignment="1">
      <alignment horizontal="right" vertical="center" wrapText="1"/>
    </xf>
    <xf numFmtId="0" fontId="67" fillId="0" borderId="0" xfId="0" applyFont="1" applyAlignment="1">
      <alignment horizontal="center"/>
    </xf>
    <xf numFmtId="0" fontId="68" fillId="3" borderId="0" xfId="0" applyFont="1" applyFill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center" vertical="center"/>
    </xf>
    <xf numFmtId="0" fontId="68" fillId="0" borderId="0" xfId="0" applyFont="1" applyAlignment="1">
      <alignment vertical="center"/>
    </xf>
    <xf numFmtId="0" fontId="67" fillId="0" borderId="0" xfId="0" applyFont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9" fillId="2" borderId="1" xfId="0" applyFont="1" applyFill="1" applyBorder="1" applyAlignment="1">
      <alignment vertical="center"/>
    </xf>
    <xf numFmtId="0" fontId="70" fillId="2" borderId="1" xfId="0" applyFont="1" applyFill="1" applyBorder="1" applyAlignment="1">
      <alignment horizontal="center" vertical="center" wrapText="1"/>
    </xf>
    <xf numFmtId="0" fontId="70" fillId="0" borderId="0" xfId="0" applyFont="1"/>
    <xf numFmtId="3" fontId="69" fillId="2" borderId="1" xfId="0" applyNumberFormat="1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68" fillId="4" borderId="1" xfId="0" applyFont="1" applyFill="1" applyBorder="1" applyAlignment="1">
      <alignment vertical="center"/>
    </xf>
    <xf numFmtId="0" fontId="67" fillId="4" borderId="1" xfId="0" applyFont="1" applyFill="1" applyBorder="1" applyAlignment="1">
      <alignment horizontal="right" vertical="center" wrapText="1"/>
    </xf>
    <xf numFmtId="0" fontId="67" fillId="4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left" vertical="center" indent="1"/>
    </xf>
    <xf numFmtId="3" fontId="67" fillId="4" borderId="1" xfId="0" applyNumberFormat="1" applyFont="1" applyFill="1" applyBorder="1" applyAlignment="1">
      <alignment horizontal="center" vertical="center"/>
    </xf>
    <xf numFmtId="0" fontId="67" fillId="4" borderId="1" xfId="0" applyFont="1" applyFill="1" applyBorder="1" applyAlignment="1">
      <alignment vertical="center"/>
    </xf>
    <xf numFmtId="0" fontId="67" fillId="0" borderId="2" xfId="0" applyFont="1" applyBorder="1" applyAlignment="1">
      <alignment vertical="center"/>
    </xf>
    <xf numFmtId="41" fontId="67" fillId="0" borderId="2" xfId="0" applyNumberFormat="1" applyFont="1" applyBorder="1" applyAlignment="1">
      <alignment horizontal="right" vertical="center" wrapText="1"/>
    </xf>
    <xf numFmtId="41" fontId="67" fillId="0" borderId="2" xfId="0" applyNumberFormat="1" applyFont="1" applyBorder="1" applyAlignment="1">
      <alignment horizontal="center" vertical="center" wrapText="1"/>
    </xf>
    <xf numFmtId="41" fontId="67" fillId="0" borderId="2" xfId="0" applyNumberFormat="1" applyFont="1" applyBorder="1" applyAlignment="1">
      <alignment vertical="center"/>
    </xf>
    <xf numFmtId="3" fontId="67" fillId="0" borderId="2" xfId="0" applyNumberFormat="1" applyFont="1" applyBorder="1" applyAlignment="1">
      <alignment horizontal="center" vertical="center"/>
    </xf>
    <xf numFmtId="169" fontId="67" fillId="0" borderId="2" xfId="0" applyNumberFormat="1" applyFont="1" applyFill="1" applyBorder="1" applyAlignment="1">
      <alignment vertical="center"/>
    </xf>
    <xf numFmtId="0" fontId="68" fillId="6" borderId="2" xfId="0" applyFont="1" applyFill="1" applyBorder="1" applyAlignment="1">
      <alignment horizontal="left" vertical="center" wrapText="1"/>
    </xf>
    <xf numFmtId="41" fontId="68" fillId="6" borderId="2" xfId="0" applyNumberFormat="1" applyFont="1" applyFill="1" applyBorder="1" applyAlignment="1">
      <alignment horizontal="right" vertical="center" wrapText="1"/>
    </xf>
    <xf numFmtId="41" fontId="68" fillId="6" borderId="2" xfId="0" applyNumberFormat="1" applyFont="1" applyFill="1" applyBorder="1" applyAlignment="1">
      <alignment horizontal="center" vertical="center" wrapText="1"/>
    </xf>
    <xf numFmtId="41" fontId="68" fillId="6" borderId="2" xfId="0" applyNumberFormat="1" applyFont="1" applyFill="1" applyBorder="1" applyAlignment="1">
      <alignment horizontal="left" vertical="center" wrapText="1"/>
    </xf>
    <xf numFmtId="3" fontId="68" fillId="6" borderId="2" xfId="0" applyNumberFormat="1" applyFont="1" applyFill="1" applyBorder="1" applyAlignment="1">
      <alignment horizontal="center" vertical="center"/>
    </xf>
    <xf numFmtId="169" fontId="68" fillId="6" borderId="2" xfId="0" applyNumberFormat="1" applyFont="1" applyFill="1" applyBorder="1" applyAlignment="1">
      <alignment vertical="center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right"/>
    </xf>
    <xf numFmtId="169" fontId="67" fillId="0" borderId="0" xfId="0" applyNumberFormat="1" applyFont="1"/>
    <xf numFmtId="169" fontId="67" fillId="4" borderId="1" xfId="0" applyNumberFormat="1" applyFont="1" applyFill="1" applyBorder="1" applyAlignment="1">
      <alignment vertical="center"/>
    </xf>
    <xf numFmtId="41" fontId="67" fillId="0" borderId="2" xfId="0" applyNumberFormat="1" applyFont="1" applyBorder="1" applyAlignment="1">
      <alignment horizontal="right" vertical="center"/>
    </xf>
    <xf numFmtId="41" fontId="67" fillId="0" borderId="2" xfId="0" applyNumberFormat="1" applyFont="1" applyBorder="1" applyAlignment="1">
      <alignment horizontal="center" vertical="center"/>
    </xf>
    <xf numFmtId="164" fontId="67" fillId="0" borderId="2" xfId="0" applyNumberFormat="1" applyFont="1" applyBorder="1" applyAlignment="1">
      <alignment horizontal="right" vertical="center"/>
    </xf>
    <xf numFmtId="2" fontId="67" fillId="0" borderId="2" xfId="0" applyNumberFormat="1" applyFont="1" applyBorder="1" applyAlignment="1">
      <alignment horizontal="right" vertical="center"/>
    </xf>
    <xf numFmtId="3" fontId="68" fillId="0" borderId="2" xfId="0" applyNumberFormat="1" applyFont="1" applyBorder="1" applyAlignment="1">
      <alignment horizontal="center" vertical="center"/>
    </xf>
    <xf numFmtId="169" fontId="67" fillId="0" borderId="2" xfId="0" applyNumberFormat="1" applyFont="1" applyBorder="1" applyAlignment="1">
      <alignment horizontal="right" vertical="center"/>
    </xf>
    <xf numFmtId="0" fontId="67" fillId="0" borderId="0" xfId="0" applyFont="1" applyAlignment="1">
      <alignment horizontal="left" vertical="center" wrapText="1" indent="1"/>
    </xf>
    <xf numFmtId="168" fontId="67" fillId="0" borderId="0" xfId="0" applyNumberFormat="1" applyFont="1" applyAlignment="1">
      <alignment horizontal="right" vertical="center" wrapText="1"/>
    </xf>
    <xf numFmtId="41" fontId="67" fillId="0" borderId="0" xfId="0" applyNumberFormat="1" applyFont="1" applyAlignment="1">
      <alignment horizontal="right" vertical="center" wrapText="1"/>
    </xf>
    <xf numFmtId="44" fontId="67" fillId="0" borderId="0" xfId="0" applyNumberFormat="1" applyFont="1" applyAlignment="1">
      <alignment horizontal="right" vertical="center" wrapText="1"/>
    </xf>
    <xf numFmtId="171" fontId="67" fillId="0" borderId="0" xfId="0" applyNumberFormat="1" applyFont="1" applyAlignment="1">
      <alignment horizontal="right" vertical="center" wrapText="1"/>
    </xf>
    <xf numFmtId="3" fontId="67" fillId="0" borderId="0" xfId="0" applyNumberFormat="1" applyFont="1" applyAlignment="1">
      <alignment horizontal="center" vertical="center" wrapText="1"/>
    </xf>
    <xf numFmtId="169" fontId="67" fillId="0" borderId="0" xfId="0" applyNumberFormat="1" applyFont="1" applyFill="1"/>
    <xf numFmtId="171" fontId="67" fillId="0" borderId="2" xfId="0" applyNumberFormat="1" applyFont="1" applyBorder="1" applyAlignment="1">
      <alignment horizontal="right" vertical="center"/>
    </xf>
    <xf numFmtId="169" fontId="67" fillId="0" borderId="2" xfId="0" applyNumberFormat="1" applyFont="1" applyFill="1" applyBorder="1" applyAlignment="1">
      <alignment horizontal="right" vertical="center"/>
    </xf>
    <xf numFmtId="2" fontId="67" fillId="0" borderId="0" xfId="0" applyNumberFormat="1" applyFont="1" applyAlignment="1">
      <alignment horizontal="right" vertical="center" wrapText="1"/>
    </xf>
    <xf numFmtId="44" fontId="67" fillId="0" borderId="2" xfId="0" applyNumberFormat="1" applyFont="1" applyBorder="1" applyAlignment="1">
      <alignment horizontal="right" vertical="center"/>
    </xf>
    <xf numFmtId="0" fontId="67" fillId="0" borderId="2" xfId="0" applyFont="1" applyFill="1" applyBorder="1" applyAlignment="1">
      <alignment vertical="center"/>
    </xf>
    <xf numFmtId="41" fontId="67" fillId="0" borderId="2" xfId="0" applyNumberFormat="1" applyFont="1" applyFill="1" applyBorder="1" applyAlignment="1">
      <alignment horizontal="right" vertical="center"/>
    </xf>
    <xf numFmtId="41" fontId="67" fillId="0" borderId="2" xfId="0" applyNumberFormat="1" applyFont="1" applyFill="1" applyBorder="1" applyAlignment="1">
      <alignment horizontal="center" vertical="center"/>
    </xf>
    <xf numFmtId="44" fontId="67" fillId="0" borderId="2" xfId="0" applyNumberFormat="1" applyFont="1" applyFill="1" applyBorder="1" applyAlignment="1">
      <alignment horizontal="right" vertical="center"/>
    </xf>
    <xf numFmtId="2" fontId="67" fillId="0" borderId="2" xfId="0" applyNumberFormat="1" applyFont="1" applyFill="1" applyBorder="1" applyAlignment="1">
      <alignment horizontal="right" vertical="center"/>
    </xf>
    <xf numFmtId="0" fontId="67" fillId="0" borderId="0" xfId="0" applyFont="1" applyFill="1"/>
    <xf numFmtId="3" fontId="67" fillId="0" borderId="2" xfId="0" applyNumberFormat="1" applyFont="1" applyFill="1" applyBorder="1" applyAlignment="1">
      <alignment horizontal="right" vertical="center"/>
    </xf>
    <xf numFmtId="164" fontId="67" fillId="0" borderId="0" xfId="0" applyNumberFormat="1" applyFont="1" applyAlignment="1">
      <alignment horizontal="right" vertical="center" wrapText="1"/>
    </xf>
    <xf numFmtId="3" fontId="67" fillId="0" borderId="0" xfId="0" applyNumberFormat="1" applyFont="1" applyAlignment="1">
      <alignment horizontal="right" vertical="center" wrapText="1"/>
    </xf>
    <xf numFmtId="3" fontId="67" fillId="0" borderId="0" xfId="0" applyNumberFormat="1" applyFont="1" applyAlignment="1">
      <alignment vertical="center" wrapText="1"/>
    </xf>
    <xf numFmtId="9" fontId="67" fillId="0" borderId="2" xfId="2" applyFont="1" applyBorder="1" applyAlignment="1">
      <alignment horizontal="right" vertical="center"/>
    </xf>
    <xf numFmtId="169" fontId="67" fillId="0" borderId="0" xfId="0" applyNumberFormat="1" applyFont="1" applyAlignment="1">
      <alignment horizontal="left" vertical="center" indent="1"/>
    </xf>
    <xf numFmtId="0" fontId="68" fillId="6" borderId="2" xfId="0" applyFont="1" applyFill="1" applyBorder="1" applyAlignment="1">
      <alignment horizontal="right" vertical="center" wrapText="1"/>
    </xf>
    <xf numFmtId="0" fontId="68" fillId="6" borderId="2" xfId="0" applyFont="1" applyFill="1" applyBorder="1" applyAlignment="1">
      <alignment horizontal="center" vertical="center" wrapText="1"/>
    </xf>
    <xf numFmtId="0" fontId="67" fillId="0" borderId="2" xfId="0" applyFont="1" applyBorder="1"/>
    <xf numFmtId="0" fontId="67" fillId="0" borderId="2" xfId="0" applyFont="1" applyBorder="1" applyAlignment="1">
      <alignment horizontal="right" vertical="center" wrapText="1"/>
    </xf>
    <xf numFmtId="0" fontId="67" fillId="0" borderId="2" xfId="0" applyFont="1" applyBorder="1" applyAlignment="1">
      <alignment horizontal="center" vertical="center" wrapText="1"/>
    </xf>
    <xf numFmtId="3" fontId="71" fillId="0" borderId="2" xfId="0" applyNumberFormat="1" applyFont="1" applyBorder="1" applyAlignment="1">
      <alignment horizontal="center" vertical="center"/>
    </xf>
    <xf numFmtId="166" fontId="70" fillId="0" borderId="0" xfId="8" applyNumberFormat="1" applyFont="1" applyAlignment="1">
      <alignment horizontal="center"/>
    </xf>
    <xf numFmtId="0" fontId="69" fillId="0" borderId="0" xfId="0" applyFont="1" applyAlignment="1">
      <alignment horizontal="center" vertical="center"/>
    </xf>
    <xf numFmtId="170" fontId="69" fillId="0" borderId="0" xfId="0" applyNumberFormat="1" applyFont="1" applyAlignment="1">
      <alignment horizontal="center" vertical="center"/>
    </xf>
    <xf numFmtId="0" fontId="72" fillId="0" borderId="0" xfId="0" applyFont="1" applyBorder="1" applyAlignment="1">
      <alignment horizontal="justify" vertical="center"/>
    </xf>
    <xf numFmtId="41" fontId="72" fillId="0" borderId="0" xfId="0" applyNumberFormat="1" applyFont="1"/>
    <xf numFmtId="41" fontId="72" fillId="0" borderId="0" xfId="0" applyNumberFormat="1" applyFont="1" applyAlignment="1">
      <alignment horizontal="justify" vertical="center"/>
    </xf>
    <xf numFmtId="0" fontId="72" fillId="0" borderId="0" xfId="0" applyFont="1"/>
    <xf numFmtId="0" fontId="72" fillId="0" borderId="0" xfId="0" applyFont="1" applyBorder="1" applyAlignment="1"/>
    <xf numFmtId="0" fontId="0" fillId="0" borderId="0" xfId="0" applyFont="1"/>
    <xf numFmtId="0" fontId="74" fillId="0" borderId="0" xfId="0" applyFont="1"/>
    <xf numFmtId="0" fontId="7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2" fillId="0" borderId="0" xfId="0" applyFont="1"/>
    <xf numFmtId="3" fontId="11" fillId="5" borderId="6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3" fontId="68" fillId="5" borderId="6" xfId="0" applyNumberFormat="1" applyFont="1" applyFill="1" applyBorder="1" applyAlignment="1">
      <alignment horizontal="center" vertical="center"/>
    </xf>
    <xf numFmtId="0" fontId="68" fillId="5" borderId="6" xfId="0" applyFont="1" applyFill="1" applyBorder="1" applyAlignment="1">
      <alignment horizontal="center" vertical="center"/>
    </xf>
    <xf numFmtId="0" fontId="51" fillId="0" borderId="43" xfId="1" applyFont="1" applyBorder="1" applyAlignment="1">
      <alignment horizontal="center"/>
    </xf>
    <xf numFmtId="0" fontId="51" fillId="0" borderId="2" xfId="1" applyFont="1" applyBorder="1" applyAlignment="1">
      <alignment horizontal="center"/>
    </xf>
    <xf numFmtId="0" fontId="51" fillId="0" borderId="44" xfId="1" applyFont="1" applyBorder="1" applyAlignment="1">
      <alignment horizontal="center"/>
    </xf>
    <xf numFmtId="0" fontId="24" fillId="13" borderId="27" xfId="0" applyFont="1" applyFill="1" applyBorder="1" applyAlignment="1">
      <alignment horizontal="center" wrapText="1" readingOrder="1"/>
    </xf>
    <xf numFmtId="0" fontId="24" fillId="13" borderId="29" xfId="0" applyFont="1" applyFill="1" applyBorder="1" applyAlignment="1">
      <alignment horizontal="center" wrapText="1" readingOrder="1"/>
    </xf>
    <xf numFmtId="0" fontId="24" fillId="13" borderId="28" xfId="0" applyFont="1" applyFill="1" applyBorder="1" applyAlignment="1">
      <alignment horizontal="center" wrapText="1" readingOrder="1"/>
    </xf>
    <xf numFmtId="0" fontId="24" fillId="13" borderId="41" xfId="0" applyFont="1" applyFill="1" applyBorder="1" applyAlignment="1">
      <alignment horizontal="center" wrapText="1" readingOrder="1"/>
    </xf>
    <xf numFmtId="0" fontId="24" fillId="13" borderId="42" xfId="0" applyFont="1" applyFill="1" applyBorder="1" applyAlignment="1">
      <alignment horizontal="center" wrapText="1" readingOrder="1"/>
    </xf>
    <xf numFmtId="0" fontId="24" fillId="13" borderId="30" xfId="0" applyFont="1" applyFill="1" applyBorder="1" applyAlignment="1">
      <alignment horizontal="center" vertical="center" wrapText="1" readingOrder="1"/>
    </xf>
    <xf numFmtId="0" fontId="24" fillId="13" borderId="31" xfId="0" applyFont="1" applyFill="1" applyBorder="1" applyAlignment="1">
      <alignment horizontal="center" vertical="center" wrapText="1" readingOrder="1"/>
    </xf>
  </cellXfs>
  <cellStyles count="11">
    <cellStyle name="Comma" xfId="8" builtinId="3"/>
    <cellStyle name="Hyperlink" xfId="10" builtinId="8"/>
    <cellStyle name="Normal" xfId="0" builtinId="0"/>
    <cellStyle name="Normal 2" xfId="1" xr:uid="{00000000-0005-0000-0000-000003000000}"/>
    <cellStyle name="Normal 3" xfId="6" xr:uid="{00000000-0005-0000-0000-000004000000}"/>
    <cellStyle name="Normal 4" xfId="9" xr:uid="{00000000-0005-0000-0000-000005000000}"/>
    <cellStyle name="Percent" xfId="2" builtinId="5"/>
    <cellStyle name="Percent 2" xfId="7" xr:uid="{00000000-0005-0000-0000-000007000000}"/>
    <cellStyle name="Обычный 14" xfId="3" xr:uid="{00000000-0005-0000-0000-000008000000}"/>
    <cellStyle name="Обычный 2 10" xfId="4" xr:uid="{00000000-0005-0000-0000-000009000000}"/>
    <cellStyle name="Обычный 2 5" xfId="5" xr:uid="{00000000-0005-0000-0000-00000A000000}"/>
  </cellStyles>
  <dxfs count="1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2EC853"/>
      <color rgb="FF09F1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100"/>
              <a:t>Структура себестоимости по статьям затрат</a:t>
            </a:r>
            <a:endParaRPr lang="en-US" sz="1100"/>
          </a:p>
        </c:rich>
      </c:tx>
      <c:layout>
        <c:manualLayout>
          <c:xMode val="edge"/>
          <c:yMode val="edge"/>
          <c:x val="5.48722678344548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21549976141952E-2"/>
          <c:y val="0.16396207591993167"/>
          <c:w val="0.4437157072902122"/>
          <c:h val="0.8204682853540609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38-481D-9C65-04C7357163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38-481D-9C65-04C7357163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38-481D-9C65-04C7357163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38-481D-9C65-04C7357163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38-481D-9C65-04C7357163A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38-481D-9C65-04C7357163A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38-481D-9C65-04C7357163A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838-481D-9C65-04C7357163A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838-481D-9C65-04C7357163A4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38-481D-9C65-04C7357163A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38-481D-9C65-04C7357163A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38-481D-9C65-04C7357163A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38-481D-9C65-04C7357163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RU!$P$20:$P$28</c:f>
              <c:strCache>
                <c:ptCount val="9"/>
                <c:pt idx="0">
                  <c:v>Персонал произв. (в т.ч. питание и налоги)</c:v>
                </c:pt>
                <c:pt idx="1">
                  <c:v>ГСМ</c:v>
                </c:pt>
                <c:pt idx="2">
                  <c:v>Cодержание пчелосемьи </c:v>
                </c:pt>
                <c:pt idx="3">
                  <c:v>Сезонные полевые работы</c:v>
                </c:pt>
                <c:pt idx="4">
                  <c:v>Электроэнергия</c:v>
                </c:pt>
                <c:pt idx="5">
                  <c:v>Уборка и вывоз семян</c:v>
                </c:pt>
                <c:pt idx="6">
                  <c:v>Ремонт техники</c:v>
                </c:pt>
                <c:pt idx="7">
                  <c:v>Уголь</c:v>
                </c:pt>
                <c:pt idx="8">
                  <c:v>Текущие расходы лаборатории</c:v>
                </c:pt>
              </c:strCache>
            </c:strRef>
          </c:cat>
          <c:val>
            <c:numRef>
              <c:f>RU!$Q$20:$Q$28</c:f>
              <c:numCache>
                <c:formatCode>_(* #,##0_);_(* \(#,##0\);_(* "-"_);_(@_)</c:formatCode>
                <c:ptCount val="9"/>
                <c:pt idx="0">
                  <c:v>6548.28</c:v>
                </c:pt>
                <c:pt idx="1">
                  <c:v>719.96428571428544</c:v>
                </c:pt>
                <c:pt idx="2">
                  <c:v>558.33333333333326</c:v>
                </c:pt>
                <c:pt idx="3">
                  <c:v>335</c:v>
                </c:pt>
                <c:pt idx="4">
                  <c:v>264</c:v>
                </c:pt>
                <c:pt idx="5">
                  <c:v>210.10499999999996</c:v>
                </c:pt>
                <c:pt idx="6">
                  <c:v>185.6</c:v>
                </c:pt>
                <c:pt idx="7">
                  <c:v>72</c:v>
                </c:pt>
                <c:pt idx="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838-481D-9C65-04C735716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596483292638383"/>
          <c:y val="0.18746342642101663"/>
          <c:w val="0.49378617490046123"/>
          <c:h val="0.737979408386517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100"/>
              <a:t>Валовая маржа</a:t>
            </a:r>
            <a:r>
              <a:rPr lang="ru-RU" sz="1100" b="0" i="0" u="none" strike="noStrike" baseline="0">
                <a:effectLst/>
              </a:rPr>
              <a:t>, тыс. долл. США</a:t>
            </a:r>
            <a:endParaRPr lang="en-US" sz="1100"/>
          </a:p>
        </c:rich>
      </c:tx>
      <c:layout>
        <c:manualLayout>
          <c:xMode val="edge"/>
          <c:yMode val="edge"/>
          <c:x val="0.1951402127365658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RU!$I$36:$N$36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3636.1299793887706</c:v>
                </c:pt>
                <c:pt idx="2">
                  <c:v>5110.2367277896237</c:v>
                </c:pt>
                <c:pt idx="3">
                  <c:v>7075.7123923240943</c:v>
                </c:pt>
                <c:pt idx="4">
                  <c:v>8549.8191407249469</c:v>
                </c:pt>
                <c:pt idx="5">
                  <c:v>8549.8191407249469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B-4F32-993D-5952C2262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64108376"/>
        <c:axId val="1164102104"/>
      </c:barChart>
      <c:catAx>
        <c:axId val="1164108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02104"/>
        <c:crosses val="autoZero"/>
        <c:auto val="1"/>
        <c:lblAlgn val="ctr"/>
        <c:lblOffset val="100"/>
        <c:noMultiLvlLbl val="0"/>
      </c:catAx>
      <c:valAx>
        <c:axId val="116410210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08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EBITDA</a:t>
            </a:r>
            <a:r>
              <a:rPr lang="ru-RU" sz="1100" b="0" i="0" u="none" strike="noStrike" baseline="0">
                <a:effectLst/>
              </a:rPr>
              <a:t>, тыс. долл. США</a:t>
            </a:r>
            <a:endParaRPr lang="en-US" sz="1100"/>
          </a:p>
        </c:rich>
      </c:tx>
      <c:layout>
        <c:manualLayout>
          <c:xMode val="edge"/>
          <c:yMode val="edge"/>
          <c:x val="0.204663175413487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RU!$P$36:$U$36</c:f>
              <c:numCache>
                <c:formatCode>_(* #,##0_);_(* \(#,##0\);_(* "-"_);_(@_)</c:formatCode>
                <c:ptCount val="6"/>
                <c:pt idx="0">
                  <c:v>-451.86</c:v>
                </c:pt>
                <c:pt idx="1">
                  <c:v>3184.2699793887705</c:v>
                </c:pt>
                <c:pt idx="2">
                  <c:v>4650.1867277896235</c:v>
                </c:pt>
                <c:pt idx="3">
                  <c:v>6615.6623923240941</c:v>
                </c:pt>
                <c:pt idx="4">
                  <c:v>8089.7691407249467</c:v>
                </c:pt>
                <c:pt idx="5">
                  <c:v>8089.7691407249467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6-4040-A280-6BEE5E1E7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64108768"/>
        <c:axId val="1164103672"/>
      </c:barChart>
      <c:catAx>
        <c:axId val="116410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03672"/>
        <c:crosses val="autoZero"/>
        <c:auto val="1"/>
        <c:lblAlgn val="ctr"/>
        <c:lblOffset val="100"/>
        <c:noMultiLvlLbl val="0"/>
      </c:catAx>
      <c:valAx>
        <c:axId val="1164103672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0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100"/>
              <a:t>Чистая прибыль</a:t>
            </a:r>
            <a:r>
              <a:rPr lang="ru-RU" sz="1100" b="0" i="0" u="none" strike="noStrike" baseline="0">
                <a:effectLst/>
              </a:rPr>
              <a:t>, тыс. долл. США</a:t>
            </a:r>
            <a:endParaRPr lang="en-US" sz="1100"/>
          </a:p>
        </c:rich>
      </c:tx>
      <c:layout>
        <c:manualLayout>
          <c:xMode val="edge"/>
          <c:yMode val="edge"/>
          <c:x val="0.183261611555956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3.4755308941856831E-3"/>
                  <c:y val="0.21412522308843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7-430A-9CEC-A8547150A834}"/>
                </c:ext>
              </c:extLst>
            </c:dLbl>
            <c:dLbl>
              <c:idx val="5"/>
              <c:layout>
                <c:manualLayout>
                  <c:x val="-6.9510617883713662E-3"/>
                  <c:y val="0.195231821051217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07-430A-9CEC-A8547150A8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RU!$W$36:$AB$36</c:f>
              <c:numCache>
                <c:formatCode>_(* #,##0_);_(* \(#,##0\);_(* "-"_);_(@_)</c:formatCode>
                <c:ptCount val="6"/>
                <c:pt idx="0">
                  <c:v>-1267.5049206349206</c:v>
                </c:pt>
                <c:pt idx="1">
                  <c:v>669.67420573323875</c:v>
                </c:pt>
                <c:pt idx="2">
                  <c:v>1606.1968108031276</c:v>
                </c:pt>
                <c:pt idx="3">
                  <c:v>2920.3373424307038</c:v>
                </c:pt>
                <c:pt idx="4">
                  <c:v>3964.5141697228146</c:v>
                </c:pt>
                <c:pt idx="5">
                  <c:v>4102.7541697228153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7-430A-9CEC-A8547150A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64113472"/>
        <c:axId val="1164120920"/>
      </c:barChart>
      <c:lineChart>
        <c:grouping val="stacke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5.1957818548825961E-3"/>
                  <c:y val="1.78069074476203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07-430A-9CEC-A8547150A8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'P&amp;L, CashFlow'!$D$13:$I$13</c:f>
              <c:numCache>
                <c:formatCode>0%</c:formatCode>
                <c:ptCount val="6"/>
                <c:pt idx="0">
                  <c:v>0</c:v>
                </c:pt>
                <c:pt idx="1">
                  <c:v>0.14479442286124081</c:v>
                </c:pt>
                <c:pt idx="2">
                  <c:v>0.24710720166201963</c:v>
                </c:pt>
                <c:pt idx="3">
                  <c:v>0.32448192693674488</c:v>
                </c:pt>
                <c:pt idx="4">
                  <c:v>0.36455302710094845</c:v>
                </c:pt>
                <c:pt idx="5">
                  <c:v>0.37726475123887959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07-430A-9CEC-A8547150A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21704"/>
        <c:axId val="1164111512"/>
      </c:lineChart>
      <c:catAx>
        <c:axId val="116411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20920"/>
        <c:crosses val="autoZero"/>
        <c:auto val="1"/>
        <c:lblAlgn val="ctr"/>
        <c:lblOffset val="100"/>
        <c:noMultiLvlLbl val="0"/>
      </c:catAx>
      <c:valAx>
        <c:axId val="1164120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13472"/>
        <c:crosses val="autoZero"/>
        <c:crossBetween val="between"/>
      </c:valAx>
      <c:valAx>
        <c:axId val="116411151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21704"/>
        <c:crosses val="max"/>
        <c:crossBetween val="between"/>
      </c:valAx>
      <c:catAx>
        <c:axId val="1164121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164111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100"/>
              <a:t>Операционный денежный поток</a:t>
            </a:r>
            <a:r>
              <a:rPr lang="ru-RU" sz="1100" b="0" i="0" u="none" strike="noStrike" baseline="0">
                <a:effectLst/>
              </a:rPr>
              <a:t>, тыс. долл. США</a:t>
            </a:r>
            <a:endParaRPr lang="en-US" sz="1100"/>
          </a:p>
        </c:rich>
      </c:tx>
      <c:layout>
        <c:manualLayout>
          <c:xMode val="edge"/>
          <c:yMode val="edge"/>
          <c:x val="2.692500980245971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RU!$B$51:$G$51</c:f>
              <c:numCache>
                <c:formatCode>_(* #,##0_);_(* \(#,##0\);_(* "-"??_);_(@_)</c:formatCode>
                <c:ptCount val="6"/>
                <c:pt idx="0">
                  <c:v>-1503.5432142857144</c:v>
                </c:pt>
                <c:pt idx="1">
                  <c:v>2360.1815676143096</c:v>
                </c:pt>
                <c:pt idx="2">
                  <c:v>3709.8109163468366</c:v>
                </c:pt>
                <c:pt idx="3">
                  <c:v>6007.1924501066105</c:v>
                </c:pt>
                <c:pt idx="4">
                  <c:v>7461.2982432835834</c:v>
                </c:pt>
                <c:pt idx="5">
                  <c:v>7545.3882432835835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5-43BB-A96C-2FC689167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164122488"/>
        <c:axId val="1164123272"/>
      </c:barChart>
      <c:catAx>
        <c:axId val="116412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23272"/>
        <c:crosses val="autoZero"/>
        <c:auto val="1"/>
        <c:lblAlgn val="ctr"/>
        <c:lblOffset val="100"/>
        <c:noMultiLvlLbl val="0"/>
      </c:catAx>
      <c:valAx>
        <c:axId val="1164123272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224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RU!$I$51</c:f>
              <c:strCache>
                <c:ptCount val="1"/>
                <c:pt idx="0">
                  <c:v>Получение (+), возврат (-) льготного кредита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30E-4D2C-B093-BC06349CD5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RU!$I$52:$N$52</c:f>
              <c:numCache>
                <c:formatCode>_(* #,##0_);_(* \(#,##0\);_(* "-"_);_(@_)</c:formatCode>
                <c:ptCount val="6"/>
                <c:pt idx="0">
                  <c:v>5500</c:v>
                </c:pt>
                <c:pt idx="1">
                  <c:v>3150</c:v>
                </c:pt>
                <c:pt idx="2">
                  <c:v>-600</c:v>
                </c:pt>
                <c:pt idx="3">
                  <c:v>-1550</c:v>
                </c:pt>
                <c:pt idx="4">
                  <c:v>-2600</c:v>
                </c:pt>
                <c:pt idx="5">
                  <c:v>-3900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0E-4D2C-B093-BC06349CD52D}"/>
            </c:ext>
          </c:extLst>
        </c:ser>
        <c:ser>
          <c:idx val="1"/>
          <c:order val="1"/>
          <c:tx>
            <c:strRef>
              <c:f>RU!$I$53</c:f>
              <c:strCache>
                <c:ptCount val="1"/>
                <c:pt idx="0">
                  <c:v>Получение (+), возврат (-) банковского кредита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RU!$I$54:$N$54</c:f>
              <c:numCache>
                <c:formatCode>_(* #,##0_);_(* \(#,##0\);_(* "-"??_);_(@_)</c:formatCode>
                <c:ptCount val="6"/>
                <c:pt idx="0">
                  <c:v>5500</c:v>
                </c:pt>
                <c:pt idx="1">
                  <c:v>3150</c:v>
                </c:pt>
                <c:pt idx="2">
                  <c:v>-600</c:v>
                </c:pt>
                <c:pt idx="3">
                  <c:v>-1650</c:v>
                </c:pt>
                <c:pt idx="4">
                  <c:v>-2800</c:v>
                </c:pt>
                <c:pt idx="5">
                  <c:v>-3600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0E-4D2C-B093-BC06349C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64112688"/>
        <c:axId val="1164116608"/>
      </c:barChart>
      <c:lineChart>
        <c:grouping val="stacked"/>
        <c:varyColors val="0"/>
        <c:ser>
          <c:idx val="2"/>
          <c:order val="2"/>
          <c:tx>
            <c:strRef>
              <c:f>RU!$I$56</c:f>
              <c:strCache>
                <c:ptCount val="1"/>
                <c:pt idx="0">
                  <c:v>Всего получение (+), выплата кредитов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902475015547068E-2"/>
                  <c:y val="-2.9442562425216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0E-4D2C-B093-BC06349CD52D}"/>
                </c:ext>
              </c:extLst>
            </c:dLbl>
            <c:dLbl>
              <c:idx val="1"/>
              <c:layout>
                <c:manualLayout>
                  <c:x val="-4.3994320590720656E-2"/>
                  <c:y val="-3.3747128808716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0E-4D2C-B093-BC06349CD52D}"/>
                </c:ext>
              </c:extLst>
            </c:dLbl>
            <c:dLbl>
              <c:idx val="3"/>
              <c:layout>
                <c:manualLayout>
                  <c:x val="-5.1013379886021858E-2"/>
                  <c:y val="3.131901170913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0E-4D2C-B093-BC06349CD52D}"/>
                </c:ext>
              </c:extLst>
            </c:dLbl>
            <c:dLbl>
              <c:idx val="4"/>
              <c:layout>
                <c:manualLayout>
                  <c:x val="-4.9851933346207987E-2"/>
                  <c:y val="2.8228503875423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0E-4D2C-B093-BC06349CD52D}"/>
                </c:ext>
              </c:extLst>
            </c:dLbl>
            <c:dLbl>
              <c:idx val="5"/>
              <c:layout>
                <c:manualLayout>
                  <c:x val="-4.5206161728534672E-2"/>
                  <c:y val="3.3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0E-4D2C-B093-BC06349CD5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RU!$I$57:$N$57</c:f>
              <c:numCache>
                <c:formatCode>_(* #,##0_);_(* \(#,##0\);_(* "-"_);_(@_)</c:formatCode>
                <c:ptCount val="6"/>
                <c:pt idx="0">
                  <c:v>11000</c:v>
                </c:pt>
                <c:pt idx="1">
                  <c:v>6300</c:v>
                </c:pt>
                <c:pt idx="2">
                  <c:v>-1200</c:v>
                </c:pt>
                <c:pt idx="3">
                  <c:v>-3200</c:v>
                </c:pt>
                <c:pt idx="4">
                  <c:v>-5400</c:v>
                </c:pt>
                <c:pt idx="5">
                  <c:v>-7500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0E-4D2C-B093-BC06349C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12688"/>
        <c:axId val="1164116608"/>
      </c:lineChart>
      <c:catAx>
        <c:axId val="1164112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4116608"/>
        <c:crosses val="autoZero"/>
        <c:auto val="1"/>
        <c:lblAlgn val="ctr"/>
        <c:lblOffset val="100"/>
        <c:noMultiLvlLbl val="0"/>
      </c:catAx>
      <c:valAx>
        <c:axId val="116411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100"/>
              <a:t>Выплата процентов по кредитам</a:t>
            </a:r>
            <a:r>
              <a:rPr lang="ru-RU" sz="1100" b="0" i="0" u="none" strike="noStrike" baseline="0">
                <a:effectLst/>
              </a:rPr>
              <a:t>, тыс. долл. США</a:t>
            </a:r>
            <a:endParaRPr lang="en-US" sz="1100"/>
          </a:p>
        </c:rich>
      </c:tx>
      <c:layout>
        <c:manualLayout>
          <c:xMode val="edge"/>
          <c:yMode val="edge"/>
          <c:x val="2.707392269154905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RU!$P$54:$U$54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415.2</c:v>
                </c:pt>
                <c:pt idx="2">
                  <c:v>386.40000000000003</c:v>
                </c:pt>
                <c:pt idx="3">
                  <c:v>307.2</c:v>
                </c:pt>
                <c:pt idx="4">
                  <c:v>172.8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2-4D19-A680-B010B829F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164122096"/>
        <c:axId val="1164123664"/>
      </c:barChart>
      <c:catAx>
        <c:axId val="116412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23664"/>
        <c:crosses val="autoZero"/>
        <c:auto val="1"/>
        <c:lblAlgn val="ctr"/>
        <c:lblOffset val="100"/>
        <c:noMultiLvlLbl val="0"/>
      </c:catAx>
      <c:valAx>
        <c:axId val="116412366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2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100"/>
              <a:t>Налоговые отчисления</a:t>
            </a:r>
            <a:r>
              <a:rPr lang="ru-RU" sz="1100" b="0" i="0" u="none" strike="noStrike" baseline="0">
                <a:effectLst/>
              </a:rPr>
              <a:t>, тыс. долл. США</a:t>
            </a:r>
            <a:endParaRPr lang="en-US" sz="1100"/>
          </a:p>
        </c:rich>
      </c:tx>
      <c:layout>
        <c:manualLayout>
          <c:xMode val="edge"/>
          <c:yMode val="edge"/>
          <c:x val="1.98233510640065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RU!$A$81</c:f>
              <c:strCache>
                <c:ptCount val="1"/>
                <c:pt idx="0">
                  <c:v>Налоги на фонд оплаты труда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RU!$B$81:$G$81</c:f>
              <c:numCache>
                <c:formatCode>_(* #,##0_);_(* \(#,##0\);_(* "-"_);_(@_)</c:formatCode>
                <c:ptCount val="6"/>
                <c:pt idx="0">
                  <c:v>185.04000000000002</c:v>
                </c:pt>
                <c:pt idx="1">
                  <c:v>224.28</c:v>
                </c:pt>
                <c:pt idx="2">
                  <c:v>263.96999999999997</c:v>
                </c:pt>
                <c:pt idx="3">
                  <c:v>263.96999999999997</c:v>
                </c:pt>
                <c:pt idx="4">
                  <c:v>298.17</c:v>
                </c:pt>
                <c:pt idx="5">
                  <c:v>332.37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7-4E2D-8BF2-7628C924F7A1}"/>
            </c:ext>
          </c:extLst>
        </c:ser>
        <c:ser>
          <c:idx val="1"/>
          <c:order val="1"/>
          <c:tx>
            <c:strRef>
              <c:f>RU!$A$82</c:f>
              <c:strCache>
                <c:ptCount val="1"/>
                <c:pt idx="0">
                  <c:v>Налог на прибыль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RU!$B$82:$G$82</c:f>
              <c:numCache>
                <c:formatCode>_(* #,##0_);_(* \(#,##0\);_(* "-"_);_(@_)</c:formatCode>
                <c:ptCount val="6"/>
                <c:pt idx="0">
                  <c:v>0</c:v>
                </c:pt>
                <c:pt idx="1">
                  <c:v>167.41855143330969</c:v>
                </c:pt>
                <c:pt idx="2">
                  <c:v>401.54920270078196</c:v>
                </c:pt>
                <c:pt idx="3">
                  <c:v>730.08433560767605</c:v>
                </c:pt>
                <c:pt idx="4">
                  <c:v>991.12854243070365</c:v>
                </c:pt>
                <c:pt idx="5">
                  <c:v>1025.6885424307038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57-4E2D-8BF2-7628C924F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4112296"/>
        <c:axId val="1164118568"/>
      </c:barChart>
      <c:lineChart>
        <c:grouping val="stacked"/>
        <c:varyColors val="0"/>
        <c:ser>
          <c:idx val="2"/>
          <c:order val="2"/>
          <c:tx>
            <c:strRef>
              <c:f>RU!$A$83</c:f>
              <c:strCache>
                <c:ptCount val="1"/>
                <c:pt idx="0">
                  <c:v>Всего налоги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RU!$B$83:$G$83</c:f>
              <c:numCache>
                <c:formatCode>_(* #,##0_);_(* \(#,##0\);_(* "-"_);_(@_)</c:formatCode>
                <c:ptCount val="6"/>
                <c:pt idx="0">
                  <c:v>185.04000000000002</c:v>
                </c:pt>
                <c:pt idx="1">
                  <c:v>391.69855143330972</c:v>
                </c:pt>
                <c:pt idx="2">
                  <c:v>665.51920270078199</c:v>
                </c:pt>
                <c:pt idx="3">
                  <c:v>994.05433560767597</c:v>
                </c:pt>
                <c:pt idx="4">
                  <c:v>1289.2985424307037</c:v>
                </c:pt>
                <c:pt idx="5">
                  <c:v>1358.0585424307037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7-4E2D-8BF2-7628C924F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12296"/>
        <c:axId val="1164118568"/>
      </c:lineChart>
      <c:catAx>
        <c:axId val="1164112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18568"/>
        <c:crosses val="autoZero"/>
        <c:auto val="1"/>
        <c:lblAlgn val="ctr"/>
        <c:lblOffset val="100"/>
        <c:noMultiLvlLbl val="0"/>
      </c:catAx>
      <c:valAx>
        <c:axId val="116411856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12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100"/>
              <a:t>Точка безубыточности, тонн</a:t>
            </a:r>
            <a:endParaRPr lang="en-US" sz="1100"/>
          </a:p>
        </c:rich>
      </c:tx>
      <c:layout>
        <c:manualLayout>
          <c:xMode val="edge"/>
          <c:yMode val="edge"/>
          <c:x val="0.3189613950430418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Объем производства</c:v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RU!$B$20:$G$20</c:f>
              <c:numCache>
                <c:formatCode>_(* #,##0_);_(* \(#,##0\);_(* "-"_);_(@_)</c:formatCode>
                <c:ptCount val="6"/>
                <c:pt idx="0">
                  <c:v>0</c:v>
                </c:pt>
                <c:pt idx="1">
                  <c:v>925</c:v>
                </c:pt>
                <c:pt idx="2">
                  <c:v>1300</c:v>
                </c:pt>
                <c:pt idx="3">
                  <c:v>1800</c:v>
                </c:pt>
                <c:pt idx="4">
                  <c:v>2175</c:v>
                </c:pt>
                <c:pt idx="5">
                  <c:v>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8-4952-A1FA-95A72B228229}"/>
            </c:ext>
          </c:extLst>
        </c:ser>
        <c:ser>
          <c:idx val="1"/>
          <c:order val="1"/>
          <c:tx>
            <c:v>Точка безубыточности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CVP!$E$43:$J$43</c:f>
              <c:numCache>
                <c:formatCode>0</c:formatCode>
                <c:ptCount val="6"/>
                <c:pt idx="1">
                  <c:v>779.06181145795347</c:v>
                </c:pt>
                <c:pt idx="2">
                  <c:v>848.50266111877693</c:v>
                </c:pt>
                <c:pt idx="3">
                  <c:v>871.11267721401771</c:v>
                </c:pt>
                <c:pt idx="4">
                  <c:v>917.48826909291938</c:v>
                </c:pt>
                <c:pt idx="5">
                  <c:v>882.94290973132922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F8-4952-A1FA-95A72B228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"/>
        <c:axId val="1164113864"/>
        <c:axId val="1164114256"/>
      </c:barChart>
      <c:catAx>
        <c:axId val="1164113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14256"/>
        <c:crosses val="autoZero"/>
        <c:auto val="1"/>
        <c:lblAlgn val="ctr"/>
        <c:lblOffset val="100"/>
        <c:noMultiLvlLbl val="0"/>
      </c:catAx>
      <c:valAx>
        <c:axId val="1164114256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13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100"/>
              <a:t>Постоянные и переменные затраты</a:t>
            </a:r>
            <a:r>
              <a:rPr lang="ru-RU" sz="1100" b="0" i="0" u="none" strike="noStrike" baseline="0">
                <a:effectLst/>
              </a:rPr>
              <a:t>, тыс. долл. США</a:t>
            </a:r>
            <a:endParaRPr lang="en-US" sz="1100"/>
          </a:p>
        </c:rich>
      </c:tx>
      <c:layout>
        <c:manualLayout>
          <c:xMode val="edge"/>
          <c:yMode val="edge"/>
          <c:x val="0.1220096763876443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RU!$O$83</c:f>
              <c:strCache>
                <c:ptCount val="1"/>
                <c:pt idx="0">
                  <c:v>Постоянные затраты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RU!$P$83:$U$83</c:f>
              <c:numCache>
                <c:formatCode>_(* #,##0.00_);_(* \(#,##0.00\);_(* "-"??_);_(@_)</c:formatCode>
                <c:ptCount val="6"/>
                <c:pt idx="0">
                  <c:v>1.618499084059045</c:v>
                </c:pt>
                <c:pt idx="1">
                  <c:v>3.1796136267166037</c:v>
                </c:pt>
                <c:pt idx="2">
                  <c:v>3.4867170115922268</c:v>
                </c:pt>
                <c:pt idx="3">
                  <c:v>3.8255170115922263</c:v>
                </c:pt>
                <c:pt idx="4">
                  <c:v>4.0063404883359919</c:v>
                </c:pt>
                <c:pt idx="5">
                  <c:v>3.8334910589532316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E-483C-9ADA-FC0960CE59AA}"/>
            </c:ext>
          </c:extLst>
        </c:ser>
        <c:ser>
          <c:idx val="0"/>
          <c:order val="1"/>
          <c:tx>
            <c:strRef>
              <c:f>RU!$O$82</c:f>
              <c:strCache>
                <c:ptCount val="1"/>
                <c:pt idx="0">
                  <c:v>Переменные затраты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RU!$P$82:$U$82</c:f>
              <c:numCache>
                <c:formatCode>_(* #,##0.00_);_(* \(#,##0.00\);_(* "-"??_);_(@_)</c:formatCode>
                <c:ptCount val="6"/>
                <c:pt idx="0">
                  <c:v>0.70068905086158983</c:v>
                </c:pt>
                <c:pt idx="1">
                  <c:v>0.84976347645799877</c:v>
                </c:pt>
                <c:pt idx="2">
                  <c:v>1.1579635836458688</c:v>
                </c:pt>
                <c:pt idx="3">
                  <c:v>1.0952469169792018</c:v>
                </c:pt>
                <c:pt idx="4">
                  <c:v>1.3775591545211505</c:v>
                </c:pt>
                <c:pt idx="5">
                  <c:v>1.4317585839039106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EE-483C-9ADA-FC0960CE5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64115432"/>
        <c:axId val="1164115824"/>
      </c:barChart>
      <c:lineChart>
        <c:grouping val="stacked"/>
        <c:varyColors val="0"/>
        <c:ser>
          <c:idx val="2"/>
          <c:order val="2"/>
          <c:tx>
            <c:strRef>
              <c:f>RU!$O$84</c:f>
              <c:strCache>
                <c:ptCount val="1"/>
                <c:pt idx="0">
                  <c:v>Всего затраты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RU!$P$84:$U$84</c:f>
              <c:numCache>
                <c:formatCode>_(* #,##0.00_);_(* \(#,##0.00\);_(* "-"??_);_(@_)</c:formatCode>
                <c:ptCount val="6"/>
                <c:pt idx="0">
                  <c:v>2.3191881349206347</c:v>
                </c:pt>
                <c:pt idx="1">
                  <c:v>4.0293771031746024</c:v>
                </c:pt>
                <c:pt idx="2">
                  <c:v>4.6446805952380954</c:v>
                </c:pt>
                <c:pt idx="3">
                  <c:v>4.9207639285714286</c:v>
                </c:pt>
                <c:pt idx="4">
                  <c:v>5.3838996428571422</c:v>
                </c:pt>
                <c:pt idx="5">
                  <c:v>5.2652496428571425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EE-483C-9ADA-FC0960CE5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15432"/>
        <c:axId val="1164115824"/>
      </c:lineChart>
      <c:catAx>
        <c:axId val="116411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115824"/>
        <c:crosses val="autoZero"/>
        <c:auto val="1"/>
        <c:lblAlgn val="ctr"/>
        <c:lblOffset val="100"/>
        <c:noMultiLvlLbl val="0"/>
      </c:catAx>
      <c:valAx>
        <c:axId val="116411582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15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100"/>
              <a:t>Переменные</a:t>
            </a:r>
            <a:r>
              <a:rPr lang="ru-RU" sz="1100" baseline="0"/>
              <a:t> затраты </a:t>
            </a:r>
            <a:r>
              <a:rPr lang="en-US" sz="1100"/>
              <a:t>vs. </a:t>
            </a:r>
            <a:r>
              <a:rPr lang="ru-RU" sz="1100"/>
              <a:t>маржа на единицу продукции</a:t>
            </a:r>
            <a:r>
              <a:rPr lang="en-US" sz="1100" baseline="0"/>
              <a:t>, </a:t>
            </a:r>
            <a:r>
              <a:rPr lang="ru-RU" sz="1100" baseline="0"/>
              <a:t>долл. США</a:t>
            </a:r>
            <a:r>
              <a:rPr lang="en-US" sz="1100" baseline="0"/>
              <a:t> / </a:t>
            </a:r>
            <a:r>
              <a:rPr lang="ru-RU" sz="1100" baseline="0"/>
              <a:t>кг</a:t>
            </a:r>
            <a:endParaRPr lang="en-US" sz="1100"/>
          </a:p>
        </c:rich>
      </c:tx>
      <c:layout>
        <c:manualLayout>
          <c:xMode val="edge"/>
          <c:yMode val="edge"/>
          <c:x val="7.6812560263382519E-3"/>
          <c:y val="1.670565840953586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Переменные затраты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CVP!$E$39:$J$39</c:f>
              <c:numCache>
                <c:formatCode>_(* #,##0.00_);_(* \(#,##0.00\);_(* "-"_);_(@_)</c:formatCode>
                <c:ptCount val="6"/>
                <c:pt idx="1">
                  <c:v>0.9186632177924311</c:v>
                </c:pt>
                <c:pt idx="2">
                  <c:v>0.89074121818912977</c:v>
                </c:pt>
                <c:pt idx="3">
                  <c:v>0.60847050943288994</c:v>
                </c:pt>
                <c:pt idx="4">
                  <c:v>0.63336053081432209</c:v>
                </c:pt>
                <c:pt idx="5">
                  <c:v>0.65827980869145319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9-4A2C-AF26-3BDC6655A251}"/>
            </c:ext>
          </c:extLst>
        </c:ser>
        <c:ser>
          <c:idx val="1"/>
          <c:order val="1"/>
          <c:tx>
            <c:v>Маржа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CVP!$E$41:$J$41</c:f>
              <c:numCache>
                <c:formatCode>_(* #,##0.00_);_(* \(#,##0.00\);_(* "-"??_);_(@_)</c:formatCode>
                <c:ptCount val="6"/>
                <c:pt idx="1">
                  <c:v>4.0813367822075692</c:v>
                </c:pt>
                <c:pt idx="2">
                  <c:v>4.1092587818108699</c:v>
                </c:pt>
                <c:pt idx="3">
                  <c:v>4.3915294905671098</c:v>
                </c:pt>
                <c:pt idx="4">
                  <c:v>4.366639469185678</c:v>
                </c:pt>
                <c:pt idx="5">
                  <c:v>4.3417201913085464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59-4A2C-AF26-3BDC6655A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64119352"/>
        <c:axId val="1164119744"/>
      </c:barChart>
      <c:lineChart>
        <c:grouping val="stacked"/>
        <c:varyColors val="0"/>
        <c:ser>
          <c:idx val="2"/>
          <c:order val="2"/>
          <c:tx>
            <c:v>Цена продажи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CVP!$E$40:$J$40</c:f>
              <c:numCache>
                <c:formatCode>_(* #,##0.00_);_(* \(#,##0.00\);_(* "-"_);_(@_)</c:formatCode>
                <c:ptCount val="6"/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9-4A2C-AF26-3BDC6655A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19352"/>
        <c:axId val="1164119744"/>
      </c:lineChart>
      <c:catAx>
        <c:axId val="116411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119744"/>
        <c:crosses val="autoZero"/>
        <c:auto val="1"/>
        <c:lblAlgn val="ctr"/>
        <c:lblOffset val="100"/>
        <c:noMultiLvlLbl val="0"/>
      </c:catAx>
      <c:valAx>
        <c:axId val="1164119744"/>
        <c:scaling>
          <c:orientation val="minMax"/>
        </c:scaling>
        <c:delete val="1"/>
        <c:axPos val="l"/>
        <c:numFmt formatCode="_(* #,##0.00_);_(* \(#,##0.00\);_(* &quot;-&quot;_);_(@_)" sourceLinked="1"/>
        <c:majorTickMark val="none"/>
        <c:minorTickMark val="none"/>
        <c:tickLblPos val="nextTo"/>
        <c:crossAx val="1164119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100"/>
              <a:t>Необходимые инвестиции, тыс. долл. США</a:t>
            </a:r>
            <a:endParaRPr lang="en-US" sz="1100"/>
          </a:p>
        </c:rich>
      </c:tx>
      <c:layout>
        <c:manualLayout>
          <c:xMode val="edge"/>
          <c:yMode val="edge"/>
          <c:x val="0.2711764991245826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RU!$B$4:$G$4</c:f>
              <c:numCache>
                <c:formatCode>_(* #,##0_);_(* \(#,##0\);_(* "-"??_);_(@_)</c:formatCode>
                <c:ptCount val="6"/>
                <c:pt idx="0">
                  <c:v>9438.5166666666664</c:v>
                </c:pt>
                <c:pt idx="1">
                  <c:v>8650.6833333333343</c:v>
                </c:pt>
                <c:pt idx="2">
                  <c:v>2494.6666666666656</c:v>
                </c:pt>
                <c:pt idx="3">
                  <c:v>2814.0000000000005</c:v>
                </c:pt>
                <c:pt idx="4">
                  <c:v>2123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E-4D77-864A-F6972DDF4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164110728"/>
        <c:axId val="1164101712"/>
      </c:barChart>
      <c:catAx>
        <c:axId val="116411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01712"/>
        <c:crosses val="autoZero"/>
        <c:auto val="1"/>
        <c:lblAlgn val="ctr"/>
        <c:lblOffset val="100"/>
        <c:noMultiLvlLbl val="0"/>
      </c:catAx>
      <c:valAx>
        <c:axId val="1164101712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10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RU!$J$104</c:f>
              <c:strCache>
                <c:ptCount val="1"/>
                <c:pt idx="0">
                  <c:v>Операционный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RU!$C$3:$G$3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RU!$K$104:$O$104</c:f>
              <c:numCache>
                <c:formatCode>_(* #,##0_);_(* \(#,##0\);_(* "-"??_);_(@_)</c:formatCode>
                <c:ptCount val="5"/>
                <c:pt idx="0">
                  <c:v>2360.1815676143096</c:v>
                </c:pt>
                <c:pt idx="1">
                  <c:v>3709.8109163468366</c:v>
                </c:pt>
                <c:pt idx="2">
                  <c:v>6007.1924501066105</c:v>
                </c:pt>
                <c:pt idx="3">
                  <c:v>7461.2982432835834</c:v>
                </c:pt>
                <c:pt idx="4">
                  <c:v>7545.3882432835835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7-4F61-A307-F0FEC907A5B7}"/>
            </c:ext>
          </c:extLst>
        </c:ser>
        <c:ser>
          <c:idx val="0"/>
          <c:order val="1"/>
          <c:tx>
            <c:strRef>
              <c:f>RU!$J$105</c:f>
              <c:strCache>
                <c:ptCount val="1"/>
                <c:pt idx="0">
                  <c:v>Инвестиционный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3.0555555555555555E-2"/>
                  <c:y val="-4.629629629629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C7-4F61-A307-F0FEC907A5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RU!$C$3:$G$3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RU!$K$105:$O$105</c:f>
              <c:numCache>
                <c:formatCode>_(* #,##0_);_(* \(#,##0\);_(* "-"??_);_(@_)</c:formatCode>
                <c:ptCount val="5"/>
                <c:pt idx="0">
                  <c:v>-8650.6833333333343</c:v>
                </c:pt>
                <c:pt idx="1">
                  <c:v>-2494.6666666666656</c:v>
                </c:pt>
                <c:pt idx="2">
                  <c:v>-2814.0000000000005</c:v>
                </c:pt>
                <c:pt idx="3">
                  <c:v>-2123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C7-4F61-A307-F0FEC907A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64128368"/>
        <c:axId val="1164126408"/>
      </c:barChart>
      <c:lineChart>
        <c:grouping val="standard"/>
        <c:varyColors val="0"/>
        <c:ser>
          <c:idx val="2"/>
          <c:order val="2"/>
          <c:tx>
            <c:strRef>
              <c:f>RU!$J$106</c:f>
              <c:strCache>
                <c:ptCount val="1"/>
                <c:pt idx="0">
                  <c:v>Свободный денежный поток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  <a:tailEnd type="triangle"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RU!$K$106:$O$106</c:f>
              <c:numCache>
                <c:formatCode>_(* #,##0_);_(* \(#,##0\);_(* "-"??_);_(@_)</c:formatCode>
                <c:ptCount val="5"/>
                <c:pt idx="0">
                  <c:v>-6290.5017657190247</c:v>
                </c:pt>
                <c:pt idx="1">
                  <c:v>1215.144249680171</c:v>
                </c:pt>
                <c:pt idx="2">
                  <c:v>3193.1924501066101</c:v>
                </c:pt>
                <c:pt idx="3">
                  <c:v>5338.2982432835834</c:v>
                </c:pt>
                <c:pt idx="4">
                  <c:v>7545.3882432835835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7-4F61-A307-F0FEC907A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28368"/>
        <c:axId val="1164126408"/>
      </c:lineChart>
      <c:catAx>
        <c:axId val="116412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126408"/>
        <c:crosses val="autoZero"/>
        <c:auto val="1"/>
        <c:lblAlgn val="ctr"/>
        <c:lblOffset val="100"/>
        <c:noMultiLvlLbl val="0"/>
      </c:catAx>
      <c:valAx>
        <c:axId val="11641264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2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RU!$R$100:$AA$100</c:f>
              <c:strCache>
                <c:ptCount val="10"/>
                <c:pt idx="0">
                  <c:v>Год 1</c:v>
                </c:pt>
                <c:pt idx="1">
                  <c:v>Год 2</c:v>
                </c:pt>
                <c:pt idx="2">
                  <c:v>Год 3</c:v>
                </c:pt>
                <c:pt idx="3">
                  <c:v>Год 4</c:v>
                </c:pt>
                <c:pt idx="4">
                  <c:v>Год 5</c:v>
                </c:pt>
                <c:pt idx="5">
                  <c:v>Год 6</c:v>
                </c:pt>
                <c:pt idx="6">
                  <c:v>Год 7</c:v>
                </c:pt>
                <c:pt idx="7">
                  <c:v>Год 8</c:v>
                </c:pt>
                <c:pt idx="8">
                  <c:v>Год 9</c:v>
                </c:pt>
                <c:pt idx="9">
                  <c:v>Год 10</c:v>
                </c:pt>
              </c:strCache>
            </c:strRef>
          </c:cat>
          <c:val>
            <c:numRef>
              <c:f>WACC!$O$8:$X$8</c:f>
              <c:numCache>
                <c:formatCode>_(* #,##0.00_);_(* \(#,##0.00\);_(* "-"_);_(@_)</c:formatCode>
                <c:ptCount val="10"/>
                <c:pt idx="0">
                  <c:v>-10.94205988095238</c:v>
                </c:pt>
                <c:pt idx="1">
                  <c:v>-6.290501765719025</c:v>
                </c:pt>
                <c:pt idx="2">
                  <c:v>1.215144249680171</c:v>
                </c:pt>
                <c:pt idx="3">
                  <c:v>3.19319245010661</c:v>
                </c:pt>
                <c:pt idx="4">
                  <c:v>5.3382982432835835</c:v>
                </c:pt>
                <c:pt idx="5">
                  <c:v>7.5453882432835835</c:v>
                </c:pt>
                <c:pt idx="6">
                  <c:v>7.5453882432835835</c:v>
                </c:pt>
                <c:pt idx="7">
                  <c:v>7.5453882432835835</c:v>
                </c:pt>
                <c:pt idx="8">
                  <c:v>7.5453882432835835</c:v>
                </c:pt>
                <c:pt idx="9">
                  <c:v>7.5453882432835835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5-4F8A-B26F-8784BF88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1164124448"/>
        <c:axId val="1164132288"/>
      </c:barChart>
      <c:catAx>
        <c:axId val="116412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132288"/>
        <c:crosses val="autoZero"/>
        <c:auto val="1"/>
        <c:lblAlgn val="ctr"/>
        <c:lblOffset val="100"/>
        <c:noMultiLvlLbl val="0"/>
      </c:catAx>
      <c:valAx>
        <c:axId val="1164132288"/>
        <c:scaling>
          <c:orientation val="minMax"/>
        </c:scaling>
        <c:delete val="1"/>
        <c:axPos val="l"/>
        <c:numFmt formatCode="_(* #,##0.00_);_(* \(#,##0.00\);_(* &quot;-&quot;_);_(@_)" sourceLinked="1"/>
        <c:majorTickMark val="none"/>
        <c:minorTickMark val="none"/>
        <c:tickLblPos val="nextTo"/>
        <c:crossAx val="116412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100"/>
              <a:t>Количество сотрудников, чел.</a:t>
            </a:r>
            <a:endParaRPr lang="en-US" sz="1100"/>
          </a:p>
        </c:rich>
      </c:tx>
      <c:layout>
        <c:manualLayout>
          <c:xMode val="edge"/>
          <c:yMode val="edge"/>
          <c:x val="0.315183965403039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RU!$B$122</c:f>
              <c:strCache>
                <c:ptCount val="1"/>
                <c:pt idx="0">
                  <c:v>Агрохозяйство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RU!$C$122:$H$122</c:f>
              <c:numCache>
                <c:formatCode>#,##0</c:formatCode>
                <c:ptCount val="6"/>
                <c:pt idx="0">
                  <c:v>12</c:v>
                </c:pt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A-44CE-91AC-FA1C45191C20}"/>
            </c:ext>
          </c:extLst>
        </c:ser>
        <c:ser>
          <c:idx val="1"/>
          <c:order val="1"/>
          <c:tx>
            <c:strRef>
              <c:f>RU!$B$123</c:f>
              <c:strCache>
                <c:ptCount val="1"/>
                <c:pt idx="0">
                  <c:v>Пасека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RU!$C$123:$H$123</c:f>
              <c:numCache>
                <c:formatCode>#,##0</c:formatCode>
                <c:ptCount val="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A-44CE-91AC-FA1C45191C20}"/>
            </c:ext>
          </c:extLst>
        </c:ser>
        <c:ser>
          <c:idx val="2"/>
          <c:order val="2"/>
          <c:tx>
            <c:strRef>
              <c:f>RU!$B$124</c:f>
              <c:strCache>
                <c:ptCount val="1"/>
                <c:pt idx="0">
                  <c:v>Завод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RU!$C$124:$H$124</c:f>
              <c:numCache>
                <c:formatCode>#,##0</c:formatCode>
                <c:ptCount val="6"/>
                <c:pt idx="0">
                  <c:v>27</c:v>
                </c:pt>
                <c:pt idx="1">
                  <c:v>27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A-44CE-91AC-FA1C45191C20}"/>
            </c:ext>
          </c:extLst>
        </c:ser>
        <c:ser>
          <c:idx val="3"/>
          <c:order val="3"/>
          <c:tx>
            <c:strRef>
              <c:f>RU!$B$125</c:f>
              <c:strCache>
                <c:ptCount val="1"/>
                <c:pt idx="0">
                  <c:v>Лаборатория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RU!$C$125:$H$125</c:f>
              <c:numCache>
                <c:formatCode>#,##0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8A-44CE-91AC-FA1C45191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4130328"/>
        <c:axId val="1164135424"/>
      </c:barChart>
      <c:lineChart>
        <c:grouping val="standard"/>
        <c:varyColors val="0"/>
        <c:ser>
          <c:idx val="4"/>
          <c:order val="4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RU!$C$121:$H$121</c:f>
              <c:numCache>
                <c:formatCode>#,##0</c:formatCode>
                <c:ptCount val="6"/>
                <c:pt idx="0">
                  <c:v>74</c:v>
                </c:pt>
                <c:pt idx="1">
                  <c:v>87</c:v>
                </c:pt>
                <c:pt idx="2">
                  <c:v>101</c:v>
                </c:pt>
                <c:pt idx="3">
                  <c:v>101</c:v>
                </c:pt>
                <c:pt idx="4">
                  <c:v>111</c:v>
                </c:pt>
                <c:pt idx="5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8A-44CE-91AC-FA1C45191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30328"/>
        <c:axId val="1164135424"/>
      </c:lineChart>
      <c:catAx>
        <c:axId val="116413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35424"/>
        <c:crosses val="autoZero"/>
        <c:auto val="1"/>
        <c:lblAlgn val="ctr"/>
        <c:lblOffset val="100"/>
        <c:noMultiLvlLbl val="0"/>
      </c:catAx>
      <c:valAx>
        <c:axId val="116413542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30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100"/>
              <a:t>Бюджет заработной платы, тыс. долл. США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RU!$B$122</c:f>
              <c:strCache>
                <c:ptCount val="1"/>
                <c:pt idx="0">
                  <c:v>Агрохозяйство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RU!$C$128:$H$128</c:f>
              <c:numCache>
                <c:formatCode>0</c:formatCode>
                <c:ptCount val="6"/>
                <c:pt idx="0">
                  <c:v>91.800000000000011</c:v>
                </c:pt>
                <c:pt idx="1">
                  <c:v>108.60000000000001</c:v>
                </c:pt>
                <c:pt idx="2">
                  <c:v>115.8</c:v>
                </c:pt>
                <c:pt idx="3">
                  <c:v>115.8</c:v>
                </c:pt>
                <c:pt idx="4">
                  <c:v>115.8</c:v>
                </c:pt>
                <c:pt idx="5">
                  <c:v>115.8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8-4F65-9AF7-A5BE10FD38D6}"/>
            </c:ext>
          </c:extLst>
        </c:ser>
        <c:ser>
          <c:idx val="1"/>
          <c:order val="1"/>
          <c:tx>
            <c:strRef>
              <c:f>RU!$B$123</c:f>
              <c:strCache>
                <c:ptCount val="1"/>
                <c:pt idx="0">
                  <c:v>Пасека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RU!$C$129:$H$129</c:f>
              <c:numCache>
                <c:formatCode>0</c:formatCode>
                <c:ptCount val="6"/>
                <c:pt idx="0">
                  <c:v>320.40000000000003</c:v>
                </c:pt>
                <c:pt idx="1">
                  <c:v>440.40000000000003</c:v>
                </c:pt>
                <c:pt idx="2">
                  <c:v>560.4</c:v>
                </c:pt>
                <c:pt idx="3">
                  <c:v>560.4</c:v>
                </c:pt>
                <c:pt idx="4">
                  <c:v>680.4</c:v>
                </c:pt>
                <c:pt idx="5">
                  <c:v>800.4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8-4F65-9AF7-A5BE10FD38D6}"/>
            </c:ext>
          </c:extLst>
        </c:ser>
        <c:ser>
          <c:idx val="2"/>
          <c:order val="2"/>
          <c:tx>
            <c:strRef>
              <c:f>RU!$B$124</c:f>
              <c:strCache>
                <c:ptCount val="1"/>
                <c:pt idx="0">
                  <c:v>Завод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RU!$C$130:$H$130</c:f>
              <c:numCache>
                <c:formatCode>0</c:formatCode>
                <c:ptCount val="6"/>
                <c:pt idx="0">
                  <c:v>199.8</c:v>
                </c:pt>
                <c:pt idx="1">
                  <c:v>199.8</c:v>
                </c:pt>
                <c:pt idx="2">
                  <c:v>210.90000000000003</c:v>
                </c:pt>
                <c:pt idx="3">
                  <c:v>210.90000000000003</c:v>
                </c:pt>
                <c:pt idx="4">
                  <c:v>210.90000000000003</c:v>
                </c:pt>
                <c:pt idx="5">
                  <c:v>210.90000000000003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E8-4F65-9AF7-A5BE10FD38D6}"/>
            </c:ext>
          </c:extLst>
        </c:ser>
        <c:ser>
          <c:idx val="3"/>
          <c:order val="3"/>
          <c:tx>
            <c:strRef>
              <c:f>RU!$B$125</c:f>
              <c:strCache>
                <c:ptCount val="1"/>
                <c:pt idx="0">
                  <c:v>Лаборатория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RU!$C$131:$H$131</c:f>
              <c:numCache>
                <c:formatCode>0</c:formatCode>
                <c:ptCount val="6"/>
                <c:pt idx="0">
                  <c:v>40.799999999999997</c:v>
                </c:pt>
                <c:pt idx="1">
                  <c:v>40.799999999999997</c:v>
                </c:pt>
                <c:pt idx="2">
                  <c:v>40.799999999999997</c:v>
                </c:pt>
                <c:pt idx="3">
                  <c:v>40.799999999999997</c:v>
                </c:pt>
                <c:pt idx="4">
                  <c:v>40.799999999999997</c:v>
                </c:pt>
                <c:pt idx="5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E8-4F65-9AF7-A5BE10FD3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4127976"/>
        <c:axId val="1164130720"/>
      </c:barChart>
      <c:lineChart>
        <c:grouping val="standard"/>
        <c:varyColors val="0"/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RU!$C$127:$H$127</c:f>
              <c:numCache>
                <c:formatCode>0</c:formatCode>
                <c:ptCount val="6"/>
                <c:pt idx="0">
                  <c:v>652.79999999999995</c:v>
                </c:pt>
                <c:pt idx="1">
                  <c:v>789.59999999999991</c:v>
                </c:pt>
                <c:pt idx="2">
                  <c:v>927.89999999999986</c:v>
                </c:pt>
                <c:pt idx="3">
                  <c:v>927.89999999999986</c:v>
                </c:pt>
                <c:pt idx="4">
                  <c:v>1047.8999999999999</c:v>
                </c:pt>
                <c:pt idx="5">
                  <c:v>1167.8999999999999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8-4F65-9AF7-A5BE10FD3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27976"/>
        <c:axId val="1164130720"/>
      </c:lineChart>
      <c:catAx>
        <c:axId val="1164127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30720"/>
        <c:crosses val="autoZero"/>
        <c:auto val="1"/>
        <c:lblAlgn val="ctr"/>
        <c:lblOffset val="100"/>
        <c:noMultiLvlLbl val="0"/>
      </c:catAx>
      <c:valAx>
        <c:axId val="116413072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27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Costs by items</a:t>
            </a:r>
          </a:p>
        </c:rich>
      </c:tx>
      <c:layout>
        <c:manualLayout>
          <c:xMode val="edge"/>
          <c:yMode val="edge"/>
          <c:x val="9.5562610039425289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21549976141952E-2"/>
          <c:y val="0.16396207591993167"/>
          <c:w val="0.4437157072902122"/>
          <c:h val="0.8204682853540609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CB8-4E06-B7C3-BDE0F726F1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B8-4E06-B7C3-BDE0F726F1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CB8-4E06-B7C3-BDE0F726F1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CB8-4E06-B7C3-BDE0F726F13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CB8-4E06-B7C3-BDE0F726F13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D74-45E9-B890-B8268E3263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D74-45E9-B890-B8268E3263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D74-45E9-B890-B8268E3263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D74-45E9-B890-B8268E326341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74-45E9-B890-B8268E32634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74-45E9-B890-B8268E32634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D74-45E9-B890-B8268E32634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D74-45E9-B890-B8268E3263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EN!$P$20:$P$28</c:f>
              <c:strCache>
                <c:ptCount val="9"/>
                <c:pt idx="0">
                  <c:v>Production staff(incl. meals and taxes)</c:v>
                </c:pt>
                <c:pt idx="1">
                  <c:v>Fuels and Lubricants</c:v>
                </c:pt>
                <c:pt idx="2">
                  <c:v>Keeping of bee colonies</c:v>
                </c:pt>
                <c:pt idx="3">
                  <c:v>Seasonal field works</c:v>
                </c:pt>
                <c:pt idx="4">
                  <c:v>Electricity</c:v>
                </c:pt>
                <c:pt idx="5">
                  <c:v>Harvesting</c:v>
                </c:pt>
                <c:pt idx="6">
                  <c:v>Equipment repair</c:v>
                </c:pt>
                <c:pt idx="7">
                  <c:v>Coal</c:v>
                </c:pt>
                <c:pt idx="8">
                  <c:v>Current costs of laboratory</c:v>
                </c:pt>
              </c:strCache>
            </c:strRef>
          </c:cat>
          <c:val>
            <c:numRef>
              <c:f>EN!$Q$20:$Q$28</c:f>
              <c:numCache>
                <c:formatCode>_(* #,##0_);_(* \(#,##0\);_(* "-"_);_(@_)</c:formatCode>
                <c:ptCount val="9"/>
                <c:pt idx="0">
                  <c:v>6548.28</c:v>
                </c:pt>
                <c:pt idx="1">
                  <c:v>719.96428571428544</c:v>
                </c:pt>
                <c:pt idx="2">
                  <c:v>558.33333333333326</c:v>
                </c:pt>
                <c:pt idx="3">
                  <c:v>335</c:v>
                </c:pt>
                <c:pt idx="4">
                  <c:v>264</c:v>
                </c:pt>
                <c:pt idx="5">
                  <c:v>210.10499999999996</c:v>
                </c:pt>
                <c:pt idx="6">
                  <c:v>185.6</c:v>
                </c:pt>
                <c:pt idx="7">
                  <c:v>72</c:v>
                </c:pt>
                <c:pt idx="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B8-4E06-B7C3-BDE0F726F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596483292638383"/>
          <c:y val="0.18746342642101663"/>
          <c:w val="0.49378617490046123"/>
          <c:h val="0.737979408386517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Investment</a:t>
            </a:r>
            <a:r>
              <a:rPr lang="en-US" sz="1100" baseline="0"/>
              <a:t> needs, k USD</a:t>
            </a:r>
            <a:endParaRPr lang="en-US" sz="1100"/>
          </a:p>
        </c:rich>
      </c:tx>
      <c:layout>
        <c:manualLayout>
          <c:xMode val="edge"/>
          <c:yMode val="edge"/>
          <c:x val="0.2711764991245826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EN!$B$4:$G$4</c:f>
              <c:numCache>
                <c:formatCode>_(* #,##0_);_(* \(#,##0\);_(* "-"??_);_(@_)</c:formatCode>
                <c:ptCount val="6"/>
                <c:pt idx="0">
                  <c:v>9438.5166666666664</c:v>
                </c:pt>
                <c:pt idx="1">
                  <c:v>8650.6833333333343</c:v>
                </c:pt>
                <c:pt idx="2">
                  <c:v>2494.6666666666656</c:v>
                </c:pt>
                <c:pt idx="3">
                  <c:v>2814.0000000000005</c:v>
                </c:pt>
                <c:pt idx="4">
                  <c:v>2123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A-45FF-9C85-D2E6B6AE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164110728"/>
        <c:axId val="1164101712"/>
      </c:barChart>
      <c:catAx>
        <c:axId val="116411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01712"/>
        <c:crosses val="autoZero"/>
        <c:auto val="1"/>
        <c:lblAlgn val="ctr"/>
        <c:lblOffset val="100"/>
        <c:noMultiLvlLbl val="0"/>
      </c:catAx>
      <c:valAx>
        <c:axId val="1164101712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10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Investment structure</a:t>
            </a:r>
          </a:p>
        </c:rich>
      </c:tx>
      <c:layout>
        <c:manualLayout>
          <c:xMode val="edge"/>
          <c:yMode val="edge"/>
          <c:x val="5.2801665097985201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767089492403527E-2"/>
          <c:y val="0.17886925754305583"/>
          <c:w val="0.50990167045445844"/>
          <c:h val="0.80042541700860825"/>
        </c:manualLayout>
      </c:layout>
      <c:doughnut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3B-46C7-912F-4C8A466CF1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3B-46C7-912F-4C8A466CF1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C3B-46C7-912F-4C8A466CF1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83-4191-B05C-F1773FAFC6AA}"/>
              </c:ext>
            </c:extLst>
          </c:dPt>
          <c:dLbls>
            <c:dLbl>
              <c:idx val="3"/>
              <c:layout>
                <c:manualLayout>
                  <c:x val="-6.6144473455178418E-2"/>
                  <c:y val="-0.103896132227871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83-4191-B05C-F1773FAFC6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EN!$J$3:$J$6</c:f>
              <c:strCache>
                <c:ptCount val="4"/>
                <c:pt idx="0">
                  <c:v>Apiary</c:v>
                </c:pt>
                <c:pt idx="1">
                  <c:v>Plant</c:v>
                </c:pt>
                <c:pt idx="2">
                  <c:v>Agricultural division</c:v>
                </c:pt>
                <c:pt idx="3">
                  <c:v>Laboratory</c:v>
                </c:pt>
              </c:strCache>
            </c:strRef>
          </c:cat>
          <c:val>
            <c:numRef>
              <c:f>EN!$K$3:$K$6</c:f>
              <c:numCache>
                <c:formatCode>_(* #,##0.0_);_(* \(#,##0.0\);_(* "-"??_);_(@_)</c:formatCode>
                <c:ptCount val="4"/>
                <c:pt idx="0">
                  <c:v>15.275066666666667</c:v>
                </c:pt>
                <c:pt idx="1">
                  <c:v>4.1475</c:v>
                </c:pt>
                <c:pt idx="2">
                  <c:v>5.2983000000000002</c:v>
                </c:pt>
                <c:pt idx="3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3-4191-B05C-F1773FAFC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548954339891191"/>
          <c:y val="0.24219796545540856"/>
          <c:w val="0.36563776466717168"/>
          <c:h val="0.632154107239296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Apiary investment</a:t>
            </a:r>
          </a:p>
        </c:rich>
      </c:tx>
      <c:layout>
        <c:manualLayout>
          <c:xMode val="edge"/>
          <c:yMode val="edge"/>
          <c:x val="0.2540215443497747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7694115402768388E-2"/>
          <c:y val="0.1918832317905963"/>
          <c:w val="0.46404140470783123"/>
          <c:h val="0.8042864099001197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9F-444D-9ED2-7D378E799C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9F-444D-9ED2-7D378E799C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9F-444D-9ED2-7D378E799C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99F-444D-9ED2-7D378E799C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69-4536-9745-FC746039BBF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469-4536-9745-FC746039BBF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99F-444D-9ED2-7D378E799C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99F-444D-9ED2-7D378E799CF3}"/>
              </c:ext>
            </c:extLst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9F-444D-9ED2-7D378E799CF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69-4536-9745-FC746039BBF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9F-444D-9ED2-7D378E799CF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9F-444D-9ED2-7D378E799C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EN!$O$4:$O$11</c:f>
              <c:strCache>
                <c:ptCount val="8"/>
                <c:pt idx="0">
                  <c:v>Hive production</c:v>
                </c:pt>
                <c:pt idx="1">
                  <c:v>Beeswax</c:v>
                </c:pt>
                <c:pt idx="2">
                  <c:v>Bee colonies</c:v>
                </c:pt>
                <c:pt idx="3">
                  <c:v>Machinery and equipment</c:v>
                </c:pt>
                <c:pt idx="4">
                  <c:v>Winter hut for bees (omshanik)</c:v>
                </c:pt>
                <c:pt idx="5">
                  <c:v>Apiaries infrastructure</c:v>
                </c:pt>
                <c:pt idx="6">
                  <c:v>Additional equipment</c:v>
                </c:pt>
                <c:pt idx="7">
                  <c:v>Hivers' houses</c:v>
                </c:pt>
              </c:strCache>
            </c:strRef>
          </c:cat>
          <c:val>
            <c:numRef>
              <c:f>EN!$P$4:$P$11</c:f>
              <c:numCache>
                <c:formatCode>_(* #,##0_);_(* \(#,##0\);_(* "-"_);_(@_)</c:formatCode>
                <c:ptCount val="8"/>
                <c:pt idx="0">
                  <c:v>10730</c:v>
                </c:pt>
                <c:pt idx="1">
                  <c:v>1293.4000000000001</c:v>
                </c:pt>
                <c:pt idx="2">
                  <c:v>986.66666666666674</c:v>
                </c:pt>
                <c:pt idx="3">
                  <c:v>895</c:v>
                </c:pt>
                <c:pt idx="4">
                  <c:v>620</c:v>
                </c:pt>
                <c:pt idx="5">
                  <c:v>400</c:v>
                </c:pt>
                <c:pt idx="6">
                  <c:v>250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9F-444D-9ED2-7D378E799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361754530798355"/>
          <c:y val="0.21715134024536525"/>
          <c:w val="0.46941981771008923"/>
          <c:h val="0.737979408386517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Plant investment</a:t>
            </a:r>
          </a:p>
        </c:rich>
      </c:tx>
      <c:layout>
        <c:manualLayout>
          <c:xMode val="edge"/>
          <c:yMode val="edge"/>
          <c:x val="0.2369490431338997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939509351798874"/>
          <c:w val="0.42124163334520187"/>
          <c:h val="0.7533300136650009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C9-48BA-8A7F-7E27D33C2D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C9-48BA-8A7F-7E27D33C2D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C9-48BA-8A7F-7E27D33C2D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C9-48BA-8A7F-7E27D33C2D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C9-48BA-8A7F-7E27D33C2D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EN!$U$4:$U$8</c:f>
              <c:strCache>
                <c:ptCount val="5"/>
                <c:pt idx="0">
                  <c:v>Buildings and constructions</c:v>
                </c:pt>
                <c:pt idx="1">
                  <c:v>Infrastructure</c:v>
                </c:pt>
                <c:pt idx="2">
                  <c:v>Production equipment</c:v>
                </c:pt>
                <c:pt idx="3">
                  <c:v>Additional equipment</c:v>
                </c:pt>
                <c:pt idx="4">
                  <c:v>Other</c:v>
                </c:pt>
              </c:strCache>
            </c:strRef>
          </c:cat>
          <c:val>
            <c:numRef>
              <c:f>EN!$V$4:$V$8</c:f>
              <c:numCache>
                <c:formatCode>_(* #,##0_);_(* \(#,##0\);_(* "-"_);_(@_)</c:formatCode>
                <c:ptCount val="5"/>
                <c:pt idx="0">
                  <c:v>1862.5</c:v>
                </c:pt>
                <c:pt idx="1">
                  <c:v>881.25</c:v>
                </c:pt>
                <c:pt idx="2">
                  <c:v>762.5</c:v>
                </c:pt>
                <c:pt idx="3">
                  <c:v>453.75</c:v>
                </c:pt>
                <c:pt idx="4">
                  <c:v>187.5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9C9-48BA-8A7F-7E27D33C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925124894636214"/>
          <c:y val="0.22534104094965113"/>
          <c:w val="0.49378617490046123"/>
          <c:h val="0.633258495732149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Agricultural unit investment</a:t>
            </a:r>
          </a:p>
        </c:rich>
      </c:tx>
      <c:layout>
        <c:manualLayout>
          <c:xMode val="edge"/>
          <c:yMode val="edge"/>
          <c:x val="0.2226620427189825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6607394725810708E-2"/>
          <c:y val="0.22418550396267264"/>
          <c:w val="0.40111720307586995"/>
          <c:h val="0.775814496037327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92-4B4E-A770-551A50A50D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92-4B4E-A770-551A50A50D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92-4B4E-A770-551A50A50D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92-4B4E-A770-551A50A50D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B92-4B4E-A770-551A50A50D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B92-4B4E-A770-551A50A50D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B92-4B4E-A770-551A50A50DB9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92-4B4E-A770-551A50A50DB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92-4B4E-A770-551A50A50D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EN!$AB$4:$AB$10</c:f>
              <c:strCache>
                <c:ptCount val="7"/>
                <c:pt idx="0">
                  <c:v>Tractors and towing equip.</c:v>
                </c:pt>
                <c:pt idx="1">
                  <c:v>Agricultural equip. and machinery</c:v>
                </c:pt>
                <c:pt idx="2">
                  <c:v>Chemicals and fertilizers (one-time)</c:v>
                </c:pt>
                <c:pt idx="3">
                  <c:v>Seeds (perennial plants)</c:v>
                </c:pt>
                <c:pt idx="4">
                  <c:v>Buildings and constructions</c:v>
                </c:pt>
                <c:pt idx="5">
                  <c:v>Petrol tank truck</c:v>
                </c:pt>
                <c:pt idx="6">
                  <c:v>Attachable equipment</c:v>
                </c:pt>
              </c:strCache>
            </c:strRef>
          </c:cat>
          <c:val>
            <c:numRef>
              <c:f>EN!$AC$4:$AC$10</c:f>
              <c:numCache>
                <c:formatCode>_(* #,##0_);_(* \(#,##0\);_(* "-"_);_(@_)</c:formatCode>
                <c:ptCount val="7"/>
                <c:pt idx="0">
                  <c:v>1684.8</c:v>
                </c:pt>
                <c:pt idx="1">
                  <c:v>1380</c:v>
                </c:pt>
                <c:pt idx="2">
                  <c:v>1435.5</c:v>
                </c:pt>
                <c:pt idx="3">
                  <c:v>390</c:v>
                </c:pt>
                <c:pt idx="4">
                  <c:v>260</c:v>
                </c:pt>
                <c:pt idx="5">
                  <c:v>12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B92-4B4E-A770-551A50A50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227054733341585"/>
          <c:y val="0.12062040989069363"/>
          <c:w val="0.50076706380288849"/>
          <c:h val="0.821096314168814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100"/>
              <a:t>Структура инвестиций всего</a:t>
            </a:r>
            <a:endParaRPr lang="en-US" sz="1100"/>
          </a:p>
        </c:rich>
      </c:tx>
      <c:layout>
        <c:manualLayout>
          <c:xMode val="edge"/>
          <c:yMode val="edge"/>
          <c:x val="5.2801665097985201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767089492403527E-2"/>
          <c:y val="0.17886925754305583"/>
          <c:w val="0.50990167045445844"/>
          <c:h val="0.80042541700860825"/>
        </c:manualLayout>
      </c:layout>
      <c:doughnut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18-457F-99AF-1286D1FD40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18-457F-99AF-1286D1FD40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18-457F-99AF-1286D1FD40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318-457F-99AF-1286D1FD409C}"/>
              </c:ext>
            </c:extLst>
          </c:dPt>
          <c:dLbls>
            <c:dLbl>
              <c:idx val="3"/>
              <c:layout>
                <c:manualLayout>
                  <c:x val="-6.6144473455178418E-2"/>
                  <c:y val="-0.103896132227871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18-457F-99AF-1286D1FD40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RU!$J$3:$J$6</c:f>
              <c:strCache>
                <c:ptCount val="4"/>
                <c:pt idx="0">
                  <c:v>Пасека</c:v>
                </c:pt>
                <c:pt idx="1">
                  <c:v>Завод</c:v>
                </c:pt>
                <c:pt idx="2">
                  <c:v>Агрохозяйство</c:v>
                </c:pt>
                <c:pt idx="3">
                  <c:v>Лаборатория</c:v>
                </c:pt>
              </c:strCache>
            </c:strRef>
          </c:cat>
          <c:val>
            <c:numRef>
              <c:f>RU!$K$3:$K$6</c:f>
              <c:numCache>
                <c:formatCode>_(* #,##0.0_);_(* \(#,##0.0\);_(* "-"??_);_(@_)</c:formatCode>
                <c:ptCount val="4"/>
                <c:pt idx="0">
                  <c:v>15.275066666666667</c:v>
                </c:pt>
                <c:pt idx="1">
                  <c:v>4.1475</c:v>
                </c:pt>
                <c:pt idx="2">
                  <c:v>5.2983000000000002</c:v>
                </c:pt>
                <c:pt idx="3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18-457F-99AF-1286D1FD4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548954339891191"/>
          <c:y val="0.24219796545540856"/>
          <c:w val="0.36563776466717168"/>
          <c:h val="0.632154107239296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Production volume, tons</a:t>
            </a:r>
          </a:p>
        </c:rich>
      </c:tx>
      <c:layout>
        <c:manualLayout>
          <c:xMode val="edge"/>
          <c:yMode val="edge"/>
          <c:x val="0.2824425182499394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EN!$B$20:$G$20</c:f>
              <c:numCache>
                <c:formatCode>_(* #,##0_);_(* \(#,##0\);_(* "-"_);_(@_)</c:formatCode>
                <c:ptCount val="6"/>
                <c:pt idx="0">
                  <c:v>0</c:v>
                </c:pt>
                <c:pt idx="1">
                  <c:v>925</c:v>
                </c:pt>
                <c:pt idx="2">
                  <c:v>1300</c:v>
                </c:pt>
                <c:pt idx="3">
                  <c:v>1800</c:v>
                </c:pt>
                <c:pt idx="4">
                  <c:v>2175</c:v>
                </c:pt>
                <c:pt idx="5">
                  <c:v>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9-471D-9E1E-3A82B69E8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164099752"/>
        <c:axId val="1164098968"/>
      </c:barChart>
      <c:catAx>
        <c:axId val="1164099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098968"/>
        <c:crosses val="autoZero"/>
        <c:auto val="1"/>
        <c:lblAlgn val="ctr"/>
        <c:lblOffset val="100"/>
        <c:noMultiLvlLbl val="0"/>
      </c:catAx>
      <c:valAx>
        <c:axId val="116409896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099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Production costs by business</a:t>
            </a:r>
            <a:r>
              <a:rPr lang="en-US" sz="1100" baseline="0"/>
              <a:t> units</a:t>
            </a:r>
            <a:endParaRPr lang="en-US" sz="1100"/>
          </a:p>
        </c:rich>
      </c:tx>
      <c:layout>
        <c:manualLayout>
          <c:xMode val="edge"/>
          <c:yMode val="edge"/>
          <c:x val="2.3674148932688752E-2"/>
          <c:y val="2.8341799423077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679483770120461E-2"/>
          <c:y val="0.21220821894330166"/>
          <c:w val="0.48539980480088618"/>
          <c:h val="0.7877917810566983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64-4726-BBEA-4E33D7F718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64-4726-BBEA-4E33D7F718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64-4726-BBEA-4E33D7F7187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64-4726-BBEA-4E33D7F718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EN!$I$20:$I$23</c:f>
              <c:strCache>
                <c:ptCount val="4"/>
                <c:pt idx="0">
                  <c:v>Agri divis.</c:v>
                </c:pt>
                <c:pt idx="1">
                  <c:v>Apiary</c:v>
                </c:pt>
                <c:pt idx="2">
                  <c:v>Plant</c:v>
                </c:pt>
                <c:pt idx="3">
                  <c:v>Laboratory</c:v>
                </c:pt>
              </c:strCache>
            </c:strRef>
          </c:cat>
          <c:val>
            <c:numRef>
              <c:f>EN!$J$20:$J$23</c:f>
              <c:numCache>
                <c:formatCode>_(* #,##0_);_(* \(#,##0\);_(* "-"_);_(@_)</c:formatCode>
                <c:ptCount val="4"/>
                <c:pt idx="0">
                  <c:v>2149.7492857142852</c:v>
                </c:pt>
                <c:pt idx="1">
                  <c:v>4963.4533333333338</c:v>
                </c:pt>
                <c:pt idx="2">
                  <c:v>1461.8400000000001</c:v>
                </c:pt>
                <c:pt idx="3">
                  <c:v>378.2399999999999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B64-4726-BBEA-4E33D7F71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101750219385875"/>
          <c:y val="0.35592524370600054"/>
          <c:w val="0.34010795427825274"/>
          <c:h val="0.421480951244730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Revenue, k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EN!$B$36:$G$36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4625</c:v>
                </c:pt>
                <c:pt idx="2">
                  <c:v>6500</c:v>
                </c:pt>
                <c:pt idx="3">
                  <c:v>9000</c:v>
                </c:pt>
                <c:pt idx="4">
                  <c:v>10875</c:v>
                </c:pt>
                <c:pt idx="5">
                  <c:v>10875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B-41A4-B019-0C4DD424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164106024"/>
        <c:axId val="1164107984"/>
      </c:barChart>
      <c:catAx>
        <c:axId val="1164106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07984"/>
        <c:crosses val="autoZero"/>
        <c:auto val="1"/>
        <c:lblAlgn val="ctr"/>
        <c:lblOffset val="100"/>
        <c:noMultiLvlLbl val="0"/>
      </c:catAx>
      <c:valAx>
        <c:axId val="116410798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0602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Gross Margin, k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EN!$I$36:$N$36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3636.1299793887706</c:v>
                </c:pt>
                <c:pt idx="2">
                  <c:v>5110.2367277896237</c:v>
                </c:pt>
                <c:pt idx="3">
                  <c:v>7075.7123923240943</c:v>
                </c:pt>
                <c:pt idx="4">
                  <c:v>8549.8191407249469</c:v>
                </c:pt>
                <c:pt idx="5">
                  <c:v>8549.8191407249469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E-4D3F-ACCC-94F3DD6DA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64108376"/>
        <c:axId val="1164102104"/>
      </c:barChart>
      <c:catAx>
        <c:axId val="1164108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02104"/>
        <c:crosses val="autoZero"/>
        <c:auto val="1"/>
        <c:lblAlgn val="ctr"/>
        <c:lblOffset val="100"/>
        <c:noMultiLvlLbl val="0"/>
      </c:catAx>
      <c:valAx>
        <c:axId val="116410210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08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EBITDA, k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EN!$P$36:$U$36</c:f>
              <c:numCache>
                <c:formatCode>_(* #,##0_);_(* \(#,##0\);_(* "-"_);_(@_)</c:formatCode>
                <c:ptCount val="6"/>
                <c:pt idx="0">
                  <c:v>-451.86</c:v>
                </c:pt>
                <c:pt idx="1">
                  <c:v>3184.2699793887705</c:v>
                </c:pt>
                <c:pt idx="2">
                  <c:v>4650.1867277896235</c:v>
                </c:pt>
                <c:pt idx="3">
                  <c:v>6615.6623923240941</c:v>
                </c:pt>
                <c:pt idx="4">
                  <c:v>8089.7691407249467</c:v>
                </c:pt>
                <c:pt idx="5">
                  <c:v>8089.7691407249467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4-430D-898F-75635B74A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64108768"/>
        <c:axId val="1164103672"/>
      </c:barChart>
      <c:catAx>
        <c:axId val="116410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03672"/>
        <c:crosses val="autoZero"/>
        <c:auto val="1"/>
        <c:lblAlgn val="ctr"/>
        <c:lblOffset val="100"/>
        <c:noMultiLvlLbl val="0"/>
      </c:catAx>
      <c:valAx>
        <c:axId val="1164103672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0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Net Profit, k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3.4755308941856831E-3"/>
                  <c:y val="0.21412522308843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05-43F7-9AB5-A2A68B7FDDA7}"/>
                </c:ext>
              </c:extLst>
            </c:dLbl>
            <c:dLbl>
              <c:idx val="5"/>
              <c:layout>
                <c:manualLayout>
                  <c:x val="-6.9510617883713662E-3"/>
                  <c:y val="0.195231821051217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05-43F7-9AB5-A2A68B7FDD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EN!$W$36:$AB$36</c:f>
              <c:numCache>
                <c:formatCode>_(* #,##0_);_(* \(#,##0\);_(* "-"_);_(@_)</c:formatCode>
                <c:ptCount val="6"/>
                <c:pt idx="0">
                  <c:v>-1267.5049206349206</c:v>
                </c:pt>
                <c:pt idx="1">
                  <c:v>669.67420573323875</c:v>
                </c:pt>
                <c:pt idx="2">
                  <c:v>1606.1968108031276</c:v>
                </c:pt>
                <c:pt idx="3">
                  <c:v>2920.3373424307038</c:v>
                </c:pt>
                <c:pt idx="4">
                  <c:v>3964.5141697228146</c:v>
                </c:pt>
                <c:pt idx="5">
                  <c:v>4102.7541697228153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5-43F7-9AB5-A2A68B7F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64113472"/>
        <c:axId val="1164120920"/>
      </c:barChart>
      <c:lineChart>
        <c:grouping val="stacke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5.1957818548825961E-3"/>
                  <c:y val="1.78069074476203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05-43F7-9AB5-A2A68B7FDD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'P&amp;L, CashFlow'!$D$13:$I$13</c:f>
              <c:numCache>
                <c:formatCode>0%</c:formatCode>
                <c:ptCount val="6"/>
                <c:pt idx="0">
                  <c:v>0</c:v>
                </c:pt>
                <c:pt idx="1">
                  <c:v>0.14479442286124081</c:v>
                </c:pt>
                <c:pt idx="2">
                  <c:v>0.24710720166201963</c:v>
                </c:pt>
                <c:pt idx="3">
                  <c:v>0.32448192693674488</c:v>
                </c:pt>
                <c:pt idx="4">
                  <c:v>0.36455302710094845</c:v>
                </c:pt>
                <c:pt idx="5">
                  <c:v>0.37726475123887959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05-43F7-9AB5-A2A68B7F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21704"/>
        <c:axId val="1164111512"/>
      </c:lineChart>
      <c:catAx>
        <c:axId val="116411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20920"/>
        <c:crosses val="autoZero"/>
        <c:auto val="1"/>
        <c:lblAlgn val="ctr"/>
        <c:lblOffset val="100"/>
        <c:noMultiLvlLbl val="0"/>
      </c:catAx>
      <c:valAx>
        <c:axId val="1164120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13472"/>
        <c:crosses val="autoZero"/>
        <c:crossBetween val="between"/>
      </c:valAx>
      <c:valAx>
        <c:axId val="116411151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21704"/>
        <c:crosses val="max"/>
        <c:crossBetween val="between"/>
      </c:valAx>
      <c:catAx>
        <c:axId val="1164121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164111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Operational cash flow, k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EN!$B$51:$G$51</c:f>
              <c:numCache>
                <c:formatCode>_(* #,##0_);_(* \(#,##0\);_(* "-"??_);_(@_)</c:formatCode>
                <c:ptCount val="6"/>
                <c:pt idx="0">
                  <c:v>-1503.5432142857144</c:v>
                </c:pt>
                <c:pt idx="1">
                  <c:v>2360.1815676143096</c:v>
                </c:pt>
                <c:pt idx="2">
                  <c:v>3709.8109163468366</c:v>
                </c:pt>
                <c:pt idx="3">
                  <c:v>6007.1924501066105</c:v>
                </c:pt>
                <c:pt idx="4">
                  <c:v>7461.2982432835834</c:v>
                </c:pt>
                <c:pt idx="5">
                  <c:v>7545.3882432835835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7-4432-8119-9BE70EDF3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164122488"/>
        <c:axId val="1164123272"/>
      </c:barChart>
      <c:catAx>
        <c:axId val="116412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23272"/>
        <c:crosses val="autoZero"/>
        <c:auto val="1"/>
        <c:lblAlgn val="ctr"/>
        <c:lblOffset val="100"/>
        <c:noMultiLvlLbl val="0"/>
      </c:catAx>
      <c:valAx>
        <c:axId val="1164123272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224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EN!$I$51</c:f>
              <c:strCache>
                <c:ptCount val="1"/>
                <c:pt idx="0">
                  <c:v>Receipt (+), repayment (-) of a soft loan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28D-4039-8BCE-EC38EF0CD9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EN!$I$52:$N$52</c:f>
              <c:numCache>
                <c:formatCode>_(* #,##0_);_(* \(#,##0\);_(* "-"_);_(@_)</c:formatCode>
                <c:ptCount val="6"/>
                <c:pt idx="0">
                  <c:v>5500</c:v>
                </c:pt>
                <c:pt idx="1">
                  <c:v>3150</c:v>
                </c:pt>
                <c:pt idx="2">
                  <c:v>-600</c:v>
                </c:pt>
                <c:pt idx="3">
                  <c:v>-1550</c:v>
                </c:pt>
                <c:pt idx="4">
                  <c:v>-2600</c:v>
                </c:pt>
                <c:pt idx="5">
                  <c:v>-3900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5-40E1-9C51-015B796B4665}"/>
            </c:ext>
          </c:extLst>
        </c:ser>
        <c:ser>
          <c:idx val="1"/>
          <c:order val="1"/>
          <c:tx>
            <c:strRef>
              <c:f>EN!$I$53</c:f>
              <c:strCache>
                <c:ptCount val="1"/>
                <c:pt idx="0">
                  <c:v>Receipt (+), repayment (-) of a bank loan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EN!$I$54:$N$54</c:f>
              <c:numCache>
                <c:formatCode>_(* #,##0_);_(* \(#,##0\);_(* "-"??_);_(@_)</c:formatCode>
                <c:ptCount val="6"/>
                <c:pt idx="0">
                  <c:v>5500</c:v>
                </c:pt>
                <c:pt idx="1">
                  <c:v>3150</c:v>
                </c:pt>
                <c:pt idx="2">
                  <c:v>-600</c:v>
                </c:pt>
                <c:pt idx="3">
                  <c:v>-1650</c:v>
                </c:pt>
                <c:pt idx="4">
                  <c:v>-2800</c:v>
                </c:pt>
                <c:pt idx="5">
                  <c:v>-3600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5-40E1-9C51-015B796B4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64112688"/>
        <c:axId val="1164116608"/>
      </c:barChart>
      <c:lineChart>
        <c:grouping val="stacked"/>
        <c:varyColors val="0"/>
        <c:ser>
          <c:idx val="2"/>
          <c:order val="2"/>
          <c:tx>
            <c:strRef>
              <c:f>EN!$I$56</c:f>
              <c:strCache>
                <c:ptCount val="1"/>
                <c:pt idx="0">
                  <c:v>Всего получение (+), выплата кредитов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902475015547068E-2"/>
                  <c:y val="-2.9442562425216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B5-40E1-9C51-015B796B4665}"/>
                </c:ext>
              </c:extLst>
            </c:dLbl>
            <c:dLbl>
              <c:idx val="1"/>
              <c:layout>
                <c:manualLayout>
                  <c:x val="-4.3994320590720656E-2"/>
                  <c:y val="-3.3747128808716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B5-40E1-9C51-015B796B4665}"/>
                </c:ext>
              </c:extLst>
            </c:dLbl>
            <c:dLbl>
              <c:idx val="3"/>
              <c:layout>
                <c:manualLayout>
                  <c:x val="-5.1013379886021858E-2"/>
                  <c:y val="3.131901170913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B5-40E1-9C51-015B796B4665}"/>
                </c:ext>
              </c:extLst>
            </c:dLbl>
            <c:dLbl>
              <c:idx val="4"/>
              <c:layout>
                <c:manualLayout>
                  <c:x val="-4.9851933346207987E-2"/>
                  <c:y val="2.8228503875423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5-40E1-9C51-015B796B4665}"/>
                </c:ext>
              </c:extLst>
            </c:dLbl>
            <c:dLbl>
              <c:idx val="5"/>
              <c:layout>
                <c:manualLayout>
                  <c:x val="-4.5206161728534672E-2"/>
                  <c:y val="3.3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5-40E1-9C51-015B796B46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EN!$I$57:$N$57</c:f>
              <c:numCache>
                <c:formatCode>_(* #,##0_);_(* \(#,##0\);_(* "-"_);_(@_)</c:formatCode>
                <c:ptCount val="6"/>
                <c:pt idx="0">
                  <c:v>11000</c:v>
                </c:pt>
                <c:pt idx="1">
                  <c:v>6300</c:v>
                </c:pt>
                <c:pt idx="2">
                  <c:v>-1200</c:v>
                </c:pt>
                <c:pt idx="3">
                  <c:v>-3200</c:v>
                </c:pt>
                <c:pt idx="4">
                  <c:v>-5400</c:v>
                </c:pt>
                <c:pt idx="5">
                  <c:v>-7500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B5-40E1-9C51-015B796B4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12688"/>
        <c:axId val="1164116608"/>
      </c:lineChart>
      <c:catAx>
        <c:axId val="1164112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4116608"/>
        <c:crosses val="autoZero"/>
        <c:auto val="1"/>
        <c:lblAlgn val="ctr"/>
        <c:lblOffset val="100"/>
        <c:noMultiLvlLbl val="0"/>
      </c:catAx>
      <c:valAx>
        <c:axId val="116411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Interest payments, k USD</a:t>
            </a:r>
          </a:p>
        </c:rich>
      </c:tx>
      <c:layout>
        <c:manualLayout>
          <c:xMode val="edge"/>
          <c:yMode val="edge"/>
          <c:x val="0.2693036271184377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EN!$P$54:$U$54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415.2</c:v>
                </c:pt>
                <c:pt idx="2">
                  <c:v>386.40000000000003</c:v>
                </c:pt>
                <c:pt idx="3">
                  <c:v>307.2</c:v>
                </c:pt>
                <c:pt idx="4">
                  <c:v>172.8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9-4C7C-B8F4-65DE7B4BB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164122096"/>
        <c:axId val="1164123664"/>
      </c:barChart>
      <c:catAx>
        <c:axId val="116412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23664"/>
        <c:crosses val="autoZero"/>
        <c:auto val="1"/>
        <c:lblAlgn val="ctr"/>
        <c:lblOffset val="100"/>
        <c:noMultiLvlLbl val="0"/>
      </c:catAx>
      <c:valAx>
        <c:axId val="116412366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2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Tax payments. k USD</a:t>
            </a:r>
          </a:p>
        </c:rich>
      </c:tx>
      <c:layout>
        <c:manualLayout>
          <c:xMode val="edge"/>
          <c:yMode val="edge"/>
          <c:x val="0.3161096982779611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Payroll taxes</c:v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EN!$B$81:$G$81</c:f>
              <c:numCache>
                <c:formatCode>_(* #,##0_);_(* \(#,##0\);_(* "-"_);_(@_)</c:formatCode>
                <c:ptCount val="6"/>
                <c:pt idx="0">
                  <c:v>185.04000000000002</c:v>
                </c:pt>
                <c:pt idx="1">
                  <c:v>224.28</c:v>
                </c:pt>
                <c:pt idx="2">
                  <c:v>263.96999999999997</c:v>
                </c:pt>
                <c:pt idx="3">
                  <c:v>263.96999999999997</c:v>
                </c:pt>
                <c:pt idx="4">
                  <c:v>298.17</c:v>
                </c:pt>
                <c:pt idx="5">
                  <c:v>332.37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1-4FFC-904E-29CF12E033B1}"/>
            </c:ext>
          </c:extLst>
        </c:ser>
        <c:ser>
          <c:idx val="1"/>
          <c:order val="1"/>
          <c:tx>
            <c:v>Corporate income tax</c:v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EN!$B$82:$G$82</c:f>
              <c:numCache>
                <c:formatCode>_(* #,##0_);_(* \(#,##0\);_(* "-"_);_(@_)</c:formatCode>
                <c:ptCount val="6"/>
                <c:pt idx="0">
                  <c:v>0</c:v>
                </c:pt>
                <c:pt idx="1">
                  <c:v>167.41855143330969</c:v>
                </c:pt>
                <c:pt idx="2">
                  <c:v>401.54920270078196</c:v>
                </c:pt>
                <c:pt idx="3">
                  <c:v>730.08433560767605</c:v>
                </c:pt>
                <c:pt idx="4">
                  <c:v>991.12854243070365</c:v>
                </c:pt>
                <c:pt idx="5">
                  <c:v>1025.6885424307038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71-4FFC-904E-29CF12E0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4112296"/>
        <c:axId val="1164118568"/>
      </c:barChart>
      <c:lineChart>
        <c:grouping val="stacked"/>
        <c:varyColors val="0"/>
        <c:ser>
          <c:idx val="2"/>
          <c:order val="2"/>
          <c:tx>
            <c:v>Payroll taxes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EN!$B$83:$G$83</c:f>
              <c:numCache>
                <c:formatCode>_(* #,##0_);_(* \(#,##0\);_(* "-"_);_(@_)</c:formatCode>
                <c:ptCount val="6"/>
                <c:pt idx="0">
                  <c:v>185.04000000000002</c:v>
                </c:pt>
                <c:pt idx="1">
                  <c:v>391.69855143330972</c:v>
                </c:pt>
                <c:pt idx="2">
                  <c:v>665.51920270078199</c:v>
                </c:pt>
                <c:pt idx="3">
                  <c:v>994.05433560767597</c:v>
                </c:pt>
                <c:pt idx="4">
                  <c:v>1289.2985424307037</c:v>
                </c:pt>
                <c:pt idx="5">
                  <c:v>1358.0585424307037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71-4FFC-904E-29CF12E0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12296"/>
        <c:axId val="1164118568"/>
      </c:lineChart>
      <c:catAx>
        <c:axId val="1164112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18568"/>
        <c:crosses val="autoZero"/>
        <c:auto val="1"/>
        <c:lblAlgn val="ctr"/>
        <c:lblOffset val="100"/>
        <c:noMultiLvlLbl val="0"/>
      </c:catAx>
      <c:valAx>
        <c:axId val="116411856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12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100"/>
              <a:t>Инвестиции</a:t>
            </a:r>
            <a:r>
              <a:rPr lang="ru-RU" sz="1100" baseline="0"/>
              <a:t> в пасеку</a:t>
            </a:r>
            <a:endParaRPr lang="en-US" sz="1100"/>
          </a:p>
        </c:rich>
      </c:tx>
      <c:layout>
        <c:manualLayout>
          <c:xMode val="edge"/>
          <c:yMode val="edge"/>
          <c:x val="0.2540215443497747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7694115402768388E-2"/>
          <c:y val="0.1918832317905963"/>
          <c:w val="0.46404140470783123"/>
          <c:h val="0.8042864099001197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8E-4C0D-B7BB-83E08EB2D9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28E-4C0D-B7BB-83E08EB2D9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28E-4C0D-B7BB-83E08EB2D9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28E-4C0D-B7BB-83E08EB2D9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28E-4C0D-B7BB-83E08EB2D9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28E-4C0D-B7BB-83E08EB2D94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28E-4C0D-B7BB-83E08EB2D94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28E-4C0D-B7BB-83E08EB2D940}"/>
              </c:ext>
            </c:extLst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8E-4C0D-B7BB-83E08EB2D94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8E-4C0D-B7BB-83E08EB2D94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8E-4C0D-B7BB-83E08EB2D94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28E-4C0D-B7BB-83E08EB2D9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RU!$O$4:$O$11</c:f>
              <c:strCache>
                <c:ptCount val="8"/>
                <c:pt idx="0">
                  <c:v>Производство ульев</c:v>
                </c:pt>
                <c:pt idx="1">
                  <c:v>Вощина</c:v>
                </c:pt>
                <c:pt idx="2">
                  <c:v>Покупка пчелосемей</c:v>
                </c:pt>
                <c:pt idx="3">
                  <c:v>Техника и оборудование</c:v>
                </c:pt>
                <c:pt idx="4">
                  <c:v>Омшанник (зимовник для пчел)</c:v>
                </c:pt>
                <c:pt idx="5">
                  <c:v>Обустройтство территории пасек</c:v>
                </c:pt>
                <c:pt idx="6">
                  <c:v>Вспомогательное оборудование</c:v>
                </c:pt>
                <c:pt idx="7">
                  <c:v>Домики пасечника</c:v>
                </c:pt>
              </c:strCache>
            </c:strRef>
          </c:cat>
          <c:val>
            <c:numRef>
              <c:f>RU!$P$4:$P$11</c:f>
              <c:numCache>
                <c:formatCode>_(* #,##0_);_(* \(#,##0\);_(* "-"_);_(@_)</c:formatCode>
                <c:ptCount val="8"/>
                <c:pt idx="0">
                  <c:v>10730</c:v>
                </c:pt>
                <c:pt idx="1">
                  <c:v>1293.4000000000001</c:v>
                </c:pt>
                <c:pt idx="2">
                  <c:v>986.66666666666674</c:v>
                </c:pt>
                <c:pt idx="3">
                  <c:v>895</c:v>
                </c:pt>
                <c:pt idx="4">
                  <c:v>620</c:v>
                </c:pt>
                <c:pt idx="5">
                  <c:v>400</c:v>
                </c:pt>
                <c:pt idx="6">
                  <c:v>250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28E-4C0D-B7BB-83E08EB2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361754530798355"/>
          <c:y val="0.21715134024536525"/>
          <c:w val="0.46941981771008923"/>
          <c:h val="0.737979408386517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Break-even</a:t>
            </a:r>
            <a:r>
              <a:rPr lang="en-US" sz="1100" baseline="0"/>
              <a:t> point, tons</a:t>
            </a:r>
            <a:endParaRPr lang="en-US" sz="1100"/>
          </a:p>
        </c:rich>
      </c:tx>
      <c:layout>
        <c:manualLayout>
          <c:xMode val="edge"/>
          <c:yMode val="edge"/>
          <c:x val="0.3189613950430418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Production volume</c:v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EN!$B$20:$G$20</c:f>
              <c:numCache>
                <c:formatCode>_(* #,##0_);_(* \(#,##0\);_(* "-"_);_(@_)</c:formatCode>
                <c:ptCount val="6"/>
                <c:pt idx="0">
                  <c:v>0</c:v>
                </c:pt>
                <c:pt idx="1">
                  <c:v>925</c:v>
                </c:pt>
                <c:pt idx="2">
                  <c:v>1300</c:v>
                </c:pt>
                <c:pt idx="3">
                  <c:v>1800</c:v>
                </c:pt>
                <c:pt idx="4">
                  <c:v>2175</c:v>
                </c:pt>
                <c:pt idx="5">
                  <c:v>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DC-43B4-8E2E-795E391F2C8B}"/>
            </c:ext>
          </c:extLst>
        </c:ser>
        <c:ser>
          <c:idx val="1"/>
          <c:order val="1"/>
          <c:tx>
            <c:v>Breakeven point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CVP!$E$43:$J$43</c:f>
              <c:numCache>
                <c:formatCode>0</c:formatCode>
                <c:ptCount val="6"/>
                <c:pt idx="1">
                  <c:v>779.06181145795347</c:v>
                </c:pt>
                <c:pt idx="2">
                  <c:v>848.50266111877693</c:v>
                </c:pt>
                <c:pt idx="3">
                  <c:v>871.11267721401771</c:v>
                </c:pt>
                <c:pt idx="4">
                  <c:v>917.48826909291938</c:v>
                </c:pt>
                <c:pt idx="5">
                  <c:v>882.94290973132922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DC-43B4-8E2E-795E391F2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"/>
        <c:axId val="1164113864"/>
        <c:axId val="1164114256"/>
      </c:barChart>
      <c:catAx>
        <c:axId val="1164113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14256"/>
        <c:crosses val="autoZero"/>
        <c:auto val="1"/>
        <c:lblAlgn val="ctr"/>
        <c:lblOffset val="100"/>
        <c:noMultiLvlLbl val="0"/>
      </c:catAx>
      <c:valAx>
        <c:axId val="1164114256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13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Fixed and variable costs, m</a:t>
            </a:r>
            <a:r>
              <a:rPr lang="en-US" sz="1100" baseline="0"/>
              <a:t> USD</a:t>
            </a:r>
            <a:endParaRPr lang="en-US" sz="1100"/>
          </a:p>
        </c:rich>
      </c:tx>
      <c:layout>
        <c:manualLayout>
          <c:xMode val="edge"/>
          <c:yMode val="edge"/>
          <c:x val="0.277758169667620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EN!$O$83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EN!$P$83:$U$83</c:f>
              <c:numCache>
                <c:formatCode>_(* #,##0.00_);_(* \(#,##0.00\);_(* "-"??_);_(@_)</c:formatCode>
                <c:ptCount val="6"/>
                <c:pt idx="0">
                  <c:v>1.618499084059045</c:v>
                </c:pt>
                <c:pt idx="1">
                  <c:v>3.1796136267166037</c:v>
                </c:pt>
                <c:pt idx="2">
                  <c:v>3.4867170115922268</c:v>
                </c:pt>
                <c:pt idx="3">
                  <c:v>3.8255170115922263</c:v>
                </c:pt>
                <c:pt idx="4">
                  <c:v>4.0063404883359919</c:v>
                </c:pt>
                <c:pt idx="5">
                  <c:v>3.8334910589532316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D-4843-B5B5-BA7A4C13AF6C}"/>
            </c:ext>
          </c:extLst>
        </c:ser>
        <c:ser>
          <c:idx val="0"/>
          <c:order val="1"/>
          <c:tx>
            <c:strRef>
              <c:f>EN!$O$82</c:f>
              <c:strCache>
                <c:ptCount val="1"/>
                <c:pt idx="0">
                  <c:v>Variable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EN!$P$82:$U$82</c:f>
              <c:numCache>
                <c:formatCode>_(* #,##0.00_);_(* \(#,##0.00\);_(* "-"??_);_(@_)</c:formatCode>
                <c:ptCount val="6"/>
                <c:pt idx="0">
                  <c:v>0.70068905086158983</c:v>
                </c:pt>
                <c:pt idx="1">
                  <c:v>0.84976347645799877</c:v>
                </c:pt>
                <c:pt idx="2">
                  <c:v>1.1579635836458688</c:v>
                </c:pt>
                <c:pt idx="3">
                  <c:v>1.0952469169792018</c:v>
                </c:pt>
                <c:pt idx="4">
                  <c:v>1.3775591545211505</c:v>
                </c:pt>
                <c:pt idx="5">
                  <c:v>1.4317585839039106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D-4843-B5B5-BA7A4C13A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164115432"/>
        <c:axId val="1164115824"/>
      </c:barChart>
      <c:lineChart>
        <c:grouping val="stacked"/>
        <c:varyColors val="0"/>
        <c:ser>
          <c:idx val="2"/>
          <c:order val="2"/>
          <c:tx>
            <c:strRef>
              <c:f>EN!$O$84</c:f>
              <c:strCache>
                <c:ptCount val="1"/>
                <c:pt idx="0">
                  <c:v>Всего затраты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EN!$P$84:$U$84</c:f>
              <c:numCache>
                <c:formatCode>_(* #,##0.00_);_(* \(#,##0.00\);_(* "-"??_);_(@_)</c:formatCode>
                <c:ptCount val="6"/>
                <c:pt idx="0">
                  <c:v>2.3191881349206347</c:v>
                </c:pt>
                <c:pt idx="1">
                  <c:v>4.0293771031746024</c:v>
                </c:pt>
                <c:pt idx="2">
                  <c:v>4.6446805952380954</c:v>
                </c:pt>
                <c:pt idx="3">
                  <c:v>4.9207639285714286</c:v>
                </c:pt>
                <c:pt idx="4">
                  <c:v>5.3838996428571422</c:v>
                </c:pt>
                <c:pt idx="5">
                  <c:v>5.2652496428571425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ED-4843-B5B5-BA7A4C13A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15432"/>
        <c:axId val="1164115824"/>
      </c:lineChart>
      <c:catAx>
        <c:axId val="116411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115824"/>
        <c:crosses val="autoZero"/>
        <c:auto val="1"/>
        <c:lblAlgn val="ctr"/>
        <c:lblOffset val="100"/>
        <c:noMultiLvlLbl val="0"/>
      </c:catAx>
      <c:valAx>
        <c:axId val="116411582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15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Variable costs vs. margin</a:t>
            </a:r>
            <a:r>
              <a:rPr lang="en-US" sz="1100" baseline="0"/>
              <a:t> per unit, USD / kg</a:t>
            </a:r>
            <a:endParaRPr lang="en-US" sz="1100"/>
          </a:p>
        </c:rich>
      </c:tx>
      <c:layout>
        <c:manualLayout>
          <c:xMode val="edge"/>
          <c:yMode val="edge"/>
          <c:x val="0.1927521413795994"/>
          <c:y val="4.69059955834496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CVP!$B$39</c:f>
              <c:strCache>
                <c:ptCount val="1"/>
                <c:pt idx="0">
                  <c:v>Variable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CVP!$E$39:$J$39</c:f>
              <c:numCache>
                <c:formatCode>_(* #,##0.00_);_(* \(#,##0.00\);_(* "-"_);_(@_)</c:formatCode>
                <c:ptCount val="6"/>
                <c:pt idx="1">
                  <c:v>0.9186632177924311</c:v>
                </c:pt>
                <c:pt idx="2">
                  <c:v>0.89074121818912977</c:v>
                </c:pt>
                <c:pt idx="3">
                  <c:v>0.60847050943288994</c:v>
                </c:pt>
                <c:pt idx="4">
                  <c:v>0.63336053081432209</c:v>
                </c:pt>
                <c:pt idx="5">
                  <c:v>0.65827980869145319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C-4B64-9FD2-EF2EAD089177}"/>
            </c:ext>
          </c:extLst>
        </c:ser>
        <c:ser>
          <c:idx val="1"/>
          <c:order val="1"/>
          <c:tx>
            <c:strRef>
              <c:f>CVP!$B$41</c:f>
              <c:strCache>
                <c:ptCount val="1"/>
                <c:pt idx="0">
                  <c:v>Margin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CVP!$E$41:$J$41</c:f>
              <c:numCache>
                <c:formatCode>_(* #,##0.00_);_(* \(#,##0.00\);_(* "-"??_);_(@_)</c:formatCode>
                <c:ptCount val="6"/>
                <c:pt idx="1">
                  <c:v>4.0813367822075692</c:v>
                </c:pt>
                <c:pt idx="2">
                  <c:v>4.1092587818108699</c:v>
                </c:pt>
                <c:pt idx="3">
                  <c:v>4.3915294905671098</c:v>
                </c:pt>
                <c:pt idx="4">
                  <c:v>4.366639469185678</c:v>
                </c:pt>
                <c:pt idx="5">
                  <c:v>4.3417201913085464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C-4B64-9FD2-EF2EAD089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64119352"/>
        <c:axId val="1164119744"/>
      </c:barChart>
      <c:lineChart>
        <c:grouping val="stacked"/>
        <c:varyColors val="0"/>
        <c:ser>
          <c:idx val="2"/>
          <c:order val="2"/>
          <c:tx>
            <c:strRef>
              <c:f>CVP!$B$40</c:f>
              <c:strCache>
                <c:ptCount val="1"/>
                <c:pt idx="0">
                  <c:v>Sales price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CVP!$E$40:$J$40</c:f>
              <c:numCache>
                <c:formatCode>_(* #,##0.00_);_(* \(#,##0.00\);_(* "-"_);_(@_)</c:formatCode>
                <c:ptCount val="6"/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AC-4B64-9FD2-EF2EAD089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19352"/>
        <c:axId val="1164119744"/>
      </c:lineChart>
      <c:catAx>
        <c:axId val="116411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119744"/>
        <c:crosses val="autoZero"/>
        <c:auto val="1"/>
        <c:lblAlgn val="ctr"/>
        <c:lblOffset val="100"/>
        <c:noMultiLvlLbl val="0"/>
      </c:catAx>
      <c:valAx>
        <c:axId val="1164119744"/>
        <c:scaling>
          <c:orientation val="minMax"/>
        </c:scaling>
        <c:delete val="1"/>
        <c:axPos val="l"/>
        <c:numFmt formatCode="_(* #,##0.00_);_(* \(#,##0.00\);_(* &quot;-&quot;_);_(@_)" sourceLinked="1"/>
        <c:majorTickMark val="none"/>
        <c:minorTickMark val="none"/>
        <c:tickLblPos val="nextTo"/>
        <c:crossAx val="1164119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EN!$J$104</c:f>
              <c:strCache>
                <c:ptCount val="1"/>
                <c:pt idx="0">
                  <c:v>Operational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EN!$C$3:$G$3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EN!$K$104:$O$104</c:f>
              <c:numCache>
                <c:formatCode>_(* #,##0_);_(* \(#,##0\);_(* "-"??_);_(@_)</c:formatCode>
                <c:ptCount val="5"/>
                <c:pt idx="0">
                  <c:v>2360.1815676143096</c:v>
                </c:pt>
                <c:pt idx="1">
                  <c:v>3709.8109163468366</c:v>
                </c:pt>
                <c:pt idx="2">
                  <c:v>6007.1924501066105</c:v>
                </c:pt>
                <c:pt idx="3">
                  <c:v>7461.2982432835834</c:v>
                </c:pt>
                <c:pt idx="4">
                  <c:v>7545.3882432835835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8-4C67-A406-EFF7FEF29A30}"/>
            </c:ext>
          </c:extLst>
        </c:ser>
        <c:ser>
          <c:idx val="0"/>
          <c:order val="1"/>
          <c:tx>
            <c:strRef>
              <c:f>EN!$J$105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3.0555555555555555E-2"/>
                  <c:y val="-4.629629629629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28-4C67-A406-EFF7FEF29A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EN!$C$3:$G$3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EN!$K$105:$O$105</c:f>
              <c:numCache>
                <c:formatCode>_(* #,##0_);_(* \(#,##0\);_(* "-"??_);_(@_)</c:formatCode>
                <c:ptCount val="5"/>
                <c:pt idx="0">
                  <c:v>-8650.6833333333343</c:v>
                </c:pt>
                <c:pt idx="1">
                  <c:v>-2494.6666666666656</c:v>
                </c:pt>
                <c:pt idx="2">
                  <c:v>-2814.0000000000005</c:v>
                </c:pt>
                <c:pt idx="3">
                  <c:v>-2123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28-4C67-A406-EFF7FEF29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64128368"/>
        <c:axId val="1164126408"/>
      </c:barChart>
      <c:lineChart>
        <c:grouping val="standard"/>
        <c:varyColors val="0"/>
        <c:ser>
          <c:idx val="2"/>
          <c:order val="2"/>
          <c:tx>
            <c:strRef>
              <c:f>EN!$J$106</c:f>
              <c:strCache>
                <c:ptCount val="1"/>
                <c:pt idx="0">
                  <c:v>Free cash flow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  <a:tailEnd type="triangle"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EN!$K$106:$O$106</c:f>
              <c:numCache>
                <c:formatCode>_(* #,##0_);_(* \(#,##0\);_(* "-"??_);_(@_)</c:formatCode>
                <c:ptCount val="5"/>
                <c:pt idx="0">
                  <c:v>-6290.5017657190247</c:v>
                </c:pt>
                <c:pt idx="1">
                  <c:v>1215.144249680171</c:v>
                </c:pt>
                <c:pt idx="2">
                  <c:v>3193.1924501066101</c:v>
                </c:pt>
                <c:pt idx="3">
                  <c:v>5338.2982432835834</c:v>
                </c:pt>
                <c:pt idx="4">
                  <c:v>7545.3882432835835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28-4C67-A406-EFF7FEF29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28368"/>
        <c:axId val="1164126408"/>
      </c:lineChart>
      <c:catAx>
        <c:axId val="116412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126408"/>
        <c:crosses val="autoZero"/>
        <c:auto val="1"/>
        <c:lblAlgn val="ctr"/>
        <c:lblOffset val="100"/>
        <c:noMultiLvlLbl val="0"/>
      </c:catAx>
      <c:valAx>
        <c:axId val="11641264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2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WACC!$O$7:$X$7</c:f>
              <c:strCache>
                <c:ptCount val="10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  <c:pt idx="5">
                  <c:v>year 6</c:v>
                </c:pt>
                <c:pt idx="6">
                  <c:v>year 7</c:v>
                </c:pt>
                <c:pt idx="7">
                  <c:v>year 8</c:v>
                </c:pt>
                <c:pt idx="8">
                  <c:v>year 9</c:v>
                </c:pt>
                <c:pt idx="9">
                  <c:v>year 10</c:v>
                </c:pt>
              </c:strCache>
            </c:strRef>
          </c:cat>
          <c:val>
            <c:numRef>
              <c:f>WACC!$O$8:$X$8</c:f>
              <c:numCache>
                <c:formatCode>_(* #,##0.00_);_(* \(#,##0.00\);_(* "-"_);_(@_)</c:formatCode>
                <c:ptCount val="10"/>
                <c:pt idx="0">
                  <c:v>-10.94205988095238</c:v>
                </c:pt>
                <c:pt idx="1">
                  <c:v>-6.290501765719025</c:v>
                </c:pt>
                <c:pt idx="2">
                  <c:v>1.215144249680171</c:v>
                </c:pt>
                <c:pt idx="3">
                  <c:v>3.19319245010661</c:v>
                </c:pt>
                <c:pt idx="4">
                  <c:v>5.3382982432835835</c:v>
                </c:pt>
                <c:pt idx="5">
                  <c:v>7.5453882432835835</c:v>
                </c:pt>
                <c:pt idx="6">
                  <c:v>7.5453882432835835</c:v>
                </c:pt>
                <c:pt idx="7">
                  <c:v>7.5453882432835835</c:v>
                </c:pt>
                <c:pt idx="8">
                  <c:v>7.5453882432835835</c:v>
                </c:pt>
                <c:pt idx="9">
                  <c:v>7.5453882432835835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C-43A7-98AE-34EFC569C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1164124448"/>
        <c:axId val="1164132288"/>
      </c:barChart>
      <c:catAx>
        <c:axId val="116412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132288"/>
        <c:crosses val="autoZero"/>
        <c:auto val="1"/>
        <c:lblAlgn val="ctr"/>
        <c:lblOffset val="100"/>
        <c:noMultiLvlLbl val="0"/>
      </c:catAx>
      <c:valAx>
        <c:axId val="1164132288"/>
        <c:scaling>
          <c:orientation val="minMax"/>
        </c:scaling>
        <c:delete val="1"/>
        <c:axPos val="l"/>
        <c:numFmt formatCode="_(* #,##0.00_);_(* \(#,##0.00\);_(* &quot;-&quot;_);_(@_)" sourceLinked="1"/>
        <c:majorTickMark val="none"/>
        <c:minorTickMark val="none"/>
        <c:tickLblPos val="nextTo"/>
        <c:crossAx val="116412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Number of</a:t>
            </a:r>
            <a:r>
              <a:rPr lang="en-US" sz="1100" baseline="0"/>
              <a:t> employees</a:t>
            </a:r>
            <a:endParaRPr lang="en-US" sz="1100"/>
          </a:p>
        </c:rich>
      </c:tx>
      <c:layout>
        <c:manualLayout>
          <c:xMode val="edge"/>
          <c:yMode val="edge"/>
          <c:x val="0.315183965403039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EN!$B$122</c:f>
              <c:strCache>
                <c:ptCount val="1"/>
                <c:pt idx="0">
                  <c:v>Agricultural division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EN!$C$122:$H$122</c:f>
              <c:numCache>
                <c:formatCode>#,##0</c:formatCode>
                <c:ptCount val="6"/>
                <c:pt idx="0">
                  <c:v>12</c:v>
                </c:pt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B-473D-9E73-30A0D371F1ED}"/>
            </c:ext>
          </c:extLst>
        </c:ser>
        <c:ser>
          <c:idx val="1"/>
          <c:order val="1"/>
          <c:tx>
            <c:strRef>
              <c:f>EN!$B$123</c:f>
              <c:strCache>
                <c:ptCount val="1"/>
                <c:pt idx="0">
                  <c:v>Apiary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EN!$C$123:$H$123</c:f>
              <c:numCache>
                <c:formatCode>#,##0</c:formatCode>
                <c:ptCount val="6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B-473D-9E73-30A0D371F1ED}"/>
            </c:ext>
          </c:extLst>
        </c:ser>
        <c:ser>
          <c:idx val="2"/>
          <c:order val="2"/>
          <c:tx>
            <c:strRef>
              <c:f>EN!$B$124</c:f>
              <c:strCache>
                <c:ptCount val="1"/>
                <c:pt idx="0">
                  <c:v>Plant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EN!$C$124:$H$124</c:f>
              <c:numCache>
                <c:formatCode>#,##0</c:formatCode>
                <c:ptCount val="6"/>
                <c:pt idx="0">
                  <c:v>27</c:v>
                </c:pt>
                <c:pt idx="1">
                  <c:v>27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6B-473D-9E73-30A0D371F1ED}"/>
            </c:ext>
          </c:extLst>
        </c:ser>
        <c:ser>
          <c:idx val="3"/>
          <c:order val="3"/>
          <c:tx>
            <c:strRef>
              <c:f>EN!$B$125</c:f>
              <c:strCache>
                <c:ptCount val="1"/>
                <c:pt idx="0">
                  <c:v>Laboratory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EN!$C$125:$H$125</c:f>
              <c:numCache>
                <c:formatCode>#,##0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6B-473D-9E73-30A0D371F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4130328"/>
        <c:axId val="1164135424"/>
      </c:barChart>
      <c:lineChart>
        <c:grouping val="standard"/>
        <c:varyColors val="0"/>
        <c:ser>
          <c:idx val="4"/>
          <c:order val="4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EN!$C$121:$H$121</c:f>
              <c:numCache>
                <c:formatCode>#,##0</c:formatCode>
                <c:ptCount val="6"/>
                <c:pt idx="0">
                  <c:v>74</c:v>
                </c:pt>
                <c:pt idx="1">
                  <c:v>87</c:v>
                </c:pt>
                <c:pt idx="2">
                  <c:v>101</c:v>
                </c:pt>
                <c:pt idx="3">
                  <c:v>101</c:v>
                </c:pt>
                <c:pt idx="4">
                  <c:v>111</c:v>
                </c:pt>
                <c:pt idx="5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E6B-473D-9E73-30A0D371F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30328"/>
        <c:axId val="1164135424"/>
      </c:lineChart>
      <c:catAx>
        <c:axId val="116413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35424"/>
        <c:crosses val="autoZero"/>
        <c:auto val="1"/>
        <c:lblAlgn val="ctr"/>
        <c:lblOffset val="100"/>
        <c:noMultiLvlLbl val="0"/>
      </c:catAx>
      <c:valAx>
        <c:axId val="116413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30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Salary budget,</a:t>
            </a:r>
            <a:r>
              <a:rPr lang="en-US" sz="1100" baseline="0"/>
              <a:t> k USD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EN!$B$122</c:f>
              <c:strCache>
                <c:ptCount val="1"/>
                <c:pt idx="0">
                  <c:v>Agricultural division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EN!$C$128:$H$128</c:f>
              <c:numCache>
                <c:formatCode>0</c:formatCode>
                <c:ptCount val="6"/>
                <c:pt idx="0">
                  <c:v>91.800000000000011</c:v>
                </c:pt>
                <c:pt idx="1">
                  <c:v>108.60000000000001</c:v>
                </c:pt>
                <c:pt idx="2">
                  <c:v>115.8</c:v>
                </c:pt>
                <c:pt idx="3">
                  <c:v>115.8</c:v>
                </c:pt>
                <c:pt idx="4">
                  <c:v>115.8</c:v>
                </c:pt>
                <c:pt idx="5">
                  <c:v>115.8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3-4372-96FF-ACD240E5EC3B}"/>
            </c:ext>
          </c:extLst>
        </c:ser>
        <c:ser>
          <c:idx val="1"/>
          <c:order val="1"/>
          <c:tx>
            <c:strRef>
              <c:f>EN!$B$123</c:f>
              <c:strCache>
                <c:ptCount val="1"/>
                <c:pt idx="0">
                  <c:v>Apiary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EN!$C$129:$H$129</c:f>
              <c:numCache>
                <c:formatCode>0</c:formatCode>
                <c:ptCount val="6"/>
                <c:pt idx="0">
                  <c:v>320.40000000000003</c:v>
                </c:pt>
                <c:pt idx="1">
                  <c:v>440.40000000000003</c:v>
                </c:pt>
                <c:pt idx="2">
                  <c:v>560.4</c:v>
                </c:pt>
                <c:pt idx="3">
                  <c:v>560.4</c:v>
                </c:pt>
                <c:pt idx="4">
                  <c:v>680.4</c:v>
                </c:pt>
                <c:pt idx="5">
                  <c:v>800.4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93-4372-96FF-ACD240E5EC3B}"/>
            </c:ext>
          </c:extLst>
        </c:ser>
        <c:ser>
          <c:idx val="2"/>
          <c:order val="2"/>
          <c:tx>
            <c:strRef>
              <c:f>EN!$B$124</c:f>
              <c:strCache>
                <c:ptCount val="1"/>
                <c:pt idx="0">
                  <c:v>Plant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EN!$C$130:$H$130</c:f>
              <c:numCache>
                <c:formatCode>0</c:formatCode>
                <c:ptCount val="6"/>
                <c:pt idx="0">
                  <c:v>199.8</c:v>
                </c:pt>
                <c:pt idx="1">
                  <c:v>199.8</c:v>
                </c:pt>
                <c:pt idx="2">
                  <c:v>210.90000000000003</c:v>
                </c:pt>
                <c:pt idx="3">
                  <c:v>210.90000000000003</c:v>
                </c:pt>
                <c:pt idx="4">
                  <c:v>210.90000000000003</c:v>
                </c:pt>
                <c:pt idx="5">
                  <c:v>210.90000000000003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93-4372-96FF-ACD240E5EC3B}"/>
            </c:ext>
          </c:extLst>
        </c:ser>
        <c:ser>
          <c:idx val="3"/>
          <c:order val="3"/>
          <c:tx>
            <c:strRef>
              <c:f>EN!$B$125</c:f>
              <c:strCache>
                <c:ptCount val="1"/>
                <c:pt idx="0">
                  <c:v>Laboratory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EN!$B$3:$G$3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EN!$C$131:$H$131</c:f>
              <c:numCache>
                <c:formatCode>0</c:formatCode>
                <c:ptCount val="6"/>
                <c:pt idx="0">
                  <c:v>40.799999999999997</c:v>
                </c:pt>
                <c:pt idx="1">
                  <c:v>40.799999999999997</c:v>
                </c:pt>
                <c:pt idx="2">
                  <c:v>40.799999999999997</c:v>
                </c:pt>
                <c:pt idx="3">
                  <c:v>40.799999999999997</c:v>
                </c:pt>
                <c:pt idx="4">
                  <c:v>40.799999999999997</c:v>
                </c:pt>
                <c:pt idx="5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93-4372-96FF-ACD240E5E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4127976"/>
        <c:axId val="1164130720"/>
      </c:barChart>
      <c:lineChart>
        <c:grouping val="standard"/>
        <c:varyColors val="0"/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EN!$C$127:$H$127</c:f>
              <c:numCache>
                <c:formatCode>0</c:formatCode>
                <c:ptCount val="6"/>
                <c:pt idx="0">
                  <c:v>652.79999999999995</c:v>
                </c:pt>
                <c:pt idx="1">
                  <c:v>789.59999999999991</c:v>
                </c:pt>
                <c:pt idx="2">
                  <c:v>927.89999999999986</c:v>
                </c:pt>
                <c:pt idx="3">
                  <c:v>927.89999999999986</c:v>
                </c:pt>
                <c:pt idx="4">
                  <c:v>1047.8999999999999</c:v>
                </c:pt>
                <c:pt idx="5">
                  <c:v>1167.8999999999999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93-4372-96FF-ACD240E5E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27976"/>
        <c:axId val="1164130720"/>
      </c:lineChart>
      <c:catAx>
        <c:axId val="1164127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30720"/>
        <c:crosses val="autoZero"/>
        <c:auto val="1"/>
        <c:lblAlgn val="ctr"/>
        <c:lblOffset val="100"/>
        <c:noMultiLvlLbl val="0"/>
      </c:catAx>
      <c:valAx>
        <c:axId val="116413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27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200"/>
              <a:t>Инвестиции в завод</a:t>
            </a:r>
            <a:endParaRPr lang="en-US" sz="1200"/>
          </a:p>
        </c:rich>
      </c:tx>
      <c:layout>
        <c:manualLayout>
          <c:xMode val="edge"/>
          <c:yMode val="edge"/>
          <c:x val="2.3728339876324191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939509351798874"/>
          <c:w val="0.42124163334520187"/>
          <c:h val="0.7533300136650009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40-48CF-B859-F4D8E175A6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40-48CF-B859-F4D8E175A6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40-48CF-B859-F4D8E175A62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40-48CF-B859-F4D8E175A62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40-48CF-B859-F4D8E175A6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RU!$U$4:$U$8</c:f>
              <c:strCache>
                <c:ptCount val="5"/>
                <c:pt idx="0">
                  <c:v>Здания и сооружения</c:v>
                </c:pt>
                <c:pt idx="1">
                  <c:v>Инфраструктура</c:v>
                </c:pt>
                <c:pt idx="2">
                  <c:v>Производственное оборудование</c:v>
                </c:pt>
                <c:pt idx="3">
                  <c:v>Вспомогательное оборудование</c:v>
                </c:pt>
                <c:pt idx="4">
                  <c:v>Прочие</c:v>
                </c:pt>
              </c:strCache>
            </c:strRef>
          </c:cat>
          <c:val>
            <c:numRef>
              <c:f>RU!$V$4:$V$8</c:f>
              <c:numCache>
                <c:formatCode>_(* #,##0_);_(* \(#,##0\);_(* "-"_);_(@_)</c:formatCode>
                <c:ptCount val="5"/>
                <c:pt idx="0">
                  <c:v>1862.5</c:v>
                </c:pt>
                <c:pt idx="1">
                  <c:v>881.25</c:v>
                </c:pt>
                <c:pt idx="2">
                  <c:v>762.5</c:v>
                </c:pt>
                <c:pt idx="3">
                  <c:v>453.75</c:v>
                </c:pt>
                <c:pt idx="4">
                  <c:v>187.5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40-48CF-B859-F4D8E175A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925124894636214"/>
          <c:y val="0.22534104094965113"/>
          <c:w val="0.49378617490046123"/>
          <c:h val="0.633258495732149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100"/>
              <a:t>Инвестиции в агрохозяйство</a:t>
            </a:r>
            <a:endParaRPr lang="en-US" sz="1100"/>
          </a:p>
        </c:rich>
      </c:tx>
      <c:layout>
        <c:manualLayout>
          <c:xMode val="edge"/>
          <c:yMode val="edge"/>
          <c:x val="2.4457818252622304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6607394725810708E-2"/>
          <c:y val="0.22418550396267264"/>
          <c:w val="0.40111720307586995"/>
          <c:h val="0.775814496037327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FD-4A36-98F2-AC91F5429A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FD-4A36-98F2-AC91F5429A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FD-4A36-98F2-AC91F5429A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FD-4A36-98F2-AC91F5429A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FD-4A36-98F2-AC91F5429A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FD-4A36-98F2-AC91F5429A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EFD-4A36-98F2-AC91F5429A30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FD-4A36-98F2-AC91F5429A3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FD-4A36-98F2-AC91F5429A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RU!$AB$4:$AB$10</c:f>
              <c:strCache>
                <c:ptCount val="7"/>
                <c:pt idx="0">
                  <c:v>Трактора и прицепное оборудование</c:v>
                </c:pt>
                <c:pt idx="1">
                  <c:v>СХ оборудование и механизмы</c:v>
                </c:pt>
                <c:pt idx="2">
                  <c:v>Химикаты, удобрения (разово)</c:v>
                </c:pt>
                <c:pt idx="3">
                  <c:v>Семена (многолетние растения)</c:v>
                </c:pt>
                <c:pt idx="4">
                  <c:v>Здания и сооружения</c:v>
                </c:pt>
                <c:pt idx="5">
                  <c:v>Бензовоз</c:v>
                </c:pt>
                <c:pt idx="6">
                  <c:v>Навесное оборудование</c:v>
                </c:pt>
              </c:strCache>
            </c:strRef>
          </c:cat>
          <c:val>
            <c:numRef>
              <c:f>RU!$AC$4:$AC$10</c:f>
              <c:numCache>
                <c:formatCode>_(* #,##0_);_(* \(#,##0\);_(* "-"_);_(@_)</c:formatCode>
                <c:ptCount val="7"/>
                <c:pt idx="0">
                  <c:v>1684.8</c:v>
                </c:pt>
                <c:pt idx="1">
                  <c:v>1380</c:v>
                </c:pt>
                <c:pt idx="2">
                  <c:v>1435.5</c:v>
                </c:pt>
                <c:pt idx="3">
                  <c:v>390</c:v>
                </c:pt>
                <c:pt idx="4">
                  <c:v>260</c:v>
                </c:pt>
                <c:pt idx="5">
                  <c:v>12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FD-4A36-98F2-AC91F5429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227054733341585"/>
          <c:y val="0.12062040989069363"/>
          <c:w val="0.50076706380288849"/>
          <c:h val="0.821096314168814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100"/>
              <a:t>Объем производства, тонн</a:t>
            </a:r>
            <a:endParaRPr lang="en-US" sz="1100"/>
          </a:p>
        </c:rich>
      </c:tx>
      <c:layout>
        <c:manualLayout>
          <c:xMode val="edge"/>
          <c:yMode val="edge"/>
          <c:x val="0.2824425182499394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RU!$B$20:$G$20</c:f>
              <c:numCache>
                <c:formatCode>_(* #,##0_);_(* \(#,##0\);_(* "-"_);_(@_)</c:formatCode>
                <c:ptCount val="6"/>
                <c:pt idx="0">
                  <c:v>0</c:v>
                </c:pt>
                <c:pt idx="1">
                  <c:v>925</c:v>
                </c:pt>
                <c:pt idx="2">
                  <c:v>1300</c:v>
                </c:pt>
                <c:pt idx="3">
                  <c:v>1800</c:v>
                </c:pt>
                <c:pt idx="4">
                  <c:v>2175</c:v>
                </c:pt>
                <c:pt idx="5">
                  <c:v>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8-44A1-8421-5D3510505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164099752"/>
        <c:axId val="1164098968"/>
      </c:barChart>
      <c:catAx>
        <c:axId val="1164099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098968"/>
        <c:crosses val="autoZero"/>
        <c:auto val="1"/>
        <c:lblAlgn val="ctr"/>
        <c:lblOffset val="100"/>
        <c:noMultiLvlLbl val="0"/>
      </c:catAx>
      <c:valAx>
        <c:axId val="116409896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099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100"/>
              <a:t>Структура</a:t>
            </a:r>
            <a:r>
              <a:rPr lang="ru-RU" sz="1100" baseline="0"/>
              <a:t> себестоимости по бизнес-юнитам</a:t>
            </a:r>
            <a:endParaRPr lang="en-US" sz="1100"/>
          </a:p>
        </c:rich>
      </c:tx>
      <c:layout>
        <c:manualLayout>
          <c:xMode val="edge"/>
          <c:yMode val="edge"/>
          <c:x val="2.3674148932688752E-2"/>
          <c:y val="2.8341799423077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679483770120461E-2"/>
          <c:y val="0.21220821894330166"/>
          <c:w val="0.48539980480088618"/>
          <c:h val="0.7877917810566983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CC-4371-98CA-ECD590AC90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CC-4371-98CA-ECD590AC903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0CC-4371-98CA-ECD590AC903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0CC-4371-98CA-ECD590AC90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RU!$I$20:$I$23</c:f>
              <c:strCache>
                <c:ptCount val="4"/>
                <c:pt idx="0">
                  <c:v>Агрохозяйство</c:v>
                </c:pt>
                <c:pt idx="1">
                  <c:v>Пасека</c:v>
                </c:pt>
                <c:pt idx="2">
                  <c:v>Завод</c:v>
                </c:pt>
                <c:pt idx="3">
                  <c:v>Лаборатория</c:v>
                </c:pt>
              </c:strCache>
            </c:strRef>
          </c:cat>
          <c:val>
            <c:numRef>
              <c:f>RU!$J$20:$J$23</c:f>
              <c:numCache>
                <c:formatCode>_(* #,##0_);_(* \(#,##0\);_(* "-"_);_(@_)</c:formatCode>
                <c:ptCount val="4"/>
                <c:pt idx="0">
                  <c:v>2149.7492857142852</c:v>
                </c:pt>
                <c:pt idx="1">
                  <c:v>4963.4533333333338</c:v>
                </c:pt>
                <c:pt idx="2">
                  <c:v>1461.8400000000001</c:v>
                </c:pt>
                <c:pt idx="3">
                  <c:v>378.2399999999999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CC-4371-98CA-ECD590AC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101750219385875"/>
          <c:y val="0.35592524370600054"/>
          <c:w val="0.34010795427825274"/>
          <c:h val="0.421480951244730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100"/>
              <a:t>Выручка,</a:t>
            </a:r>
            <a:r>
              <a:rPr lang="ru-RU" sz="1100" baseline="0"/>
              <a:t> тыс. долл. США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RU!$B$3:$G$3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RU!$B$36:$G$36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4625</c:v>
                </c:pt>
                <c:pt idx="2">
                  <c:v>6500</c:v>
                </c:pt>
                <c:pt idx="3">
                  <c:v>9000</c:v>
                </c:pt>
                <c:pt idx="4">
                  <c:v>10875</c:v>
                </c:pt>
                <c:pt idx="5">
                  <c:v>10875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C-4186-9342-B25D1E3EA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164106024"/>
        <c:axId val="1164107984"/>
      </c:barChart>
      <c:catAx>
        <c:axId val="1164106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4107984"/>
        <c:crosses val="autoZero"/>
        <c:auto val="1"/>
        <c:lblAlgn val="ctr"/>
        <c:lblOffset val="100"/>
        <c:noMultiLvlLbl val="0"/>
      </c:catAx>
      <c:valAx>
        <c:axId val="116410798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16410602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13" Type="http://schemas.openxmlformats.org/officeDocument/2006/relationships/chart" Target="../charts/chart36.xml"/><Relationship Id="rId18" Type="http://schemas.openxmlformats.org/officeDocument/2006/relationships/chart" Target="../charts/chart41.xml"/><Relationship Id="rId3" Type="http://schemas.openxmlformats.org/officeDocument/2006/relationships/chart" Target="../charts/chart26.xml"/><Relationship Id="rId21" Type="http://schemas.openxmlformats.org/officeDocument/2006/relationships/chart" Target="../charts/chart44.xml"/><Relationship Id="rId7" Type="http://schemas.openxmlformats.org/officeDocument/2006/relationships/chart" Target="../charts/chart30.xml"/><Relationship Id="rId12" Type="http://schemas.openxmlformats.org/officeDocument/2006/relationships/chart" Target="../charts/chart35.xml"/><Relationship Id="rId17" Type="http://schemas.openxmlformats.org/officeDocument/2006/relationships/chart" Target="../charts/chart40.xml"/><Relationship Id="rId2" Type="http://schemas.openxmlformats.org/officeDocument/2006/relationships/chart" Target="../charts/chart25.xml"/><Relationship Id="rId16" Type="http://schemas.openxmlformats.org/officeDocument/2006/relationships/chart" Target="../charts/chart39.xml"/><Relationship Id="rId20" Type="http://schemas.openxmlformats.org/officeDocument/2006/relationships/chart" Target="../charts/chart43.xml"/><Relationship Id="rId1" Type="http://schemas.openxmlformats.org/officeDocument/2006/relationships/chart" Target="../charts/chart24.xml"/><Relationship Id="rId6" Type="http://schemas.openxmlformats.org/officeDocument/2006/relationships/chart" Target="../charts/chart29.xml"/><Relationship Id="rId11" Type="http://schemas.openxmlformats.org/officeDocument/2006/relationships/chart" Target="../charts/chart34.xml"/><Relationship Id="rId5" Type="http://schemas.openxmlformats.org/officeDocument/2006/relationships/chart" Target="../charts/chart28.xml"/><Relationship Id="rId15" Type="http://schemas.openxmlformats.org/officeDocument/2006/relationships/chart" Target="../charts/chart38.xml"/><Relationship Id="rId23" Type="http://schemas.openxmlformats.org/officeDocument/2006/relationships/chart" Target="../charts/chart46.xml"/><Relationship Id="rId10" Type="http://schemas.openxmlformats.org/officeDocument/2006/relationships/chart" Target="../charts/chart33.xml"/><Relationship Id="rId19" Type="http://schemas.openxmlformats.org/officeDocument/2006/relationships/chart" Target="../charts/chart42.xml"/><Relationship Id="rId4" Type="http://schemas.openxmlformats.org/officeDocument/2006/relationships/chart" Target="../charts/chart27.xml"/><Relationship Id="rId9" Type="http://schemas.openxmlformats.org/officeDocument/2006/relationships/chart" Target="../charts/chart32.xml"/><Relationship Id="rId14" Type="http://schemas.openxmlformats.org/officeDocument/2006/relationships/chart" Target="../charts/chart37.xml"/><Relationship Id="rId22" Type="http://schemas.openxmlformats.org/officeDocument/2006/relationships/chart" Target="../charts/chart4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328438</xdr:colOff>
      <xdr:row>16</xdr:row>
      <xdr:rowOff>63705</xdr:rowOff>
    </xdr:from>
    <xdr:to>
      <xdr:col>20</xdr:col>
      <xdr:colOff>61338</xdr:colOff>
      <xdr:row>29</xdr:row>
      <xdr:rowOff>38378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253C36-4762-4AA2-912F-5852DD975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200746</xdr:colOff>
      <xdr:row>0</xdr:row>
      <xdr:rowOff>0</xdr:rowOff>
    </xdr:from>
    <xdr:to>
      <xdr:col>7</xdr:col>
      <xdr:colOff>57149</xdr:colOff>
      <xdr:row>13</xdr:row>
      <xdr:rowOff>22731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670240-6363-4664-ACEF-538003713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91478</xdr:colOff>
      <xdr:row>0</xdr:row>
      <xdr:rowOff>37574</xdr:rowOff>
    </xdr:from>
    <xdr:to>
      <xdr:col>13</xdr:col>
      <xdr:colOff>12586</xdr:colOff>
      <xdr:row>13</xdr:row>
      <xdr:rowOff>123299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C0DC17-3024-498D-BBDE-175E7050C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204929</xdr:colOff>
      <xdr:row>5</xdr:row>
      <xdr:rowOff>54508</xdr:rowOff>
    </xdr:from>
    <xdr:to>
      <xdr:col>10</xdr:col>
      <xdr:colOff>109516</xdr:colOff>
      <xdr:row>11</xdr:row>
      <xdr:rowOff>31750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86882B9-9769-4EC8-AC91-35E8BDF5B0C1}"/>
            </a:ext>
          </a:extLst>
        </xdr:cNvPr>
        <xdr:cNvSpPr txBox="1"/>
      </xdr:nvSpPr>
      <xdr:spPr>
        <a:xfrm>
          <a:off x="4332429" y="864133"/>
          <a:ext cx="1111087" cy="929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000" b="1"/>
            <a:t>25.5</a:t>
          </a:r>
          <a:endParaRPr lang="ru-RU" sz="3000"/>
        </a:p>
        <a:p>
          <a:pPr algn="ctr"/>
          <a:r>
            <a:rPr lang="ru-RU" sz="1100"/>
            <a:t>млн долл. США</a:t>
          </a:r>
          <a:endParaRPr lang="en-US" sz="1100"/>
        </a:p>
      </xdr:txBody>
    </xdr:sp>
    <xdr:clientData/>
  </xdr:twoCellAnchor>
  <xdr:twoCellAnchor>
    <xdr:from>
      <xdr:col>13</xdr:col>
      <xdr:colOff>332835</xdr:colOff>
      <xdr:row>0</xdr:row>
      <xdr:rowOff>59530</xdr:rowOff>
    </xdr:from>
    <xdr:to>
      <xdr:col>19</xdr:col>
      <xdr:colOff>438009</xdr:colOff>
      <xdr:row>13</xdr:row>
      <xdr:rowOff>40480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C27F6AB-C4A3-4CDC-A48B-AD15B59AA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130968</xdr:colOff>
      <xdr:row>4</xdr:row>
      <xdr:rowOff>142875</xdr:rowOff>
    </xdr:from>
    <xdr:to>
      <xdr:col>16</xdr:col>
      <xdr:colOff>155575</xdr:colOff>
      <xdr:row>11</xdr:row>
      <xdr:rowOff>5788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1A15AC1-19F8-4CC5-8A28-25A36AAD9A19}"/>
            </a:ext>
          </a:extLst>
        </xdr:cNvPr>
        <xdr:cNvSpPr txBox="1"/>
      </xdr:nvSpPr>
      <xdr:spPr>
        <a:xfrm>
          <a:off x="7929562" y="821531"/>
          <a:ext cx="1131888" cy="1029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000" b="1"/>
            <a:t>15.3</a:t>
          </a:r>
          <a:r>
            <a:rPr lang="en-US" sz="1100"/>
            <a:t> </a:t>
          </a:r>
          <a:endParaRPr lang="ru-RU" sz="1100"/>
        </a:p>
        <a:p>
          <a:pPr algn="ctr"/>
          <a:r>
            <a:rPr lang="ru-RU" sz="1100"/>
            <a:t>млн долл. США</a:t>
          </a:r>
          <a:endParaRPr lang="en-US" sz="1100"/>
        </a:p>
      </xdr:txBody>
    </xdr:sp>
    <xdr:clientData/>
  </xdr:twoCellAnchor>
  <xdr:twoCellAnchor>
    <xdr:from>
      <xdr:col>19</xdr:col>
      <xdr:colOff>454638</xdr:colOff>
      <xdr:row>0</xdr:row>
      <xdr:rowOff>0</xdr:rowOff>
    </xdr:from>
    <xdr:to>
      <xdr:col>26</xdr:col>
      <xdr:colOff>194742</xdr:colOff>
      <xdr:row>13</xdr:row>
      <xdr:rowOff>46628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FBFF5D6-9D00-4CCD-9C5F-5802DC051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164646</xdr:colOff>
      <xdr:row>4</xdr:row>
      <xdr:rowOff>146846</xdr:rowOff>
    </xdr:from>
    <xdr:to>
      <xdr:col>21</xdr:col>
      <xdr:colOff>460941</xdr:colOff>
      <xdr:row>10</xdr:row>
      <xdr:rowOff>97632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EE545AE-E861-4F83-A637-8F5AA710323B}"/>
            </a:ext>
          </a:extLst>
        </xdr:cNvPr>
        <xdr:cNvSpPr txBox="1"/>
      </xdr:nvSpPr>
      <xdr:spPr>
        <a:xfrm>
          <a:off x="11499396" y="825502"/>
          <a:ext cx="903514" cy="950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000" b="1"/>
            <a:t>4.1</a:t>
          </a:r>
          <a:endParaRPr lang="ru-RU" sz="3000"/>
        </a:p>
        <a:p>
          <a:pPr algn="ctr"/>
          <a:r>
            <a:rPr lang="ru-RU" sz="1100"/>
            <a:t>млн долл. США</a:t>
          </a:r>
          <a:endParaRPr lang="en-US" sz="1100"/>
        </a:p>
      </xdr:txBody>
    </xdr:sp>
    <xdr:clientData/>
  </xdr:twoCellAnchor>
  <xdr:twoCellAnchor>
    <xdr:from>
      <xdr:col>26</xdr:col>
      <xdr:colOff>213622</xdr:colOff>
      <xdr:row>0</xdr:row>
      <xdr:rowOff>60459</xdr:rowOff>
    </xdr:from>
    <xdr:to>
      <xdr:col>32</xdr:col>
      <xdr:colOff>607055</xdr:colOff>
      <xdr:row>13</xdr:row>
      <xdr:rowOff>22480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711A175-FE93-4CD0-AF1B-737AB1A67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62644</xdr:colOff>
      <xdr:row>4</xdr:row>
      <xdr:rowOff>142875</xdr:rowOff>
    </xdr:from>
    <xdr:to>
      <xdr:col>28</xdr:col>
      <xdr:colOff>353438</xdr:colOff>
      <xdr:row>10</xdr:row>
      <xdr:rowOff>69964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F84FA97-1C93-482F-8249-725B8B89C325}"/>
            </a:ext>
          </a:extLst>
        </xdr:cNvPr>
        <xdr:cNvSpPr txBox="1"/>
      </xdr:nvSpPr>
      <xdr:spPr>
        <a:xfrm>
          <a:off x="15429644" y="793750"/>
          <a:ext cx="894044" cy="879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000" b="1"/>
            <a:t>5.2</a:t>
          </a:r>
          <a:endParaRPr lang="ru-RU" sz="3000"/>
        </a:p>
        <a:p>
          <a:pPr algn="ctr"/>
          <a:r>
            <a:rPr lang="ru-RU" sz="1100"/>
            <a:t>млн долл. США</a:t>
          </a:r>
          <a:endParaRPr lang="en-US" sz="1100"/>
        </a:p>
      </xdr:txBody>
    </xdr:sp>
    <xdr:clientData/>
  </xdr:twoCellAnchor>
  <xdr:twoCellAnchor>
    <xdr:from>
      <xdr:col>0</xdr:col>
      <xdr:colOff>184625</xdr:colOff>
      <xdr:row>16</xdr:row>
      <xdr:rowOff>12370</xdr:rowOff>
    </xdr:from>
    <xdr:to>
      <xdr:col>7</xdr:col>
      <xdr:colOff>24741</xdr:colOff>
      <xdr:row>30</xdr:row>
      <xdr:rowOff>18183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6A3840A-29B6-4C13-9897-0A3C5CF3E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4447</xdr:colOff>
      <xdr:row>15</xdr:row>
      <xdr:rowOff>158956</xdr:rowOff>
    </xdr:from>
    <xdr:to>
      <xdr:col>13</xdr:col>
      <xdr:colOff>313169</xdr:colOff>
      <xdr:row>29</xdr:row>
      <xdr:rowOff>123360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FB350CC-8169-433C-849D-EBE28B96E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197923</xdr:colOff>
      <xdr:row>21</xdr:row>
      <xdr:rowOff>114658</xdr:rowOff>
    </xdr:from>
    <xdr:to>
      <xdr:col>10</xdr:col>
      <xdr:colOff>134675</xdr:colOff>
      <xdr:row>26</xdr:row>
      <xdr:rowOff>95607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2294466-2E06-45E0-A261-13B16E6411BF}"/>
            </a:ext>
          </a:extLst>
        </xdr:cNvPr>
        <xdr:cNvSpPr txBox="1"/>
      </xdr:nvSpPr>
      <xdr:spPr>
        <a:xfrm>
          <a:off x="4360348" y="3553183"/>
          <a:ext cx="1155952" cy="790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000" b="1"/>
            <a:t>1.</a:t>
          </a:r>
          <a:r>
            <a:rPr lang="uk-UA" sz="3000" b="1"/>
            <a:t>07</a:t>
          </a:r>
          <a:r>
            <a:rPr lang="en-US" sz="2000"/>
            <a:t> </a:t>
          </a:r>
          <a:endParaRPr lang="ru-RU" sz="2000"/>
        </a:p>
        <a:p>
          <a:pPr algn="ctr"/>
          <a:r>
            <a:rPr lang="uk-UA" sz="1100" baseline="0"/>
            <a:t>долл. / кг</a:t>
          </a:r>
          <a:endParaRPr lang="en-US" sz="1100"/>
        </a:p>
      </xdr:txBody>
    </xdr:sp>
    <xdr:clientData/>
  </xdr:twoCellAnchor>
  <xdr:twoCellAnchor>
    <xdr:from>
      <xdr:col>0</xdr:col>
      <xdr:colOff>176893</xdr:colOff>
      <xdr:row>34</xdr:row>
      <xdr:rowOff>59530</xdr:rowOff>
    </xdr:from>
    <xdr:to>
      <xdr:col>6</xdr:col>
      <xdr:colOff>563336</xdr:colOff>
      <xdr:row>46</xdr:row>
      <xdr:rowOff>116679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3084800-2B3E-4641-9C11-5A1DFABB7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285750</xdr:colOff>
      <xdr:row>35</xdr:row>
      <xdr:rowOff>9505</xdr:rowOff>
    </xdr:from>
    <xdr:to>
      <xdr:col>13</xdr:col>
      <xdr:colOff>571500</xdr:colOff>
      <xdr:row>48</xdr:row>
      <xdr:rowOff>163285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5117F99-6568-40B9-8972-D83082EE4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485055</xdr:colOff>
      <xdr:row>34</xdr:row>
      <xdr:rowOff>91248</xdr:rowOff>
    </xdr:from>
    <xdr:to>
      <xdr:col>20</xdr:col>
      <xdr:colOff>587707</xdr:colOff>
      <xdr:row>47</xdr:row>
      <xdr:rowOff>73156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120E30B-09DB-4DFB-9AD8-FB7CCF48B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13606</xdr:colOff>
      <xdr:row>34</xdr:row>
      <xdr:rowOff>108857</xdr:rowOff>
    </xdr:from>
    <xdr:to>
      <xdr:col>27</xdr:col>
      <xdr:colOff>606117</xdr:colOff>
      <xdr:row>47</xdr:row>
      <xdr:rowOff>2720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289AFF1-2B2C-447B-9198-85395BD89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27215</xdr:colOff>
      <xdr:row>49</xdr:row>
      <xdr:rowOff>95249</xdr:rowOff>
    </xdr:from>
    <xdr:to>
      <xdr:col>7</xdr:col>
      <xdr:colOff>5443</xdr:colOff>
      <xdr:row>61</xdr:row>
      <xdr:rowOff>152398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FB2734FD-2C4F-414E-AFB5-742518623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544586</xdr:colOff>
      <xdr:row>50</xdr:row>
      <xdr:rowOff>7703</xdr:rowOff>
    </xdr:from>
    <xdr:to>
      <xdr:col>14</xdr:col>
      <xdr:colOff>68336</xdr:colOff>
      <xdr:row>75</xdr:row>
      <xdr:rowOff>34217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C8BF205-2393-40B0-8D6F-123C14194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241619</xdr:colOff>
      <xdr:row>50</xdr:row>
      <xdr:rowOff>161631</xdr:rowOff>
    </xdr:from>
    <xdr:to>
      <xdr:col>21</xdr:col>
      <xdr:colOff>218764</xdr:colOff>
      <xdr:row>63</xdr:row>
      <xdr:rowOff>52089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AE32FF74-A1EC-445C-A0D4-4534CF91A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79</xdr:row>
      <xdr:rowOff>16526</xdr:rowOff>
    </xdr:from>
    <xdr:to>
      <xdr:col>7</xdr:col>
      <xdr:colOff>54428</xdr:colOff>
      <xdr:row>95</xdr:row>
      <xdr:rowOff>140630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95D860D6-4130-4A6C-B526-66527DB4C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372795</xdr:colOff>
      <xdr:row>79</xdr:row>
      <xdr:rowOff>16809</xdr:rowOff>
    </xdr:from>
    <xdr:to>
      <xdr:col>13</xdr:col>
      <xdr:colOff>515309</xdr:colOff>
      <xdr:row>93</xdr:row>
      <xdr:rowOff>146477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F4831D87-93F0-4BD7-A9E7-82D2E144F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39118</xdr:colOff>
      <xdr:row>79</xdr:row>
      <xdr:rowOff>15508</xdr:rowOff>
    </xdr:from>
    <xdr:to>
      <xdr:col>22</xdr:col>
      <xdr:colOff>169488</xdr:colOff>
      <xdr:row>93</xdr:row>
      <xdr:rowOff>139453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33612778-58FE-4E2D-8D50-B140D760F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22</xdr:col>
      <xdr:colOff>466544</xdr:colOff>
      <xdr:row>77</xdr:row>
      <xdr:rowOff>128767</xdr:rowOff>
    </xdr:from>
    <xdr:to>
      <xdr:col>30</xdr:col>
      <xdr:colOff>137871</xdr:colOff>
      <xdr:row>94</xdr:row>
      <xdr:rowOff>90606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C6481959-2E1D-4EE1-B423-4DC0AF473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264857</xdr:colOff>
      <xdr:row>99</xdr:row>
      <xdr:rowOff>29484</xdr:rowOff>
    </xdr:from>
    <xdr:to>
      <xdr:col>16</xdr:col>
      <xdr:colOff>305367</xdr:colOff>
      <xdr:row>115</xdr:row>
      <xdr:rowOff>153710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1CB4231-86C1-4815-B0BA-4765863A4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447363</xdr:colOff>
      <xdr:row>97</xdr:row>
      <xdr:rowOff>3740</xdr:rowOff>
    </xdr:from>
    <xdr:to>
      <xdr:col>24</xdr:col>
      <xdr:colOff>525804</xdr:colOff>
      <xdr:row>115</xdr:row>
      <xdr:rowOff>50252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EBC430F3-972B-4C97-89E6-E71FAD2EA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108083</xdr:colOff>
      <xdr:row>118</xdr:row>
      <xdr:rowOff>65098</xdr:rowOff>
    </xdr:from>
    <xdr:to>
      <xdr:col>8</xdr:col>
      <xdr:colOff>190653</xdr:colOff>
      <xdr:row>135</xdr:row>
      <xdr:rowOff>13144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F6C799B4-9D99-4914-A283-49759FD7C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49480</xdr:colOff>
      <xdr:row>118</xdr:row>
      <xdr:rowOff>86128</xdr:rowOff>
    </xdr:from>
    <xdr:to>
      <xdr:col>16</xdr:col>
      <xdr:colOff>235033</xdr:colOff>
      <xdr:row>135</xdr:row>
      <xdr:rowOff>34172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4213EDAA-9A37-4576-A618-9E4DA90B0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14</xdr:col>
      <xdr:colOff>111332</xdr:colOff>
      <xdr:row>21</xdr:row>
      <xdr:rowOff>102288</xdr:rowOff>
    </xdr:from>
    <xdr:to>
      <xdr:col>16</xdr:col>
      <xdr:colOff>159415</xdr:colOff>
      <xdr:row>26</xdr:row>
      <xdr:rowOff>83237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1172A1B-EEED-4A35-883F-7E8ACB5CBAFF}"/>
            </a:ext>
          </a:extLst>
        </xdr:cNvPr>
        <xdr:cNvSpPr txBox="1"/>
      </xdr:nvSpPr>
      <xdr:spPr>
        <a:xfrm>
          <a:off x="7931357" y="3540813"/>
          <a:ext cx="1152983" cy="790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000" b="1"/>
            <a:t>1.</a:t>
          </a:r>
          <a:r>
            <a:rPr lang="uk-UA" sz="3000" b="1"/>
            <a:t>07</a:t>
          </a:r>
          <a:r>
            <a:rPr lang="en-US" sz="2000"/>
            <a:t> </a:t>
          </a:r>
          <a:endParaRPr lang="ru-RU" sz="2000"/>
        </a:p>
        <a:p>
          <a:pPr algn="ctr"/>
          <a:r>
            <a:rPr lang="uk-U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долл. / кг</a:t>
          </a:r>
          <a:endParaRPr lang="en-US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352251</xdr:colOff>
      <xdr:row>16</xdr:row>
      <xdr:rowOff>111331</xdr:rowOff>
    </xdr:from>
    <xdr:to>
      <xdr:col>20</xdr:col>
      <xdr:colOff>85151</xdr:colOff>
      <xdr:row>29</xdr:row>
      <xdr:rowOff>86004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200746</xdr:colOff>
      <xdr:row>0</xdr:row>
      <xdr:rowOff>0</xdr:rowOff>
    </xdr:from>
    <xdr:to>
      <xdr:col>7</xdr:col>
      <xdr:colOff>57149</xdr:colOff>
      <xdr:row>13</xdr:row>
      <xdr:rowOff>22731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67665</xdr:colOff>
      <xdr:row>0</xdr:row>
      <xdr:rowOff>49481</xdr:rowOff>
    </xdr:from>
    <xdr:to>
      <xdr:col>12</xdr:col>
      <xdr:colOff>595992</xdr:colOff>
      <xdr:row>13</xdr:row>
      <xdr:rowOff>135206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236679</xdr:colOff>
      <xdr:row>5</xdr:row>
      <xdr:rowOff>102133</xdr:rowOff>
    </xdr:from>
    <xdr:to>
      <xdr:col>10</xdr:col>
      <xdr:colOff>141266</xdr:colOff>
      <xdr:row>10</xdr:row>
      <xdr:rowOff>76199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4380673" y="930932"/>
          <a:ext cx="1116859" cy="77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000" b="1"/>
            <a:t>25.5</a:t>
          </a:r>
          <a:endParaRPr lang="ru-RU" sz="3000"/>
        </a:p>
        <a:p>
          <a:pPr algn="ctr"/>
          <a:r>
            <a:rPr lang="en-US" sz="1100"/>
            <a:t>USD mln.</a:t>
          </a:r>
        </a:p>
      </xdr:txBody>
    </xdr:sp>
    <xdr:clientData/>
  </xdr:twoCellAnchor>
  <xdr:twoCellAnchor>
    <xdr:from>
      <xdr:col>13</xdr:col>
      <xdr:colOff>297117</xdr:colOff>
      <xdr:row>0</xdr:row>
      <xdr:rowOff>47625</xdr:rowOff>
    </xdr:from>
    <xdr:to>
      <xdr:col>19</xdr:col>
      <xdr:colOff>402291</xdr:colOff>
      <xdr:row>13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71156</xdr:colOff>
      <xdr:row>5</xdr:row>
      <xdr:rowOff>56588</xdr:rowOff>
    </xdr:from>
    <xdr:to>
      <xdr:col>16</xdr:col>
      <xdr:colOff>171450</xdr:colOff>
      <xdr:row>10</xdr:row>
      <xdr:rowOff>37538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7891181" y="885263"/>
          <a:ext cx="1205194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000" b="1"/>
            <a:t>15.3</a:t>
          </a:r>
          <a:r>
            <a:rPr lang="en-US" sz="1100"/>
            <a:t> </a:t>
          </a:r>
          <a:endParaRPr lang="ru-RU" sz="1100"/>
        </a:p>
        <a:p>
          <a:pPr algn="ctr"/>
          <a:r>
            <a:rPr lang="en-US" sz="1100"/>
            <a:t>USD</a:t>
          </a:r>
          <a:r>
            <a:rPr lang="en-US" sz="1100" baseline="0"/>
            <a:t> mln.</a:t>
          </a:r>
          <a:endParaRPr lang="en-US" sz="1100"/>
        </a:p>
      </xdr:txBody>
    </xdr:sp>
    <xdr:clientData/>
  </xdr:twoCellAnchor>
  <xdr:twoCellAnchor>
    <xdr:from>
      <xdr:col>19</xdr:col>
      <xdr:colOff>502263</xdr:colOff>
      <xdr:row>0</xdr:row>
      <xdr:rowOff>27214</xdr:rowOff>
    </xdr:from>
    <xdr:to>
      <xdr:col>26</xdr:col>
      <xdr:colOff>242367</xdr:colOff>
      <xdr:row>13</xdr:row>
      <xdr:rowOff>73842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259896</xdr:colOff>
      <xdr:row>5</xdr:row>
      <xdr:rowOff>57148</xdr:rowOff>
    </xdr:from>
    <xdr:to>
      <xdr:col>22</xdr:col>
      <xdr:colOff>68035</xdr:colOff>
      <xdr:row>10</xdr:row>
      <xdr:rowOff>38099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11662682" y="887184"/>
          <a:ext cx="910317" cy="797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000" b="1"/>
            <a:t>4.1</a:t>
          </a:r>
          <a:endParaRPr lang="ru-RU" sz="3000"/>
        </a:p>
        <a:p>
          <a:pPr algn="ctr"/>
          <a:r>
            <a:rPr lang="en-US" sz="1100"/>
            <a:t>USD mln</a:t>
          </a:r>
          <a:r>
            <a:rPr lang="ru-RU" sz="1100" baseline="0"/>
            <a:t>.</a:t>
          </a:r>
          <a:endParaRPr lang="en-US" sz="1100"/>
        </a:p>
      </xdr:txBody>
    </xdr:sp>
    <xdr:clientData/>
  </xdr:twoCellAnchor>
  <xdr:twoCellAnchor>
    <xdr:from>
      <xdr:col>26</xdr:col>
      <xdr:colOff>261248</xdr:colOff>
      <xdr:row>0</xdr:row>
      <xdr:rowOff>24740</xdr:rowOff>
    </xdr:from>
    <xdr:to>
      <xdr:col>33</xdr:col>
      <xdr:colOff>47463</xdr:colOff>
      <xdr:row>12</xdr:row>
      <xdr:rowOff>153449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110269</xdr:colOff>
      <xdr:row>5</xdr:row>
      <xdr:rowOff>89012</xdr:rowOff>
    </xdr:from>
    <xdr:to>
      <xdr:col>28</xdr:col>
      <xdr:colOff>401063</xdr:colOff>
      <xdr:row>10</xdr:row>
      <xdr:rowOff>69964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15535821" y="917811"/>
          <a:ext cx="896930" cy="785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000" b="1"/>
            <a:t>5.2</a:t>
          </a:r>
          <a:endParaRPr lang="ru-RU" sz="3000"/>
        </a:p>
        <a:p>
          <a:pPr algn="ctr"/>
          <a:r>
            <a:rPr lang="en-US" sz="1100"/>
            <a:t>USD mln</a:t>
          </a:r>
          <a:r>
            <a:rPr lang="ru-RU" sz="1100" baseline="0"/>
            <a:t>.</a:t>
          </a:r>
          <a:endParaRPr lang="en-US" sz="1100"/>
        </a:p>
      </xdr:txBody>
    </xdr:sp>
    <xdr:clientData/>
  </xdr:twoCellAnchor>
  <xdr:twoCellAnchor>
    <xdr:from>
      <xdr:col>0</xdr:col>
      <xdr:colOff>184625</xdr:colOff>
      <xdr:row>16</xdr:row>
      <xdr:rowOff>12370</xdr:rowOff>
    </xdr:from>
    <xdr:to>
      <xdr:col>7</xdr:col>
      <xdr:colOff>24741</xdr:colOff>
      <xdr:row>30</xdr:row>
      <xdr:rowOff>18183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40166</xdr:colOff>
      <xdr:row>15</xdr:row>
      <xdr:rowOff>111331</xdr:rowOff>
    </xdr:from>
    <xdr:to>
      <xdr:col>13</xdr:col>
      <xdr:colOff>348888</xdr:colOff>
      <xdr:row>29</xdr:row>
      <xdr:rowOff>75735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197923</xdr:colOff>
      <xdr:row>21</xdr:row>
      <xdr:rowOff>114658</xdr:rowOff>
    </xdr:from>
    <xdr:to>
      <xdr:col>10</xdr:col>
      <xdr:colOff>134675</xdr:colOff>
      <xdr:row>26</xdr:row>
      <xdr:rowOff>95607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4341917" y="3541184"/>
          <a:ext cx="1149024" cy="7850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000" b="1"/>
            <a:t>1.</a:t>
          </a:r>
          <a:r>
            <a:rPr lang="uk-UA" sz="3000" b="1"/>
            <a:t>07</a:t>
          </a:r>
          <a:r>
            <a:rPr lang="en-US" sz="2000"/>
            <a:t> </a:t>
          </a:r>
          <a:endParaRPr lang="ru-RU" sz="2000"/>
        </a:p>
        <a:p>
          <a:pPr algn="ctr"/>
          <a:r>
            <a:rPr lang="en-US" sz="1100" baseline="0"/>
            <a:t>USD/kg</a:t>
          </a:r>
          <a:endParaRPr lang="en-US" sz="1100"/>
        </a:p>
      </xdr:txBody>
    </xdr:sp>
    <xdr:clientData/>
  </xdr:twoCellAnchor>
  <xdr:twoCellAnchor>
    <xdr:from>
      <xdr:col>0</xdr:col>
      <xdr:colOff>176893</xdr:colOff>
      <xdr:row>34</xdr:row>
      <xdr:rowOff>59530</xdr:rowOff>
    </xdr:from>
    <xdr:to>
      <xdr:col>6</xdr:col>
      <xdr:colOff>563336</xdr:colOff>
      <xdr:row>46</xdr:row>
      <xdr:rowOff>116679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285750</xdr:colOff>
      <xdr:row>35</xdr:row>
      <xdr:rowOff>9505</xdr:rowOff>
    </xdr:from>
    <xdr:to>
      <xdr:col>13</xdr:col>
      <xdr:colOff>571500</xdr:colOff>
      <xdr:row>48</xdr:row>
      <xdr:rowOff>163285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485055</xdr:colOff>
      <xdr:row>34</xdr:row>
      <xdr:rowOff>91248</xdr:rowOff>
    </xdr:from>
    <xdr:to>
      <xdr:col>20</xdr:col>
      <xdr:colOff>587707</xdr:colOff>
      <xdr:row>47</xdr:row>
      <xdr:rowOff>73156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13606</xdr:colOff>
      <xdr:row>34</xdr:row>
      <xdr:rowOff>108857</xdr:rowOff>
    </xdr:from>
    <xdr:to>
      <xdr:col>27</xdr:col>
      <xdr:colOff>606117</xdr:colOff>
      <xdr:row>47</xdr:row>
      <xdr:rowOff>2720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27215</xdr:colOff>
      <xdr:row>49</xdr:row>
      <xdr:rowOff>95249</xdr:rowOff>
    </xdr:from>
    <xdr:to>
      <xdr:col>7</xdr:col>
      <xdr:colOff>5443</xdr:colOff>
      <xdr:row>61</xdr:row>
      <xdr:rowOff>152398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580304</xdr:colOff>
      <xdr:row>48</xdr:row>
      <xdr:rowOff>162485</xdr:rowOff>
    </xdr:from>
    <xdr:to>
      <xdr:col>14</xdr:col>
      <xdr:colOff>104054</xdr:colOff>
      <xdr:row>74</xdr:row>
      <xdr:rowOff>10406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3494</xdr:colOff>
      <xdr:row>50</xdr:row>
      <xdr:rowOff>42570</xdr:rowOff>
    </xdr:from>
    <xdr:to>
      <xdr:col>20</xdr:col>
      <xdr:colOff>587858</xdr:colOff>
      <xdr:row>62</xdr:row>
      <xdr:rowOff>99716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152400</xdr:colOff>
      <xdr:row>79</xdr:row>
      <xdr:rowOff>87964</xdr:rowOff>
    </xdr:from>
    <xdr:to>
      <xdr:col>7</xdr:col>
      <xdr:colOff>206828</xdr:colOff>
      <xdr:row>96</xdr:row>
      <xdr:rowOff>45381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158482</xdr:colOff>
      <xdr:row>80</xdr:row>
      <xdr:rowOff>16809</xdr:rowOff>
    </xdr:from>
    <xdr:to>
      <xdr:col>15</xdr:col>
      <xdr:colOff>98590</xdr:colOff>
      <xdr:row>94</xdr:row>
      <xdr:rowOff>146477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122462</xdr:colOff>
      <xdr:row>79</xdr:row>
      <xdr:rowOff>146477</xdr:rowOff>
    </xdr:from>
    <xdr:to>
      <xdr:col>23</xdr:col>
      <xdr:colOff>145675</xdr:colOff>
      <xdr:row>94</xdr:row>
      <xdr:rowOff>103735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168888</xdr:colOff>
      <xdr:row>79</xdr:row>
      <xdr:rowOff>116861</xdr:rowOff>
    </xdr:from>
    <xdr:to>
      <xdr:col>30</xdr:col>
      <xdr:colOff>447434</xdr:colOff>
      <xdr:row>96</xdr:row>
      <xdr:rowOff>90606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133888</xdr:colOff>
      <xdr:row>98</xdr:row>
      <xdr:rowOff>5673</xdr:rowOff>
    </xdr:from>
    <xdr:to>
      <xdr:col>15</xdr:col>
      <xdr:colOff>483961</xdr:colOff>
      <xdr:row>114</xdr:row>
      <xdr:rowOff>129899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17</xdr:col>
      <xdr:colOff>256862</xdr:colOff>
      <xdr:row>98</xdr:row>
      <xdr:rowOff>110896</xdr:rowOff>
    </xdr:from>
    <xdr:to>
      <xdr:col>25</xdr:col>
      <xdr:colOff>335304</xdr:colOff>
      <xdr:row>116</xdr:row>
      <xdr:rowOff>157408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24739</xdr:colOff>
      <xdr:row>118</xdr:row>
      <xdr:rowOff>148441</xdr:rowOff>
    </xdr:from>
    <xdr:to>
      <xdr:col>8</xdr:col>
      <xdr:colOff>321622</xdr:colOff>
      <xdr:row>135</xdr:row>
      <xdr:rowOff>96487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49480</xdr:colOff>
      <xdr:row>119</xdr:row>
      <xdr:rowOff>74221</xdr:rowOff>
    </xdr:from>
    <xdr:to>
      <xdr:col>16</xdr:col>
      <xdr:colOff>235033</xdr:colOff>
      <xdr:row>136</xdr:row>
      <xdr:rowOff>22266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14</xdr:col>
      <xdr:colOff>111332</xdr:colOff>
      <xdr:row>21</xdr:row>
      <xdr:rowOff>102288</xdr:rowOff>
    </xdr:from>
    <xdr:to>
      <xdr:col>16</xdr:col>
      <xdr:colOff>159415</xdr:colOff>
      <xdr:row>26</xdr:row>
      <xdr:rowOff>83237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78773131-786A-4569-8397-47AECC237B30}"/>
            </a:ext>
          </a:extLst>
        </xdr:cNvPr>
        <xdr:cNvSpPr txBox="1"/>
      </xdr:nvSpPr>
      <xdr:spPr>
        <a:xfrm>
          <a:off x="7892144" y="3528814"/>
          <a:ext cx="1149024" cy="7850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000" b="1"/>
            <a:t>1.</a:t>
          </a:r>
          <a:r>
            <a:rPr lang="uk-UA" sz="3000" b="1"/>
            <a:t>07</a:t>
          </a:r>
          <a:r>
            <a:rPr lang="en-US" sz="2000"/>
            <a:t> </a:t>
          </a:r>
          <a:endParaRPr lang="ru-RU" sz="2000"/>
        </a:p>
        <a:p>
          <a:pPr algn="ctr"/>
          <a:r>
            <a:rPr lang="en-US" sz="1100" baseline="0"/>
            <a:t>USD/kg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26736</xdr:rowOff>
    </xdr:from>
    <xdr:to>
      <xdr:col>5</xdr:col>
      <xdr:colOff>246807</xdr:colOff>
      <xdr:row>8</xdr:row>
      <xdr:rowOff>118538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/>
      </xdr:nvSpPr>
      <xdr:spPr>
        <a:xfrm>
          <a:off x="457200" y="979236"/>
          <a:ext cx="2189907" cy="577577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lIns="36000" tIns="36000" rIns="36000" bIns="3600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900"/>
            </a:lnSpc>
          </a:pPr>
          <a:r>
            <a:rPr lang="en-US" sz="800"/>
            <a:t>Acquisition of agro and auto equipment, seeds and plant protection products, recruitment</a:t>
          </a:r>
        </a:p>
      </xdr:txBody>
    </xdr:sp>
    <xdr:clientData/>
  </xdr:twoCellAnchor>
  <xdr:twoCellAnchor>
    <xdr:from>
      <xdr:col>5</xdr:col>
      <xdr:colOff>272092</xdr:colOff>
      <xdr:row>5</xdr:row>
      <xdr:rowOff>26736</xdr:rowOff>
    </xdr:from>
    <xdr:to>
      <xdr:col>7</xdr:col>
      <xdr:colOff>321881</xdr:colOff>
      <xdr:row>6</xdr:row>
      <xdr:rowOff>148048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/>
      </xdr:nvSpPr>
      <xdr:spPr>
        <a:xfrm>
          <a:off x="3796342" y="979236"/>
          <a:ext cx="1264227" cy="28800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lIns="36000" tIns="36000" rIns="36000" bIns="3600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900"/>
            </a:lnSpc>
          </a:pPr>
          <a:r>
            <a:rPr lang="en-US" sz="800"/>
            <a:t>Field work on grass sowing </a:t>
          </a:r>
        </a:p>
      </xdr:txBody>
    </xdr:sp>
    <xdr:clientData/>
  </xdr:twoCellAnchor>
  <xdr:twoCellAnchor>
    <xdr:from>
      <xdr:col>5</xdr:col>
      <xdr:colOff>272090</xdr:colOff>
      <xdr:row>6</xdr:row>
      <xdr:rowOff>163913</xdr:rowOff>
    </xdr:from>
    <xdr:to>
      <xdr:col>7</xdr:col>
      <xdr:colOff>321879</xdr:colOff>
      <xdr:row>8</xdr:row>
      <xdr:rowOff>118538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/>
      </xdr:nvSpPr>
      <xdr:spPr>
        <a:xfrm>
          <a:off x="3796340" y="1283101"/>
          <a:ext cx="1264227" cy="28800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lIns="36000" tIns="36000" rIns="36000" bIns="3600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900"/>
            </a:lnSpc>
          </a:pPr>
          <a:r>
            <a:rPr lang="en-US" sz="800"/>
            <a:t>Transportation of bee families to hives</a:t>
          </a:r>
        </a:p>
      </xdr:txBody>
    </xdr:sp>
    <xdr:clientData/>
  </xdr:twoCellAnchor>
  <xdr:twoCellAnchor>
    <xdr:from>
      <xdr:col>7</xdr:col>
      <xdr:colOff>347165</xdr:colOff>
      <xdr:row>5</xdr:row>
      <xdr:rowOff>26736</xdr:rowOff>
    </xdr:from>
    <xdr:to>
      <xdr:col>8</xdr:col>
      <xdr:colOff>591958</xdr:colOff>
      <xdr:row>8</xdr:row>
      <xdr:rowOff>118538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/>
      </xdr:nvSpPr>
      <xdr:spPr>
        <a:xfrm>
          <a:off x="5085853" y="979236"/>
          <a:ext cx="852011" cy="591865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lIns="36000" tIns="36000" rIns="36000" bIns="3600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900"/>
            </a:lnSpc>
          </a:pPr>
          <a:r>
            <a:rPr lang="en-US" sz="800"/>
            <a:t>First harvest</a:t>
          </a:r>
          <a:r>
            <a:rPr lang="en-US" sz="800" baseline="0"/>
            <a:t> of honey </a:t>
          </a:r>
          <a:endParaRPr lang="en-US" sz="800"/>
        </a:p>
      </xdr:txBody>
    </xdr:sp>
    <xdr:clientData/>
  </xdr:twoCellAnchor>
  <xdr:twoCellAnchor>
    <xdr:from>
      <xdr:col>9</xdr:col>
      <xdr:colOff>26117</xdr:colOff>
      <xdr:row>10</xdr:row>
      <xdr:rowOff>113234</xdr:rowOff>
    </xdr:from>
    <xdr:to>
      <xdr:col>10</xdr:col>
      <xdr:colOff>426449</xdr:colOff>
      <xdr:row>13</xdr:row>
      <xdr:rowOff>20343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/>
      </xdr:nvSpPr>
      <xdr:spPr>
        <a:xfrm>
          <a:off x="5979242" y="1899172"/>
          <a:ext cx="1007551" cy="407171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lIns="36000" tIns="36000" rIns="36000" bIns="3600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900"/>
            </a:lnSpc>
          </a:pPr>
          <a:r>
            <a:rPr lang="en-US" sz="800"/>
            <a:t>Increase of honey-bearing crops</a:t>
          </a:r>
        </a:p>
      </xdr:txBody>
    </xdr:sp>
    <xdr:clientData/>
  </xdr:twoCellAnchor>
  <xdr:twoCellAnchor>
    <xdr:from>
      <xdr:col>10</xdr:col>
      <xdr:colOff>449436</xdr:colOff>
      <xdr:row>10</xdr:row>
      <xdr:rowOff>117926</xdr:rowOff>
    </xdr:from>
    <xdr:to>
      <xdr:col>12</xdr:col>
      <xdr:colOff>594999</xdr:colOff>
      <xdr:row>13</xdr:row>
      <xdr:rowOff>15650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/>
      </xdr:nvSpPr>
      <xdr:spPr>
        <a:xfrm>
          <a:off x="7009780" y="1903864"/>
          <a:ext cx="1360000" cy="397786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lIns="36000" tIns="36000" rIns="36000" bIns="3600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900"/>
            </a:lnSpc>
          </a:pPr>
          <a:r>
            <a:rPr lang="en-US" sz="800"/>
            <a:t>Acquisition of additional beekeeping families</a:t>
          </a:r>
        </a:p>
      </xdr:txBody>
    </xdr:sp>
    <xdr:clientData/>
  </xdr:twoCellAnchor>
  <xdr:twoCellAnchor>
    <xdr:from>
      <xdr:col>9</xdr:col>
      <xdr:colOff>26117</xdr:colOff>
      <xdr:row>13</xdr:row>
      <xdr:rowOff>46783</xdr:rowOff>
    </xdr:from>
    <xdr:to>
      <xdr:col>13</xdr:col>
      <xdr:colOff>4450</xdr:colOff>
      <xdr:row>14</xdr:row>
      <xdr:rowOff>57626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/>
      </xdr:nvSpPr>
      <xdr:spPr>
        <a:xfrm>
          <a:off x="3569417" y="2294683"/>
          <a:ext cx="2035733" cy="17276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lIns="36000" tIns="36000" rIns="36000" bIns="3600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900"/>
            </a:lnSpc>
          </a:pPr>
          <a:r>
            <a:rPr lang="en-US" sz="800"/>
            <a:t>addtional</a:t>
          </a:r>
          <a:r>
            <a:rPr lang="en-US" sz="800" baseline="0"/>
            <a:t> staff recruitment</a:t>
          </a:r>
        </a:p>
      </xdr:txBody>
    </xdr:sp>
    <xdr:clientData/>
  </xdr:twoCellAnchor>
  <xdr:twoCellAnchor>
    <xdr:from>
      <xdr:col>13</xdr:col>
      <xdr:colOff>14980</xdr:colOff>
      <xdr:row>10</xdr:row>
      <xdr:rowOff>113234</xdr:rowOff>
    </xdr:from>
    <xdr:to>
      <xdr:col>14</xdr:col>
      <xdr:colOff>415312</xdr:colOff>
      <xdr:row>13</xdr:row>
      <xdr:rowOff>20343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/>
      </xdr:nvSpPr>
      <xdr:spPr>
        <a:xfrm>
          <a:off x="8396980" y="1899172"/>
          <a:ext cx="1007551" cy="407171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lIns="36000" tIns="36000" rIns="36000" bIns="3600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900"/>
            </a:lnSpc>
          </a:pPr>
          <a:r>
            <a:rPr lang="en-US" sz="800"/>
            <a:t>Increase of honey-bearing crops</a:t>
          </a:r>
        </a:p>
      </xdr:txBody>
    </xdr:sp>
    <xdr:clientData/>
  </xdr:twoCellAnchor>
  <xdr:twoCellAnchor>
    <xdr:from>
      <xdr:col>14</xdr:col>
      <xdr:colOff>438300</xdr:colOff>
      <xdr:row>10</xdr:row>
      <xdr:rowOff>117926</xdr:rowOff>
    </xdr:from>
    <xdr:to>
      <xdr:col>16</xdr:col>
      <xdr:colOff>583863</xdr:colOff>
      <xdr:row>13</xdr:row>
      <xdr:rowOff>15650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/>
      </xdr:nvSpPr>
      <xdr:spPr>
        <a:xfrm>
          <a:off x="9427519" y="1903864"/>
          <a:ext cx="1360000" cy="397786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lIns="36000" tIns="36000" rIns="36000" bIns="3600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900"/>
            </a:lnSpc>
          </a:pPr>
          <a:endParaRPr lang="en-US" sz="800"/>
        </a:p>
        <a:p>
          <a:pPr>
            <a:lnSpc>
              <a:spcPts val="900"/>
            </a:lnSpc>
          </a:pPr>
          <a:r>
            <a:rPr lang="en-US" sz="800"/>
            <a:t>Acquisition of additional beekeeping families</a:t>
          </a:r>
        </a:p>
        <a:p>
          <a:pPr>
            <a:lnSpc>
              <a:spcPts val="900"/>
            </a:lnSpc>
          </a:pPr>
          <a:endParaRPr lang="en-US" sz="800"/>
        </a:p>
      </xdr:txBody>
    </xdr:sp>
    <xdr:clientData/>
  </xdr:twoCellAnchor>
  <xdr:twoCellAnchor>
    <xdr:from>
      <xdr:col>13</xdr:col>
      <xdr:colOff>14979</xdr:colOff>
      <xdr:row>13</xdr:row>
      <xdr:rowOff>46782</xdr:rowOff>
    </xdr:from>
    <xdr:to>
      <xdr:col>16</xdr:col>
      <xdr:colOff>583862</xdr:colOff>
      <xdr:row>14</xdr:row>
      <xdr:rowOff>57625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/>
      </xdr:nvSpPr>
      <xdr:spPr>
        <a:xfrm>
          <a:off x="8396979" y="2332782"/>
          <a:ext cx="2390539" cy="177531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lIns="36000" tIns="36000" rIns="36000" bIns="3600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900"/>
            </a:lnSpc>
          </a:pPr>
          <a:r>
            <a:rPr lang="en-US" sz="800"/>
            <a:t>additional staff recruitment</a:t>
          </a:r>
        </a:p>
      </xdr:txBody>
    </xdr:sp>
    <xdr:clientData/>
  </xdr:twoCellAnchor>
  <xdr:twoCellAnchor>
    <xdr:from>
      <xdr:col>17</xdr:col>
      <xdr:colOff>50200</xdr:colOff>
      <xdr:row>16</xdr:row>
      <xdr:rowOff>54654</xdr:rowOff>
    </xdr:from>
    <xdr:to>
      <xdr:col>17</xdr:col>
      <xdr:colOff>806439</xdr:colOff>
      <xdr:row>18</xdr:row>
      <xdr:rowOff>128450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/>
      </xdr:nvSpPr>
      <xdr:spPr>
        <a:xfrm>
          <a:off x="10861075" y="2840717"/>
          <a:ext cx="756239" cy="407171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lIns="36000" tIns="36000" rIns="36000" bIns="3600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900"/>
            </a:lnSpc>
          </a:pPr>
          <a:r>
            <a:rPr lang="en-US" sz="800"/>
            <a:t>Reaching project capacity</a:t>
          </a:r>
        </a:p>
      </xdr:txBody>
    </xdr:sp>
    <xdr:clientData/>
  </xdr:twoCellAnchor>
  <xdr:twoCellAnchor>
    <xdr:from>
      <xdr:col>17</xdr:col>
      <xdr:colOff>823681</xdr:colOff>
      <xdr:row>16</xdr:row>
      <xdr:rowOff>54654</xdr:rowOff>
    </xdr:from>
    <xdr:to>
      <xdr:col>18</xdr:col>
      <xdr:colOff>12248</xdr:colOff>
      <xdr:row>18</xdr:row>
      <xdr:rowOff>128450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/>
      </xdr:nvSpPr>
      <xdr:spPr>
        <a:xfrm>
          <a:off x="11634556" y="2840717"/>
          <a:ext cx="1831755" cy="407171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lIns="36000" tIns="36000" rIns="36000" bIns="3600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900"/>
            </a:lnSpc>
          </a:pPr>
          <a:r>
            <a:rPr lang="en-US" sz="800"/>
            <a:t>Regular</a:t>
          </a:r>
          <a:r>
            <a:rPr lang="en-US" sz="800" baseline="0"/>
            <a:t> production and sales</a:t>
          </a:r>
          <a:endParaRPr lang="en-US" sz="800"/>
        </a:p>
      </xdr:txBody>
    </xdr:sp>
    <xdr:clientData/>
  </xdr:twoCellAnchor>
  <xdr:twoCellAnchor>
    <xdr:from>
      <xdr:col>17</xdr:col>
      <xdr:colOff>50197</xdr:colOff>
      <xdr:row>18</xdr:row>
      <xdr:rowOff>153850</xdr:rowOff>
    </xdr:from>
    <xdr:to>
      <xdr:col>18</xdr:col>
      <xdr:colOff>12247</xdr:colOff>
      <xdr:row>19</xdr:row>
      <xdr:rowOff>164694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/>
      </xdr:nvSpPr>
      <xdr:spPr>
        <a:xfrm>
          <a:off x="10861072" y="3273288"/>
          <a:ext cx="2605238" cy="177531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lIns="36000" tIns="36000" rIns="36000" bIns="3600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900"/>
            </a:lnSpc>
          </a:pPr>
          <a:r>
            <a:rPr lang="en-US" sz="800"/>
            <a:t>Tax</a:t>
          </a:r>
          <a:r>
            <a:rPr lang="en-US" sz="800" baseline="0"/>
            <a:t> payments</a:t>
          </a:r>
          <a:endParaRPr lang="en-US" sz="800"/>
        </a:p>
      </xdr:txBody>
    </xdr:sp>
    <xdr:clientData/>
  </xdr:twoCellAnchor>
  <xdr:twoCellAnchor>
    <xdr:from>
      <xdr:col>17</xdr:col>
      <xdr:colOff>50196</xdr:colOff>
      <xdr:row>20</xdr:row>
      <xdr:rowOff>23406</xdr:rowOff>
    </xdr:from>
    <xdr:to>
      <xdr:col>18</xdr:col>
      <xdr:colOff>12246</xdr:colOff>
      <xdr:row>21</xdr:row>
      <xdr:rowOff>34250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/>
      </xdr:nvSpPr>
      <xdr:spPr>
        <a:xfrm>
          <a:off x="10861071" y="3476219"/>
          <a:ext cx="2605238" cy="177531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lIns="36000" tIns="36000" rIns="36000" bIns="3600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900"/>
            </a:lnSpc>
          </a:pPr>
          <a:r>
            <a:rPr lang="en-US" sz="800"/>
            <a:t>Payment of loan principal</a:t>
          </a:r>
        </a:p>
      </xdr:txBody>
    </xdr:sp>
    <xdr:clientData/>
  </xdr:twoCellAnchor>
  <xdr:twoCellAnchor>
    <xdr:from>
      <xdr:col>8</xdr:col>
      <xdr:colOff>431273</xdr:colOff>
      <xdr:row>2</xdr:row>
      <xdr:rowOff>107157</xdr:rowOff>
    </xdr:from>
    <xdr:to>
      <xdr:col>9</xdr:col>
      <xdr:colOff>82562</xdr:colOff>
      <xdr:row>22</xdr:row>
      <xdr:rowOff>118117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GrpSpPr/>
      </xdr:nvGrpSpPr>
      <xdr:grpSpPr>
        <a:xfrm>
          <a:off x="4374623" y="554832"/>
          <a:ext cx="165639" cy="3268510"/>
          <a:chOff x="3290846" y="1789045"/>
          <a:chExt cx="214243" cy="3356617"/>
        </a:xfrm>
      </xdr:grpSpPr>
      <xdr:sp macro="" textlink="">
        <xdr:nvSpPr>
          <xdr:cNvPr id="60" name="Isosceles Triangle 59">
            <a:extLst>
              <a:ext uri="{FF2B5EF4-FFF2-40B4-BE49-F238E27FC236}">
                <a16:creationId xmlns:a16="http://schemas.microsoft.com/office/drawing/2014/main" id="{00000000-0008-0000-0A00-00003C000000}"/>
              </a:ext>
            </a:extLst>
          </xdr:cNvPr>
          <xdr:cNvSpPr/>
        </xdr:nvSpPr>
        <xdr:spPr>
          <a:xfrm>
            <a:off x="3290846" y="4942731"/>
            <a:ext cx="214243" cy="202931"/>
          </a:xfrm>
          <a:prstGeom prst="triangle">
            <a:avLst/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61" name="Straight Connector 60">
            <a:extLst>
              <a:ext uri="{FF2B5EF4-FFF2-40B4-BE49-F238E27FC236}">
                <a16:creationId xmlns:a16="http://schemas.microsoft.com/office/drawing/2014/main" id="{00000000-0008-0000-0A00-00003D000000}"/>
              </a:ext>
            </a:extLst>
          </xdr:cNvPr>
          <xdr:cNvCxnSpPr/>
        </xdr:nvCxnSpPr>
        <xdr:spPr>
          <a:xfrm flipV="1">
            <a:off x="3397967" y="1789045"/>
            <a:ext cx="0" cy="3153687"/>
          </a:xfrm>
          <a:prstGeom prst="line">
            <a:avLst/>
          </a:prstGeom>
          <a:ln>
            <a:solidFill>
              <a:schemeClr val="bg1">
                <a:lumMod val="65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429994</xdr:colOff>
      <xdr:row>2</xdr:row>
      <xdr:rowOff>119063</xdr:rowOff>
    </xdr:from>
    <xdr:to>
      <xdr:col>13</xdr:col>
      <xdr:colOff>81283</xdr:colOff>
      <xdr:row>22</xdr:row>
      <xdr:rowOff>130023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GrpSpPr/>
      </xdr:nvGrpSpPr>
      <xdr:grpSpPr>
        <a:xfrm>
          <a:off x="6430744" y="566738"/>
          <a:ext cx="165639" cy="3268510"/>
          <a:chOff x="3290846" y="1789045"/>
          <a:chExt cx="214243" cy="3356617"/>
        </a:xfrm>
      </xdr:grpSpPr>
      <xdr:sp macro="" textlink="">
        <xdr:nvSpPr>
          <xdr:cNvPr id="58" name="Isosceles Triangle 57">
            <a:extLst>
              <a:ext uri="{FF2B5EF4-FFF2-40B4-BE49-F238E27FC236}">
                <a16:creationId xmlns:a16="http://schemas.microsoft.com/office/drawing/2014/main" id="{00000000-0008-0000-0A00-00003A000000}"/>
              </a:ext>
            </a:extLst>
          </xdr:cNvPr>
          <xdr:cNvSpPr/>
        </xdr:nvSpPr>
        <xdr:spPr>
          <a:xfrm>
            <a:off x="3290846" y="4942731"/>
            <a:ext cx="214243" cy="202931"/>
          </a:xfrm>
          <a:prstGeom prst="triangle">
            <a:avLst/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59" name="Straight Connector 58">
            <a:extLst>
              <a:ext uri="{FF2B5EF4-FFF2-40B4-BE49-F238E27FC236}">
                <a16:creationId xmlns:a16="http://schemas.microsoft.com/office/drawing/2014/main" id="{00000000-0008-0000-0A00-00003B000000}"/>
              </a:ext>
            </a:extLst>
          </xdr:cNvPr>
          <xdr:cNvCxnSpPr/>
        </xdr:nvCxnSpPr>
        <xdr:spPr>
          <a:xfrm flipV="1">
            <a:off x="3397967" y="1789045"/>
            <a:ext cx="0" cy="3153687"/>
          </a:xfrm>
          <a:prstGeom prst="line">
            <a:avLst/>
          </a:prstGeom>
          <a:ln>
            <a:solidFill>
              <a:schemeClr val="bg1">
                <a:lumMod val="65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430629</xdr:colOff>
      <xdr:row>2</xdr:row>
      <xdr:rowOff>119063</xdr:rowOff>
    </xdr:from>
    <xdr:to>
      <xdr:col>17</xdr:col>
      <xdr:colOff>81918</xdr:colOff>
      <xdr:row>22</xdr:row>
      <xdr:rowOff>130023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GrpSpPr/>
      </xdr:nvGrpSpPr>
      <xdr:grpSpPr>
        <a:xfrm>
          <a:off x="8488779" y="566738"/>
          <a:ext cx="165639" cy="3268510"/>
          <a:chOff x="3290846" y="1789045"/>
          <a:chExt cx="214243" cy="3356617"/>
        </a:xfrm>
      </xdr:grpSpPr>
      <xdr:sp macro="" textlink="">
        <xdr:nvSpPr>
          <xdr:cNvPr id="56" name="Isosceles Triangle 55">
            <a:extLst>
              <a:ext uri="{FF2B5EF4-FFF2-40B4-BE49-F238E27FC236}">
                <a16:creationId xmlns:a16="http://schemas.microsoft.com/office/drawing/2014/main" id="{00000000-0008-0000-0A00-000038000000}"/>
              </a:ext>
            </a:extLst>
          </xdr:cNvPr>
          <xdr:cNvSpPr/>
        </xdr:nvSpPr>
        <xdr:spPr>
          <a:xfrm>
            <a:off x="3290846" y="4942731"/>
            <a:ext cx="214243" cy="202931"/>
          </a:xfrm>
          <a:prstGeom prst="triangle">
            <a:avLst/>
          </a:prstGeom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57" name="Straight Connector 56">
            <a:extLst>
              <a:ext uri="{FF2B5EF4-FFF2-40B4-BE49-F238E27FC236}">
                <a16:creationId xmlns:a16="http://schemas.microsoft.com/office/drawing/2014/main" id="{00000000-0008-0000-0A00-000039000000}"/>
              </a:ext>
            </a:extLst>
          </xdr:cNvPr>
          <xdr:cNvCxnSpPr/>
        </xdr:nvCxnSpPr>
        <xdr:spPr>
          <a:xfrm flipV="1">
            <a:off x="3397967" y="1789045"/>
            <a:ext cx="0" cy="3153687"/>
          </a:xfrm>
          <a:prstGeom prst="line">
            <a:avLst/>
          </a:prstGeom>
          <a:ln>
            <a:solidFill>
              <a:schemeClr val="bg1">
                <a:lumMod val="65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16922</xdr:colOff>
      <xdr:row>8</xdr:row>
      <xdr:rowOff>118538</xdr:rowOff>
    </xdr:from>
    <xdr:to>
      <xdr:col>13</xdr:col>
      <xdr:colOff>72062</xdr:colOff>
      <xdr:row>10</xdr:row>
      <xdr:rowOff>73163</xdr:rowOff>
    </xdr:to>
    <xdr:sp macro="" textlink="">
      <xdr:nvSpPr>
        <xdr:cNvPr id="50" name="Pentagon 36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/>
      </xdr:nvSpPr>
      <xdr:spPr>
        <a:xfrm>
          <a:off x="5970047" y="1571101"/>
          <a:ext cx="2484015" cy="288000"/>
        </a:xfrm>
        <a:prstGeom prst="homePlate">
          <a:avLst>
            <a:gd name="adj" fmla="val 24515"/>
          </a:avLst>
        </a:prstGeom>
        <a:solidFill>
          <a:schemeClr val="accent3"/>
        </a:solidFill>
        <a:ln>
          <a:solidFill>
            <a:schemeClr val="accent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457200" rtl="0" eaLnBrk="1" latinLnBrk="0" hangingPunct="1"/>
          <a:r>
            <a:rPr lang="en-US" sz="12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Stage</a:t>
          </a:r>
          <a:r>
            <a:rPr lang="ru-RU" sz="12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 </a:t>
          </a:r>
          <a:r>
            <a:rPr lang="en-US" sz="12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II. </a:t>
          </a:r>
        </a:p>
      </xdr:txBody>
    </xdr:sp>
    <xdr:clientData/>
  </xdr:twoCellAnchor>
  <xdr:twoCellAnchor>
    <xdr:from>
      <xdr:col>1</xdr:col>
      <xdr:colOff>9525</xdr:colOff>
      <xdr:row>3</xdr:row>
      <xdr:rowOff>12763</xdr:rowOff>
    </xdr:from>
    <xdr:to>
      <xdr:col>9</xdr:col>
      <xdr:colOff>53700</xdr:colOff>
      <xdr:row>4</xdr:row>
      <xdr:rowOff>134075</xdr:rowOff>
    </xdr:to>
    <xdr:sp macro="" textlink="">
      <xdr:nvSpPr>
        <xdr:cNvPr id="51" name="Pentagon 9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/>
      </xdr:nvSpPr>
      <xdr:spPr>
        <a:xfrm>
          <a:off x="466725" y="641413"/>
          <a:ext cx="4044675" cy="283237"/>
        </a:xfrm>
        <a:prstGeom prst="homePlate">
          <a:avLst>
            <a:gd name="adj" fmla="val 24515"/>
          </a:avLst>
        </a:prstGeom>
        <a:solidFill>
          <a:schemeClr val="accent3"/>
        </a:solidFill>
        <a:ln>
          <a:solidFill>
            <a:schemeClr val="accent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chemeClr val="bg1"/>
              </a:solidFill>
            </a:rPr>
            <a:t>Stage</a:t>
          </a:r>
          <a:r>
            <a:rPr lang="ru-RU" sz="1200" b="1">
              <a:solidFill>
                <a:schemeClr val="bg1"/>
              </a:solidFill>
            </a:rPr>
            <a:t> </a:t>
          </a:r>
          <a:r>
            <a:rPr lang="en-US" sz="1200" b="1">
              <a:solidFill>
                <a:schemeClr val="bg1"/>
              </a:solidFill>
            </a:rPr>
            <a:t>I. </a:t>
          </a:r>
        </a:p>
      </xdr:txBody>
    </xdr:sp>
    <xdr:clientData/>
  </xdr:twoCellAnchor>
  <xdr:twoCellAnchor>
    <xdr:from>
      <xdr:col>17</xdr:col>
      <xdr:colOff>50199</xdr:colOff>
      <xdr:row>14</xdr:row>
      <xdr:rowOff>57625</xdr:rowOff>
    </xdr:from>
    <xdr:to>
      <xdr:col>18</xdr:col>
      <xdr:colOff>88709</xdr:colOff>
      <xdr:row>16</xdr:row>
      <xdr:rowOff>12250</xdr:rowOff>
    </xdr:to>
    <xdr:sp macro="" textlink="">
      <xdr:nvSpPr>
        <xdr:cNvPr id="52" name="Pentagon 45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/>
      </xdr:nvSpPr>
      <xdr:spPr>
        <a:xfrm>
          <a:off x="10861074" y="2510313"/>
          <a:ext cx="2681698" cy="288000"/>
        </a:xfrm>
        <a:prstGeom prst="homePlate">
          <a:avLst>
            <a:gd name="adj" fmla="val 24515"/>
          </a:avLst>
        </a:prstGeom>
        <a:solidFill>
          <a:schemeClr val="accent3"/>
        </a:solidFill>
        <a:ln>
          <a:solidFill>
            <a:schemeClr val="accent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457200" rtl="0" eaLnBrk="1" latinLnBrk="0" hangingPunct="1"/>
          <a:r>
            <a:rPr lang="en-US" sz="12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Stage</a:t>
          </a:r>
          <a:r>
            <a:rPr lang="ru-RU" sz="12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 </a:t>
          </a:r>
          <a:r>
            <a:rPr lang="en-US" sz="12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IV.</a:t>
          </a:r>
          <a:r>
            <a:rPr lang="ru-RU" sz="12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 </a:t>
          </a:r>
          <a:endParaRPr lang="en-US" sz="1200" b="1" kern="1200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22642</xdr:colOff>
      <xdr:row>8</xdr:row>
      <xdr:rowOff>118538</xdr:rowOff>
    </xdr:from>
    <xdr:to>
      <xdr:col>17</xdr:col>
      <xdr:colOff>44453</xdr:colOff>
      <xdr:row>10</xdr:row>
      <xdr:rowOff>73163</xdr:rowOff>
    </xdr:to>
    <xdr:sp macro="" textlink="">
      <xdr:nvSpPr>
        <xdr:cNvPr id="53" name="Chevron 4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/>
      </xdr:nvSpPr>
      <xdr:spPr>
        <a:xfrm>
          <a:off x="8404642" y="1571101"/>
          <a:ext cx="2450686" cy="288000"/>
        </a:xfrm>
        <a:prstGeom prst="chevron">
          <a:avLst>
            <a:gd name="adj" fmla="val 23211"/>
          </a:avLst>
        </a:prstGeom>
        <a:solidFill>
          <a:schemeClr val="accent3"/>
        </a:solidFill>
        <a:ln>
          <a:solidFill>
            <a:schemeClr val="accent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457200" rtl="0" eaLnBrk="1" latinLnBrk="0" hangingPunct="1"/>
          <a:r>
            <a:rPr lang="en-US" sz="12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Stage</a:t>
          </a:r>
          <a:r>
            <a:rPr lang="ru-RU" sz="12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 </a:t>
          </a:r>
          <a:r>
            <a:rPr lang="en-US" sz="12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III.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nuskripte%202008\%23%23%23TabellenDiagramme\Buchdaten\Diagrammbeispiele\Wasserfalldiagramm%20Produktabsat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19840b123dc54e6/Documents/Honey%20Project/output/Finance%20Honey%20Plant%20-2016-04-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schels/Documents/## Hanser Verlag/XLControllerNeu/Buchdaten/Tipp Diagramm Nullpun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satz"/>
      <sheetName val="Umsatz Produktbereiche"/>
      <sheetName val="Logic"/>
      <sheetName val="Farben Corporate 2"/>
    </sheetNames>
    <sheetDataSet>
      <sheetData sheetId="0"/>
      <sheetData sheetId="1">
        <row r="2">
          <cell r="B2" t="str">
            <v>BUD
2003</v>
          </cell>
          <cell r="C2" t="str">
            <v>AR</v>
          </cell>
          <cell r="D2" t="str">
            <v>ZT</v>
          </cell>
          <cell r="E2" t="str">
            <v>BN</v>
          </cell>
          <cell r="F2" t="str">
            <v>BM</v>
          </cell>
          <cell r="G2" t="str">
            <v>BR</v>
          </cell>
          <cell r="H2" t="str">
            <v>AS</v>
          </cell>
          <cell r="I2" t="str">
            <v>RH</v>
          </cell>
          <cell r="J2" t="str">
            <v>V1</v>
          </cell>
          <cell r="K2" t="str">
            <v>TZ</v>
          </cell>
          <cell r="L2" t="str">
            <v>V2</v>
          </cell>
          <cell r="M2" t="str">
            <v>V8</v>
          </cell>
          <cell r="N2" t="str">
            <v>R9</v>
          </cell>
          <cell r="O2" t="str">
            <v>AR</v>
          </cell>
          <cell r="P2" t="str">
            <v>AR</v>
          </cell>
          <cell r="Q2" t="str">
            <v>IST
2003</v>
          </cell>
        </row>
        <row r="3">
          <cell r="B3">
            <v>200</v>
          </cell>
          <cell r="C3">
            <v>100</v>
          </cell>
          <cell r="D3">
            <v>200</v>
          </cell>
          <cell r="E3">
            <v>134</v>
          </cell>
          <cell r="F3">
            <v>234</v>
          </cell>
          <cell r="G3">
            <v>54</v>
          </cell>
          <cell r="H3">
            <v>12</v>
          </cell>
          <cell r="I3">
            <v>-123</v>
          </cell>
          <cell r="J3">
            <v>-189</v>
          </cell>
          <cell r="K3">
            <v>-234</v>
          </cell>
          <cell r="L3">
            <v>-10</v>
          </cell>
          <cell r="M3">
            <v>-150</v>
          </cell>
          <cell r="N3">
            <v>-345</v>
          </cell>
          <cell r="O3">
            <v>100</v>
          </cell>
          <cell r="P3">
            <v>100</v>
          </cell>
          <cell r="Q3">
            <v>83</v>
          </cell>
        </row>
      </sheetData>
      <sheetData sheetId="2">
        <row r="6">
          <cell r="D6">
            <v>300</v>
          </cell>
        </row>
        <row r="7">
          <cell r="D7">
            <v>500</v>
          </cell>
        </row>
        <row r="8">
          <cell r="D8" t="b">
            <v>0</v>
          </cell>
        </row>
        <row r="9">
          <cell r="D9" t="b">
            <v>1</v>
          </cell>
        </row>
        <row r="10">
          <cell r="D10" t="b">
            <v>0</v>
          </cell>
        </row>
        <row r="11">
          <cell r="D11" t="b">
            <v>0</v>
          </cell>
        </row>
        <row r="13">
          <cell r="D13">
            <v>300</v>
          </cell>
        </row>
        <row r="14">
          <cell r="D14">
            <v>500</v>
          </cell>
        </row>
        <row r="16">
          <cell r="D16" t="b">
            <v>1</v>
          </cell>
        </row>
        <row r="17">
          <cell r="D17" t="b">
            <v>0</v>
          </cell>
        </row>
        <row r="18">
          <cell r="D18" t="b">
            <v>0</v>
          </cell>
        </row>
        <row r="19">
          <cell r="D19" t="b">
            <v>0</v>
          </cell>
        </row>
        <row r="21">
          <cell r="Q21">
            <v>83</v>
          </cell>
        </row>
        <row r="22">
          <cell r="D22">
            <v>200</v>
          </cell>
        </row>
        <row r="23">
          <cell r="D23">
            <v>0</v>
          </cell>
        </row>
        <row r="24">
          <cell r="D24">
            <v>300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200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quarterly BP"/>
      <sheetName val="monthly BP"/>
      <sheetName val="loan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C3">
            <v>11</v>
          </cell>
          <cell r="D3" t="str">
            <v>Jan-2017</v>
          </cell>
        </row>
        <row r="4">
          <cell r="C4">
            <v>12</v>
          </cell>
          <cell r="D4" t="str">
            <v>Feb-2017</v>
          </cell>
        </row>
        <row r="5">
          <cell r="C5">
            <v>13</v>
          </cell>
          <cell r="D5" t="str">
            <v>Mar-2017</v>
          </cell>
        </row>
        <row r="6">
          <cell r="C6">
            <v>14</v>
          </cell>
          <cell r="D6" t="str">
            <v>Apr-2017</v>
          </cell>
        </row>
        <row r="7">
          <cell r="C7">
            <v>15</v>
          </cell>
          <cell r="D7" t="str">
            <v>May-2017</v>
          </cell>
        </row>
        <row r="8">
          <cell r="C8">
            <v>16</v>
          </cell>
          <cell r="D8" t="str">
            <v>Jun-2017</v>
          </cell>
        </row>
        <row r="9">
          <cell r="C9">
            <v>17</v>
          </cell>
          <cell r="D9" t="str">
            <v>Jul-2017</v>
          </cell>
        </row>
        <row r="10">
          <cell r="C10">
            <v>18</v>
          </cell>
          <cell r="D10" t="str">
            <v>Aug-2017</v>
          </cell>
        </row>
        <row r="11">
          <cell r="C11">
            <v>19</v>
          </cell>
          <cell r="D11" t="str">
            <v>Sep-2017</v>
          </cell>
        </row>
        <row r="12">
          <cell r="C12">
            <v>20</v>
          </cell>
          <cell r="D12" t="str">
            <v>Oct-2017</v>
          </cell>
        </row>
        <row r="13">
          <cell r="C13">
            <v>21</v>
          </cell>
          <cell r="D13" t="str">
            <v>Nov-2017</v>
          </cell>
        </row>
        <row r="14">
          <cell r="C14">
            <v>22</v>
          </cell>
          <cell r="D14" t="str">
            <v>Dec-2017</v>
          </cell>
        </row>
        <row r="15">
          <cell r="C15">
            <v>23</v>
          </cell>
          <cell r="D15" t="str">
            <v>Jan-2018</v>
          </cell>
        </row>
        <row r="16">
          <cell r="C16">
            <v>24</v>
          </cell>
          <cell r="D16" t="str">
            <v>Feb-2018</v>
          </cell>
        </row>
        <row r="17">
          <cell r="C17">
            <v>25</v>
          </cell>
          <cell r="D17" t="str">
            <v>Mar-2018</v>
          </cell>
        </row>
        <row r="18">
          <cell r="C18">
            <v>26</v>
          </cell>
          <cell r="D18" t="str">
            <v>Apr-2018</v>
          </cell>
        </row>
        <row r="19">
          <cell r="C19">
            <v>27</v>
          </cell>
          <cell r="D19" t="str">
            <v>May-2018</v>
          </cell>
        </row>
        <row r="20">
          <cell r="C20">
            <v>28</v>
          </cell>
          <cell r="D20" t="str">
            <v>Jun-2018</v>
          </cell>
        </row>
        <row r="21">
          <cell r="C21">
            <v>29</v>
          </cell>
          <cell r="D21" t="str">
            <v>Jul-2018</v>
          </cell>
        </row>
        <row r="22">
          <cell r="C22">
            <v>30</v>
          </cell>
          <cell r="D22" t="str">
            <v>Aug-2018</v>
          </cell>
        </row>
        <row r="23">
          <cell r="C23">
            <v>31</v>
          </cell>
          <cell r="D23" t="str">
            <v>Sep-2018</v>
          </cell>
        </row>
        <row r="24">
          <cell r="C24">
            <v>32</v>
          </cell>
          <cell r="D24" t="str">
            <v>Oct-2018</v>
          </cell>
        </row>
        <row r="25">
          <cell r="C25">
            <v>33</v>
          </cell>
          <cell r="D25" t="str">
            <v>Nov-2018</v>
          </cell>
        </row>
        <row r="26">
          <cell r="C26">
            <v>34</v>
          </cell>
          <cell r="D26" t="str">
            <v>Dec-2018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re Punkte nicht zeichnen"/>
      <sheetName val="Matrixreihe"/>
    </sheetNames>
    <sheetDataSet>
      <sheetData sheetId="0" refreshError="1"/>
      <sheetData sheetId="1">
        <row r="6">
          <cell r="A6" t="str">
            <v>Januar</v>
          </cell>
        </row>
        <row r="7">
          <cell r="A7" t="str">
            <v>Februar</v>
          </cell>
        </row>
        <row r="8">
          <cell r="A8" t="str">
            <v>März</v>
          </cell>
        </row>
        <row r="9">
          <cell r="A9" t="str">
            <v>April</v>
          </cell>
        </row>
        <row r="10">
          <cell r="A10" t="str">
            <v>Mai</v>
          </cell>
        </row>
        <row r="11">
          <cell r="A11" t="str">
            <v>Juni</v>
          </cell>
        </row>
        <row r="12">
          <cell r="A12" t="str">
            <v>Juli</v>
          </cell>
        </row>
        <row r="13">
          <cell r="A13" t="str">
            <v>August</v>
          </cell>
        </row>
        <row r="14">
          <cell r="A14" t="str">
            <v>September</v>
          </cell>
        </row>
        <row r="15">
          <cell r="A15" t="str">
            <v>Oktober</v>
          </cell>
        </row>
        <row r="16">
          <cell r="A16" t="str">
            <v>November</v>
          </cell>
        </row>
        <row r="17">
          <cell r="A17" t="str">
            <v>Dezember</v>
          </cell>
        </row>
      </sheetData>
    </sheetDataSet>
  </externalBook>
</externalLink>
</file>

<file path=xl/theme/theme1.xml><?xml version="1.0" encoding="utf-8"?>
<a:theme xmlns:a="http://schemas.openxmlformats.org/drawingml/2006/main" name="Basis">
  <a:themeElements>
    <a:clrScheme name="Basis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A6B727"/>
      </a:accent1>
      <a:accent2>
        <a:srgbClr val="DF5327"/>
      </a:accent2>
      <a:accent3>
        <a:srgbClr val="FE9E00"/>
      </a:accent3>
      <a:accent4>
        <a:srgbClr val="418AB3"/>
      </a:accent4>
      <a:accent5>
        <a:srgbClr val="D7D447"/>
      </a:accent5>
      <a:accent6>
        <a:srgbClr val="818183"/>
      </a:accent6>
      <a:hlink>
        <a:srgbClr val="F59E00"/>
      </a:hlink>
      <a:folHlink>
        <a:srgbClr val="B2B2B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asis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pages.stern.nyu.edu/~adamodar/" TargetMode="External"/><Relationship Id="rId2" Type="http://schemas.openxmlformats.org/officeDocument/2006/relationships/hyperlink" Target="http://www.inflation.eu/inflation-rates/russia/historic-inflation/cpi-inflation-russia-2016.aspx" TargetMode="External"/><Relationship Id="rId1" Type="http://schemas.openxmlformats.org/officeDocument/2006/relationships/hyperlink" Target="https://www.treasury.gov/resource-center/data-chart-center/interest-rates/Pages/TextView.aspx?data=yield" TargetMode="External"/><Relationship Id="rId4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workbookViewId="0">
      <selection activeCell="B2" sqref="B2"/>
    </sheetView>
  </sheetViews>
  <sheetFormatPr defaultRowHeight="12.75" x14ac:dyDescent="0.2"/>
  <cols>
    <col min="1" max="1" width="22.28515625" bestFit="1" customWidth="1"/>
    <col min="7" max="7" width="11.5703125" bestFit="1" customWidth="1"/>
    <col min="8" max="9" width="10.28515625" bestFit="1" customWidth="1"/>
  </cols>
  <sheetData>
    <row r="1" spans="1:14" x14ac:dyDescent="0.2">
      <c r="G1" t="s">
        <v>302</v>
      </c>
      <c r="H1" s="153">
        <v>1</v>
      </c>
      <c r="I1" s="153">
        <v>2</v>
      </c>
      <c r="J1" s="153">
        <v>3</v>
      </c>
      <c r="K1" s="153">
        <v>4</v>
      </c>
      <c r="L1" s="153">
        <v>5</v>
      </c>
      <c r="M1" s="153">
        <v>6</v>
      </c>
    </row>
    <row r="2" spans="1:14" x14ac:dyDescent="0.2">
      <c r="A2" t="s">
        <v>316</v>
      </c>
      <c r="B2" s="167">
        <v>4.8000000000000001E-2</v>
      </c>
      <c r="H2" s="51">
        <f>SUM(H3:H4)</f>
        <v>3700</v>
      </c>
      <c r="I2" s="51">
        <f t="shared" ref="I2:M2" si="0">SUM(I3:I4)</f>
        <v>5200</v>
      </c>
      <c r="J2" s="51">
        <f t="shared" si="0"/>
        <v>7200</v>
      </c>
      <c r="K2" s="51">
        <f t="shared" si="0"/>
        <v>8700</v>
      </c>
      <c r="L2" s="51">
        <f t="shared" si="0"/>
        <v>8700</v>
      </c>
      <c r="M2" s="51">
        <f t="shared" si="0"/>
        <v>8700</v>
      </c>
    </row>
    <row r="3" spans="1:14" x14ac:dyDescent="0.2">
      <c r="A3" t="s">
        <v>305</v>
      </c>
      <c r="B3">
        <v>250</v>
      </c>
      <c r="C3" t="s">
        <v>306</v>
      </c>
      <c r="G3" t="s">
        <v>303</v>
      </c>
      <c r="H3" s="51">
        <v>3700</v>
      </c>
      <c r="I3" s="51">
        <v>1500</v>
      </c>
      <c r="J3" s="51">
        <v>2000</v>
      </c>
      <c r="K3" s="51">
        <v>1500</v>
      </c>
      <c r="L3" s="51">
        <v>0</v>
      </c>
      <c r="M3" s="51">
        <v>0</v>
      </c>
    </row>
    <row r="4" spans="1:14" x14ac:dyDescent="0.2">
      <c r="A4" t="s">
        <v>308</v>
      </c>
      <c r="B4" s="168">
        <v>5</v>
      </c>
      <c r="C4" t="s">
        <v>309</v>
      </c>
      <c r="G4" t="s">
        <v>304</v>
      </c>
      <c r="H4" s="51">
        <v>0</v>
      </c>
      <c r="I4" s="51">
        <f>H3+H4</f>
        <v>3700</v>
      </c>
      <c r="J4" s="51">
        <f>I3+I4</f>
        <v>5200</v>
      </c>
      <c r="K4" s="51">
        <f>J3+J4</f>
        <v>7200</v>
      </c>
      <c r="L4" s="51">
        <f>K3+K4</f>
        <v>8700</v>
      </c>
      <c r="M4" s="51">
        <f>L3+L4</f>
        <v>8700</v>
      </c>
    </row>
    <row r="5" spans="1:14" x14ac:dyDescent="0.2">
      <c r="A5" t="s">
        <v>314</v>
      </c>
      <c r="B5">
        <v>75</v>
      </c>
      <c r="C5" t="s">
        <v>315</v>
      </c>
      <c r="G5" t="s">
        <v>307</v>
      </c>
      <c r="H5" s="51">
        <f>H4*$B$3/1000</f>
        <v>0</v>
      </c>
      <c r="I5" s="51">
        <f t="shared" ref="I5:M5" si="1">I4*$B$3/1000</f>
        <v>925</v>
      </c>
      <c r="J5" s="51">
        <f t="shared" si="1"/>
        <v>1300</v>
      </c>
      <c r="K5" s="51">
        <f t="shared" si="1"/>
        <v>1800</v>
      </c>
      <c r="L5" s="51">
        <f t="shared" si="1"/>
        <v>2175</v>
      </c>
      <c r="M5" s="51">
        <f t="shared" si="1"/>
        <v>2175</v>
      </c>
    </row>
    <row r="6" spans="1:14" x14ac:dyDescent="0.2">
      <c r="G6" t="s">
        <v>310</v>
      </c>
      <c r="H6" s="169">
        <f>H5*$B$4</f>
        <v>0</v>
      </c>
      <c r="I6" s="169">
        <f t="shared" ref="I6:M6" si="2">I5*$B$4</f>
        <v>4625</v>
      </c>
      <c r="J6" s="169">
        <f t="shared" si="2"/>
        <v>6500</v>
      </c>
      <c r="K6" s="169">
        <f t="shared" si="2"/>
        <v>9000</v>
      </c>
      <c r="L6" s="169">
        <f t="shared" si="2"/>
        <v>10875</v>
      </c>
      <c r="M6" s="169">
        <f t="shared" si="2"/>
        <v>10875</v>
      </c>
      <c r="N6" s="170">
        <f>SUM(H6:M6)</f>
        <v>41875</v>
      </c>
    </row>
    <row r="7" spans="1:14" x14ac:dyDescent="0.2">
      <c r="A7" t="s">
        <v>317</v>
      </c>
    </row>
    <row r="8" spans="1:14" x14ac:dyDescent="0.2">
      <c r="A8" s="171"/>
      <c r="G8" t="s">
        <v>311</v>
      </c>
      <c r="I8" s="169">
        <f>I5/$B$5*1000</f>
        <v>12333.333333333334</v>
      </c>
      <c r="J8" s="169">
        <f>J5/$B$5*1000</f>
        <v>17333.333333333332</v>
      </c>
      <c r="K8" s="169">
        <f>K5/$B$5*1000</f>
        <v>24000</v>
      </c>
      <c r="L8" s="169">
        <f>L5/$B$5*1000</f>
        <v>29000</v>
      </c>
      <c r="M8" s="169">
        <f>M5/$B$5*1000</f>
        <v>29000</v>
      </c>
    </row>
    <row r="9" spans="1:14" x14ac:dyDescent="0.2">
      <c r="A9" s="171"/>
      <c r="G9" s="172" t="s">
        <v>312</v>
      </c>
      <c r="I9" s="169">
        <f>I8</f>
        <v>12333.333333333334</v>
      </c>
    </row>
    <row r="10" spans="1:14" x14ac:dyDescent="0.2">
      <c r="G10" s="172" t="s">
        <v>313</v>
      </c>
      <c r="I10" s="169">
        <v>0</v>
      </c>
      <c r="J10" s="169">
        <f>J8-I8</f>
        <v>4999.9999999999982</v>
      </c>
      <c r="K10" s="169">
        <f t="shared" ref="K10:M10" si="3">K8-J8</f>
        <v>6666.6666666666679</v>
      </c>
      <c r="L10" s="169">
        <f t="shared" si="3"/>
        <v>5000</v>
      </c>
      <c r="M10" s="169">
        <f t="shared" si="3"/>
        <v>0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0"/>
  <sheetViews>
    <sheetView showGridLines="0" topLeftCell="A13" zoomScaleNormal="100" workbookViewId="0">
      <selection activeCell="R30" sqref="R30"/>
    </sheetView>
  </sheetViews>
  <sheetFormatPr defaultRowHeight="12.75" x14ac:dyDescent="0.2"/>
  <cols>
    <col min="1" max="3" width="6.85546875" style="154" customWidth="1"/>
    <col min="4" max="17" width="7.7109375" style="154" customWidth="1"/>
    <col min="18" max="18" width="39.5703125" style="154" customWidth="1"/>
    <col min="19" max="16384" width="9.140625" style="154"/>
  </cols>
  <sheetData>
    <row r="1" spans="2:18" ht="13.5" thickBot="1" x14ac:dyDescent="0.25"/>
    <row r="2" spans="2:18" ht="21.75" customHeight="1" thickBot="1" x14ac:dyDescent="0.3">
      <c r="B2" s="449">
        <v>2018</v>
      </c>
      <c r="C2" s="449"/>
      <c r="D2" s="449"/>
      <c r="E2" s="450"/>
      <c r="F2" s="446">
        <v>2019</v>
      </c>
      <c r="G2" s="447"/>
      <c r="H2" s="447"/>
      <c r="I2" s="448"/>
      <c r="J2" s="449">
        <v>2020</v>
      </c>
      <c r="K2" s="449"/>
      <c r="L2" s="449"/>
      <c r="M2" s="450"/>
      <c r="N2" s="446">
        <v>2021</v>
      </c>
      <c r="O2" s="447"/>
      <c r="P2" s="447"/>
      <c r="Q2" s="448"/>
      <c r="R2" s="451" t="s">
        <v>329</v>
      </c>
    </row>
    <row r="3" spans="2:18" ht="14.25" thickBot="1" x14ac:dyDescent="0.25">
      <c r="B3" s="155" t="s">
        <v>219</v>
      </c>
      <c r="C3" s="155" t="s">
        <v>220</v>
      </c>
      <c r="D3" s="155" t="s">
        <v>217</v>
      </c>
      <c r="E3" s="155" t="s">
        <v>218</v>
      </c>
      <c r="F3" s="155" t="s">
        <v>219</v>
      </c>
      <c r="G3" s="155" t="s">
        <v>220</v>
      </c>
      <c r="H3" s="155" t="s">
        <v>217</v>
      </c>
      <c r="I3" s="155" t="s">
        <v>218</v>
      </c>
      <c r="J3" s="155" t="s">
        <v>219</v>
      </c>
      <c r="K3" s="155" t="s">
        <v>220</v>
      </c>
      <c r="L3" s="155" t="s">
        <v>217</v>
      </c>
      <c r="M3" s="155" t="s">
        <v>218</v>
      </c>
      <c r="N3" s="155" t="s">
        <v>219</v>
      </c>
      <c r="O3" s="155" t="s">
        <v>220</v>
      </c>
      <c r="P3" s="155" t="s">
        <v>217</v>
      </c>
      <c r="Q3" s="155" t="s">
        <v>218</v>
      </c>
      <c r="R3" s="452"/>
    </row>
    <row r="4" spans="2:18" x14ac:dyDescent="0.2"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</row>
    <row r="5" spans="2:18" x14ac:dyDescent="0.2"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</row>
    <row r="6" spans="2:18" x14ac:dyDescent="0.2"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</row>
    <row r="7" spans="2:18" x14ac:dyDescent="0.2"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</row>
    <row r="8" spans="2:18" x14ac:dyDescent="0.2"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</row>
    <row r="9" spans="2:18" x14ac:dyDescent="0.2"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</row>
    <row r="10" spans="2:18" x14ac:dyDescent="0.2"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8" t="s">
        <v>330</v>
      </c>
    </row>
    <row r="11" spans="2:18" x14ac:dyDescent="0.2"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9" t="s">
        <v>222</v>
      </c>
    </row>
    <row r="12" spans="2:18" x14ac:dyDescent="0.2"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</row>
    <row r="13" spans="2:18" x14ac:dyDescent="0.2"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</row>
    <row r="14" spans="2:18" x14ac:dyDescent="0.2"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</row>
    <row r="15" spans="2:18" x14ac:dyDescent="0.2"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</row>
    <row r="16" spans="2:18" x14ac:dyDescent="0.2"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</row>
    <row r="17" spans="2:18" x14ac:dyDescent="0.2"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</row>
    <row r="18" spans="2:18" x14ac:dyDescent="0.2"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</row>
    <row r="19" spans="2:18" x14ac:dyDescent="0.2"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</row>
    <row r="20" spans="2:18" x14ac:dyDescent="0.2"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</row>
    <row r="21" spans="2:18" x14ac:dyDescent="0.2"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</row>
    <row r="22" spans="2:18" x14ac:dyDescent="0.2"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</row>
    <row r="23" spans="2:18" ht="13.5" thickBot="1" x14ac:dyDescent="0.25"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</row>
    <row r="24" spans="2:18" ht="15" customHeight="1" thickTop="1" x14ac:dyDescent="0.25">
      <c r="B24" s="161" t="s">
        <v>221</v>
      </c>
      <c r="E24" s="174">
        <f>Production!C5</f>
        <v>0</v>
      </c>
      <c r="F24" s="174"/>
      <c r="G24" s="174"/>
      <c r="H24" s="174"/>
      <c r="I24" s="174">
        <f>Production!D5</f>
        <v>925</v>
      </c>
      <c r="J24" s="174"/>
      <c r="K24" s="174"/>
      <c r="L24" s="174"/>
      <c r="M24" s="174">
        <f>Production!E5</f>
        <v>1300</v>
      </c>
      <c r="N24" s="174"/>
      <c r="O24" s="174"/>
      <c r="P24" s="174"/>
      <c r="Q24" s="174">
        <f>Production!F5</f>
        <v>1800</v>
      </c>
      <c r="R24" s="174">
        <f>Production!H5</f>
        <v>2175</v>
      </c>
    </row>
    <row r="25" spans="2:18" ht="15" customHeight="1" x14ac:dyDescent="0.2">
      <c r="B25" s="162" t="s">
        <v>332</v>
      </c>
      <c r="C25" s="163"/>
      <c r="D25" s="163"/>
      <c r="E25" s="175">
        <f>'P&amp;L, CashFlow'!D2</f>
        <v>0</v>
      </c>
      <c r="F25" s="175"/>
      <c r="G25" s="175"/>
      <c r="H25" s="175"/>
      <c r="I25" s="175">
        <f>'P&amp;L, CashFlow'!E2</f>
        <v>4625</v>
      </c>
      <c r="J25" s="175"/>
      <c r="K25" s="175"/>
      <c r="L25" s="175"/>
      <c r="M25" s="175">
        <f>'P&amp;L, CashFlow'!F2</f>
        <v>6500</v>
      </c>
      <c r="N25" s="175"/>
      <c r="O25" s="175"/>
      <c r="P25" s="175"/>
      <c r="Q25" s="175">
        <f>'P&amp;L, CashFlow'!G2</f>
        <v>9000</v>
      </c>
      <c r="R25" s="175">
        <f>'P&amp;L, CashFlow'!I2</f>
        <v>10875</v>
      </c>
    </row>
    <row r="26" spans="2:18" ht="15" customHeight="1" x14ac:dyDescent="0.2">
      <c r="B26" s="162" t="s">
        <v>333</v>
      </c>
      <c r="C26" s="163"/>
      <c r="D26" s="163"/>
      <c r="E26" s="176">
        <f>'P&amp;L, CashFlow'!D3</f>
        <v>0</v>
      </c>
      <c r="F26" s="176"/>
      <c r="G26" s="176"/>
      <c r="H26" s="176"/>
      <c r="I26" s="176">
        <f>'P&amp;L, CashFlow'!E3</f>
        <v>-988.87002061122951</v>
      </c>
      <c r="J26" s="176"/>
      <c r="K26" s="176"/>
      <c r="L26" s="176"/>
      <c r="M26" s="176">
        <f>'P&amp;L, CashFlow'!F3</f>
        <v>-1389.7632722103765</v>
      </c>
      <c r="N26" s="176"/>
      <c r="O26" s="176"/>
      <c r="P26" s="176"/>
      <c r="Q26" s="176">
        <f>'P&amp;L, CashFlow'!G3</f>
        <v>-1924.287607675906</v>
      </c>
      <c r="R26" s="176">
        <f>'P&amp;L, CashFlow'!I3</f>
        <v>-2325.1808592750531</v>
      </c>
    </row>
    <row r="27" spans="2:18" ht="15" customHeight="1" x14ac:dyDescent="0.2">
      <c r="B27" s="162" t="s">
        <v>334</v>
      </c>
      <c r="C27" s="163"/>
      <c r="D27" s="163"/>
      <c r="E27" s="176">
        <f>'P&amp;L, CashFlow'!D8</f>
        <v>0</v>
      </c>
      <c r="F27" s="176"/>
      <c r="G27" s="176"/>
      <c r="H27" s="176"/>
      <c r="I27" s="176">
        <f>'P&amp;L, CashFlow'!E8</f>
        <v>-415.2</v>
      </c>
      <c r="J27" s="176"/>
      <c r="K27" s="176"/>
      <c r="L27" s="176"/>
      <c r="M27" s="176">
        <f>'P&amp;L, CashFlow'!F8</f>
        <v>-386.40000000000003</v>
      </c>
      <c r="N27" s="176"/>
      <c r="O27" s="176"/>
      <c r="P27" s="176"/>
      <c r="Q27" s="176">
        <f>'P&amp;L, CashFlow'!G8</f>
        <v>-307.2</v>
      </c>
      <c r="R27" s="176">
        <f>'P&amp;L, CashFlow'!I8</f>
        <v>0</v>
      </c>
    </row>
    <row r="28" spans="2:18" ht="15" customHeight="1" x14ac:dyDescent="0.2">
      <c r="B28" s="162" t="s">
        <v>335</v>
      </c>
      <c r="C28" s="163"/>
      <c r="D28" s="163"/>
      <c r="E28" s="176">
        <f>'P&amp;L, CashFlow'!D9</f>
        <v>-815.6449206349206</v>
      </c>
      <c r="F28" s="176"/>
      <c r="G28" s="176"/>
      <c r="H28" s="176"/>
      <c r="I28" s="176">
        <f>'P&amp;L, CashFlow'!E9</f>
        <v>-1931.9772222222223</v>
      </c>
      <c r="J28" s="176"/>
      <c r="K28" s="176"/>
      <c r="L28" s="176"/>
      <c r="M28" s="176">
        <f>'P&amp;L, CashFlow'!F9</f>
        <v>-2256.0407142857143</v>
      </c>
      <c r="N28" s="176"/>
      <c r="O28" s="176"/>
      <c r="P28" s="176"/>
      <c r="Q28" s="176">
        <f>'P&amp;L, CashFlow'!G9</f>
        <v>-2658.0407142857143</v>
      </c>
      <c r="R28" s="176">
        <f>'P&amp;L, CashFlow'!I9</f>
        <v>-2961.3264285714281</v>
      </c>
    </row>
    <row r="29" spans="2:18" ht="15" customHeight="1" x14ac:dyDescent="0.2">
      <c r="B29" s="162" t="s">
        <v>336</v>
      </c>
      <c r="C29" s="163"/>
      <c r="D29" s="163"/>
      <c r="E29" s="176">
        <f>-(-'P&amp;L, CashFlow'!D11+OPEX!P32+OPEX!P49+OPEX!P73+OPEX!P82)</f>
        <v>-185.04000000000002</v>
      </c>
      <c r="F29" s="176"/>
      <c r="G29" s="176"/>
      <c r="H29" s="176"/>
      <c r="I29" s="176">
        <f>-(-'P&amp;L, CashFlow'!E11+OPEX!Q32+OPEX!Q49+OPEX!Q73+OPEX!Q82)</f>
        <v>-391.69855143330972</v>
      </c>
      <c r="J29" s="176"/>
      <c r="K29" s="176"/>
      <c r="L29" s="176"/>
      <c r="M29" s="176">
        <f>-(-'P&amp;L, CashFlow'!F11+OPEX!R32+OPEX!R49+OPEX!R73+OPEX!R82)</f>
        <v>-665.51920270078188</v>
      </c>
      <c r="N29" s="176"/>
      <c r="O29" s="176"/>
      <c r="P29" s="176"/>
      <c r="Q29" s="176">
        <f>-(-'P&amp;L, CashFlow'!G11+OPEX!S32+OPEX!S49+OPEX!S73+OPEX!S82)</f>
        <v>-994.05433560767608</v>
      </c>
      <c r="R29" s="176">
        <f>-(-'P&amp;L, CashFlow'!I11+OPEX!U32+OPEX!U49+OPEX!U73+OPEX!U82)</f>
        <v>-1358.0585424307037</v>
      </c>
    </row>
    <row r="30" spans="2:18" s="166" customFormat="1" ht="19.5" customHeight="1" thickBot="1" x14ac:dyDescent="0.25">
      <c r="B30" s="164" t="s">
        <v>331</v>
      </c>
      <c r="C30" s="165"/>
      <c r="D30" s="165"/>
      <c r="E30" s="177">
        <f>'P&amp;L, CashFlow'!D12</f>
        <v>-1267.5049206349206</v>
      </c>
      <c r="F30" s="177"/>
      <c r="G30" s="177"/>
      <c r="H30" s="177"/>
      <c r="I30" s="177">
        <f>'P&amp;L, CashFlow'!E12</f>
        <v>669.67420573323875</v>
      </c>
      <c r="J30" s="177"/>
      <c r="K30" s="177"/>
      <c r="L30" s="177"/>
      <c r="M30" s="177">
        <f>'P&amp;L, CashFlow'!F12</f>
        <v>1606.1968108031276</v>
      </c>
      <c r="N30" s="177"/>
      <c r="O30" s="177"/>
      <c r="P30" s="177"/>
      <c r="Q30" s="177">
        <f>'P&amp;L, CashFlow'!G12</f>
        <v>2920.3373424307038</v>
      </c>
      <c r="R30" s="177">
        <f>'P&amp;L, CashFlow'!I12</f>
        <v>4102.7541697228153</v>
      </c>
    </row>
  </sheetData>
  <mergeCells count="5">
    <mergeCell ref="F2:I2"/>
    <mergeCell ref="J2:M2"/>
    <mergeCell ref="B2:E2"/>
    <mergeCell ref="N2:Q2"/>
    <mergeCell ref="R2:R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"/>
  <sheetViews>
    <sheetView workbookViewId="0">
      <selection activeCell="B1" sqref="B1"/>
    </sheetView>
  </sheetViews>
  <sheetFormatPr defaultRowHeight="12.75" x14ac:dyDescent="0.2"/>
  <cols>
    <col min="1" max="1" width="33.5703125" style="433" bestFit="1" customWidth="1"/>
    <col min="2" max="16384" width="9.140625" style="432"/>
  </cols>
  <sheetData>
    <row r="1" spans="1:5" x14ac:dyDescent="0.2">
      <c r="A1" s="429" t="s">
        <v>342</v>
      </c>
      <c r="B1" s="430">
        <f>Production!C13+Production!D7</f>
        <v>2282.0230952380953</v>
      </c>
      <c r="C1" s="430">
        <f>Production!E7</f>
        <v>1542.1898809523809</v>
      </c>
      <c r="D1" s="431">
        <f>Production!F13</f>
        <v>1495.4732142857142</v>
      </c>
      <c r="E1" s="430">
        <f>Production!H7</f>
        <v>1843.8732142857143</v>
      </c>
    </row>
    <row r="2" spans="1:5" x14ac:dyDescent="0.2">
      <c r="A2" s="429" t="s">
        <v>343</v>
      </c>
      <c r="B2" s="430">
        <f>Gantt!I27</f>
        <v>-415.2</v>
      </c>
      <c r="C2" s="430">
        <f>Gantt!M27</f>
        <v>-386.40000000000003</v>
      </c>
      <c r="D2" s="431">
        <f>Gantt!Q27</f>
        <v>-307.2</v>
      </c>
      <c r="E2" s="430">
        <f>Gantt!R27</f>
        <v>0</v>
      </c>
    </row>
    <row r="3" spans="1:5" x14ac:dyDescent="0.2">
      <c r="A3" s="429" t="s">
        <v>341</v>
      </c>
      <c r="B3" s="430">
        <f>Gantt!I28</f>
        <v>-1931.9772222222223</v>
      </c>
      <c r="C3" s="430">
        <f>Gantt!M28</f>
        <v>-2256.0407142857143</v>
      </c>
      <c r="D3" s="431">
        <f>Gantt!Q28</f>
        <v>-2658.0407142857143</v>
      </c>
      <c r="E3" s="430">
        <f>Gantt!R28</f>
        <v>-2961.3264285714281</v>
      </c>
    </row>
    <row r="4" spans="1:5" x14ac:dyDescent="0.2">
      <c r="A4" s="429" t="s">
        <v>340</v>
      </c>
      <c r="B4" s="430">
        <f>Gantt!I29</f>
        <v>-391.69855143330972</v>
      </c>
      <c r="C4" s="430">
        <f>'P&amp;L, CashFlow'!F11</f>
        <v>-401.54920270078196</v>
      </c>
      <c r="D4" s="431">
        <f>'P&amp;L, CashFlow'!G11</f>
        <v>-730.08433560767605</v>
      </c>
      <c r="E4" s="430">
        <f>Gantt!R29</f>
        <v>-1358.0585424307037</v>
      </c>
    </row>
    <row r="5" spans="1:5" x14ac:dyDescent="0.2">
      <c r="A5" s="433" t="s">
        <v>344</v>
      </c>
      <c r="B5" s="430">
        <f>Gantt!I30</f>
        <v>669.67420573323875</v>
      </c>
      <c r="C5" s="430">
        <f>Gantt!M30</f>
        <v>1606.1968108031276</v>
      </c>
      <c r="D5" s="431">
        <f>Gantt!Q30</f>
        <v>2920.3373424307038</v>
      </c>
      <c r="E5" s="430">
        <f>Gantt!R30</f>
        <v>4102.7541697228153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6"/>
  <sheetViews>
    <sheetView showGridLines="0" tabSelected="1" zoomScale="80" zoomScaleNormal="80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A21" sqref="A21:XFD22"/>
    </sheetView>
  </sheetViews>
  <sheetFormatPr defaultRowHeight="12.75" outlineLevelRow="1" x14ac:dyDescent="0.2"/>
  <cols>
    <col min="1" max="1" width="3.7109375" style="7" customWidth="1"/>
    <col min="2" max="2" width="47.42578125" style="7" customWidth="1"/>
    <col min="3" max="3" width="8.5703125" style="7" customWidth="1"/>
    <col min="4" max="4" width="6.28515625" style="7" bestFit="1" customWidth="1"/>
    <col min="5" max="5" width="9.140625" style="58" customWidth="1"/>
    <col min="6" max="6" width="4.85546875" style="59" bestFit="1" customWidth="1"/>
    <col min="7" max="7" width="12" style="7" customWidth="1"/>
    <col min="8" max="8" width="11.85546875" style="65" customWidth="1"/>
    <col min="9" max="9" width="13.42578125" style="7" customWidth="1"/>
    <col min="10" max="10" width="11.85546875" style="7" customWidth="1"/>
    <col min="11" max="11" width="1.7109375" style="7" customWidth="1"/>
    <col min="12" max="12" width="7.7109375" style="63" bestFit="1" customWidth="1"/>
    <col min="13" max="17" width="6.85546875" style="63" bestFit="1" customWidth="1"/>
    <col min="18" max="18" width="1.7109375" style="7" customWidth="1"/>
    <col min="19" max="20" width="10.140625" style="7" bestFit="1" customWidth="1"/>
    <col min="21" max="22" width="8.5703125" style="7" bestFit="1" customWidth="1"/>
    <col min="23" max="24" width="7.42578125" style="7" bestFit="1" customWidth="1"/>
    <col min="25" max="25" width="1.7109375" style="7" customWidth="1"/>
    <col min="26" max="31" width="9.42578125" style="7" bestFit="1" customWidth="1"/>
    <col min="32" max="32" width="12.42578125" style="7" bestFit="1" customWidth="1"/>
    <col min="33" max="16384" width="9.140625" style="7"/>
  </cols>
  <sheetData>
    <row r="1" spans="2:31" x14ac:dyDescent="0.2">
      <c r="H1" s="60" t="s">
        <v>11</v>
      </c>
      <c r="I1" s="61">
        <v>1</v>
      </c>
      <c r="J1" s="62"/>
      <c r="V1" s="60"/>
      <c r="W1" s="61"/>
      <c r="X1" s="62"/>
    </row>
    <row r="2" spans="2:31" s="8" customFormat="1" ht="12" customHeight="1" thickBot="1" x14ac:dyDescent="0.25">
      <c r="B2" s="64"/>
      <c r="C2" s="64"/>
      <c r="D2" s="64"/>
      <c r="E2" s="58"/>
      <c r="F2" s="59"/>
      <c r="H2" s="65"/>
      <c r="K2" s="7"/>
      <c r="L2" s="439" t="s">
        <v>285</v>
      </c>
      <c r="M2" s="439"/>
      <c r="N2" s="439"/>
      <c r="O2" s="439"/>
      <c r="P2" s="439"/>
      <c r="Q2" s="439"/>
      <c r="R2" s="7"/>
      <c r="S2" s="440" t="s">
        <v>48</v>
      </c>
      <c r="T2" s="440"/>
      <c r="U2" s="440"/>
      <c r="V2" s="440"/>
      <c r="W2" s="440"/>
      <c r="X2" s="440"/>
      <c r="Y2" s="7"/>
      <c r="Z2" s="440" t="s">
        <v>92</v>
      </c>
      <c r="AA2" s="440"/>
      <c r="AB2" s="440"/>
      <c r="AC2" s="440"/>
      <c r="AD2" s="440"/>
      <c r="AE2" s="440"/>
    </row>
    <row r="3" spans="2:31" s="72" customFormat="1" ht="27" customHeight="1" thickBot="1" x14ac:dyDescent="0.25">
      <c r="B3" s="66"/>
      <c r="C3" s="67" t="s">
        <v>143</v>
      </c>
      <c r="D3" s="67" t="s">
        <v>15</v>
      </c>
      <c r="E3" s="68" t="s">
        <v>33</v>
      </c>
      <c r="F3" s="67" t="s">
        <v>9</v>
      </c>
      <c r="G3" s="67" t="s">
        <v>10</v>
      </c>
      <c r="H3" s="67" t="s">
        <v>168</v>
      </c>
      <c r="I3" s="67" t="s">
        <v>286</v>
      </c>
      <c r="J3" s="67" t="s">
        <v>123</v>
      </c>
      <c r="K3" s="69"/>
      <c r="L3" s="70">
        <v>1</v>
      </c>
      <c r="M3" s="70">
        <v>2</v>
      </c>
      <c r="N3" s="70">
        <v>3</v>
      </c>
      <c r="O3" s="70">
        <v>4</v>
      </c>
      <c r="P3" s="70">
        <v>5</v>
      </c>
      <c r="Q3" s="70">
        <v>6</v>
      </c>
      <c r="R3" s="69"/>
      <c r="S3" s="71">
        <v>1</v>
      </c>
      <c r="T3" s="71">
        <v>2</v>
      </c>
      <c r="U3" s="71">
        <v>3</v>
      </c>
      <c r="V3" s="71">
        <v>4</v>
      </c>
      <c r="W3" s="71">
        <v>5</v>
      </c>
      <c r="X3" s="71">
        <v>6</v>
      </c>
      <c r="Y3" s="69"/>
      <c r="Z3" s="71">
        <v>1</v>
      </c>
      <c r="AA3" s="71">
        <v>2</v>
      </c>
      <c r="AB3" s="71">
        <v>3</v>
      </c>
      <c r="AC3" s="71">
        <v>4</v>
      </c>
      <c r="AD3" s="71">
        <v>5</v>
      </c>
      <c r="AE3" s="71">
        <v>6</v>
      </c>
    </row>
    <row r="4" spans="2:31" s="8" customFormat="1" ht="15.95" customHeight="1" thickBot="1" x14ac:dyDescent="0.25">
      <c r="B4" s="73" t="s">
        <v>0</v>
      </c>
      <c r="C4" s="73"/>
      <c r="D4" s="73"/>
      <c r="E4" s="74"/>
      <c r="F4" s="75"/>
      <c r="G4" s="76"/>
      <c r="H4" s="77"/>
      <c r="I4" s="78"/>
      <c r="J4" s="78"/>
      <c r="K4" s="7"/>
      <c r="L4" s="79"/>
      <c r="M4" s="79"/>
      <c r="N4" s="79"/>
      <c r="O4" s="79"/>
      <c r="P4" s="79"/>
      <c r="Q4" s="79"/>
      <c r="R4" s="7"/>
      <c r="S4" s="80"/>
      <c r="T4" s="80"/>
      <c r="U4" s="80"/>
      <c r="V4" s="80"/>
      <c r="W4" s="80"/>
      <c r="X4" s="80"/>
      <c r="Y4" s="7"/>
      <c r="Z4" s="80"/>
      <c r="AA4" s="80"/>
      <c r="AB4" s="80"/>
      <c r="AC4" s="80"/>
      <c r="AD4" s="80"/>
      <c r="AE4" s="80"/>
    </row>
    <row r="5" spans="2:31" s="8" customFormat="1" ht="15.95" customHeight="1" x14ac:dyDescent="0.2">
      <c r="B5" s="81" t="s">
        <v>4</v>
      </c>
      <c r="C5" s="81"/>
      <c r="D5" s="81"/>
      <c r="E5" s="82"/>
      <c r="F5" s="83"/>
      <c r="G5" s="6"/>
      <c r="H5" s="84"/>
      <c r="I5" s="54">
        <f>SUM(I6:I10)</f>
        <v>125</v>
      </c>
      <c r="J5" s="6"/>
      <c r="K5" s="7"/>
      <c r="L5" s="31"/>
      <c r="M5" s="31"/>
      <c r="N5" s="31"/>
      <c r="O5" s="31"/>
      <c r="P5" s="31"/>
      <c r="Q5" s="31"/>
      <c r="R5" s="7"/>
      <c r="S5" s="6">
        <f t="shared" ref="S5:X5" si="0">SUM(S6:S10)</f>
        <v>41.666666666666657</v>
      </c>
      <c r="T5" s="6">
        <f t="shared" si="0"/>
        <v>41.666666666666657</v>
      </c>
      <c r="U5" s="6">
        <f t="shared" si="0"/>
        <v>41.666666666666657</v>
      </c>
      <c r="V5" s="6">
        <f t="shared" si="0"/>
        <v>0</v>
      </c>
      <c r="W5" s="6">
        <f t="shared" si="0"/>
        <v>0</v>
      </c>
      <c r="X5" s="6">
        <f t="shared" si="0"/>
        <v>0</v>
      </c>
      <c r="Y5" s="7"/>
      <c r="Z5" s="6">
        <f t="shared" ref="Z5:AE5" si="1">SUM(Z6:Z10)</f>
        <v>2.7777777777777772</v>
      </c>
      <c r="AA5" s="6">
        <f t="shared" si="1"/>
        <v>5.5555555555555545</v>
      </c>
      <c r="AB5" s="6">
        <f t="shared" si="1"/>
        <v>8.3333333333333321</v>
      </c>
      <c r="AC5" s="6">
        <f t="shared" si="1"/>
        <v>8.3333333333333321</v>
      </c>
      <c r="AD5" s="6">
        <f t="shared" si="1"/>
        <v>8.3333333333333321</v>
      </c>
      <c r="AE5" s="6">
        <f t="shared" si="1"/>
        <v>8.3333333333333321</v>
      </c>
    </row>
    <row r="6" spans="2:31" s="8" customFormat="1" ht="15.95" customHeight="1" outlineLevel="1" x14ac:dyDescent="0.2">
      <c r="B6" s="32" t="s">
        <v>122</v>
      </c>
      <c r="C6" s="32"/>
      <c r="D6" s="32"/>
      <c r="E6" s="85">
        <v>1</v>
      </c>
      <c r="F6" s="86" t="s">
        <v>18</v>
      </c>
      <c r="G6" s="87">
        <v>25000</v>
      </c>
      <c r="H6" s="88">
        <f>G6*$I$1</f>
        <v>25000</v>
      </c>
      <c r="I6" s="89">
        <f>E6*H6/10^3</f>
        <v>25</v>
      </c>
      <c r="J6" s="90">
        <v>15</v>
      </c>
      <c r="K6" s="7"/>
      <c r="L6" s="91">
        <f>1/3</f>
        <v>0.33333333333333331</v>
      </c>
      <c r="M6" s="91">
        <f t="shared" ref="M6:N10" si="2">1/3</f>
        <v>0.33333333333333331</v>
      </c>
      <c r="N6" s="91">
        <f t="shared" si="2"/>
        <v>0.33333333333333331</v>
      </c>
      <c r="O6" s="92"/>
      <c r="P6" s="92"/>
      <c r="Q6" s="92"/>
      <c r="R6" s="7"/>
      <c r="S6" s="89">
        <f>L6*$H6/1000</f>
        <v>8.3333333333333321</v>
      </c>
      <c r="T6" s="89">
        <f t="shared" ref="S6:X10" si="3">M6*$H6/1000</f>
        <v>8.3333333333333321</v>
      </c>
      <c r="U6" s="89">
        <f t="shared" si="3"/>
        <v>8.3333333333333321</v>
      </c>
      <c r="V6" s="89">
        <f t="shared" si="3"/>
        <v>0</v>
      </c>
      <c r="W6" s="89">
        <f t="shared" si="3"/>
        <v>0</v>
      </c>
      <c r="X6" s="89">
        <f t="shared" si="3"/>
        <v>0</v>
      </c>
      <c r="Y6" s="93"/>
      <c r="Z6" s="89">
        <f>S6/$J6</f>
        <v>0.55555555555555547</v>
      </c>
      <c r="AA6" s="89">
        <f>Z6+T6/$J6</f>
        <v>1.1111111111111109</v>
      </c>
      <c r="AB6" s="89">
        <f t="shared" ref="AB6:AE10" si="4">AA6+U6/$J6</f>
        <v>1.6666666666666665</v>
      </c>
      <c r="AC6" s="89">
        <f t="shared" si="4"/>
        <v>1.6666666666666665</v>
      </c>
      <c r="AD6" s="89">
        <f t="shared" si="4"/>
        <v>1.6666666666666665</v>
      </c>
      <c r="AE6" s="89">
        <f t="shared" si="4"/>
        <v>1.6666666666666665</v>
      </c>
    </row>
    <row r="7" spans="2:31" s="8" customFormat="1" ht="15.95" customHeight="1" outlineLevel="1" x14ac:dyDescent="0.2">
      <c r="B7" s="32" t="s">
        <v>5</v>
      </c>
      <c r="C7" s="32"/>
      <c r="D7" s="32"/>
      <c r="E7" s="85">
        <v>1</v>
      </c>
      <c r="F7" s="86" t="s">
        <v>18</v>
      </c>
      <c r="G7" s="87">
        <v>25000</v>
      </c>
      <c r="H7" s="88">
        <f>G7*$I$1</f>
        <v>25000</v>
      </c>
      <c r="I7" s="94">
        <f>E7*H7/10^3</f>
        <v>25</v>
      </c>
      <c r="J7" s="95">
        <v>15</v>
      </c>
      <c r="K7" s="7"/>
      <c r="L7" s="96">
        <f>1/3</f>
        <v>0.33333333333333331</v>
      </c>
      <c r="M7" s="96">
        <f t="shared" si="2"/>
        <v>0.33333333333333331</v>
      </c>
      <c r="N7" s="96">
        <f t="shared" si="2"/>
        <v>0.33333333333333331</v>
      </c>
      <c r="O7" s="97"/>
      <c r="P7" s="97"/>
      <c r="Q7" s="97"/>
      <c r="R7" s="7"/>
      <c r="S7" s="94">
        <f t="shared" si="3"/>
        <v>8.3333333333333321</v>
      </c>
      <c r="T7" s="94">
        <f t="shared" si="3"/>
        <v>8.3333333333333321</v>
      </c>
      <c r="U7" s="94">
        <f t="shared" si="3"/>
        <v>8.3333333333333321</v>
      </c>
      <c r="V7" s="94">
        <f t="shared" si="3"/>
        <v>0</v>
      </c>
      <c r="W7" s="94">
        <f t="shared" si="3"/>
        <v>0</v>
      </c>
      <c r="X7" s="94">
        <f t="shared" si="3"/>
        <v>0</v>
      </c>
      <c r="Y7" s="93"/>
      <c r="Z7" s="94">
        <f>S7/$J7</f>
        <v>0.55555555555555547</v>
      </c>
      <c r="AA7" s="94">
        <f>Z7+T7/$J7</f>
        <v>1.1111111111111109</v>
      </c>
      <c r="AB7" s="94">
        <f t="shared" si="4"/>
        <v>1.6666666666666665</v>
      </c>
      <c r="AC7" s="94">
        <f t="shared" si="4"/>
        <v>1.6666666666666665</v>
      </c>
      <c r="AD7" s="94">
        <f t="shared" si="4"/>
        <v>1.6666666666666665</v>
      </c>
      <c r="AE7" s="94">
        <f t="shared" si="4"/>
        <v>1.6666666666666665</v>
      </c>
    </row>
    <row r="8" spans="2:31" s="8" customFormat="1" ht="15.95" customHeight="1" outlineLevel="1" x14ac:dyDescent="0.2">
      <c r="B8" s="32" t="s">
        <v>6</v>
      </c>
      <c r="C8" s="32"/>
      <c r="D8" s="32"/>
      <c r="E8" s="85">
        <v>1</v>
      </c>
      <c r="F8" s="86" t="s">
        <v>18</v>
      </c>
      <c r="G8" s="87">
        <v>25000</v>
      </c>
      <c r="H8" s="88">
        <f>G8*$I$1</f>
        <v>25000</v>
      </c>
      <c r="I8" s="94">
        <f>E8*H8/10^3</f>
        <v>25</v>
      </c>
      <c r="J8" s="95">
        <v>15</v>
      </c>
      <c r="K8" s="7"/>
      <c r="L8" s="96">
        <f>1/3</f>
        <v>0.33333333333333331</v>
      </c>
      <c r="M8" s="96">
        <f t="shared" si="2"/>
        <v>0.33333333333333331</v>
      </c>
      <c r="N8" s="96">
        <f t="shared" si="2"/>
        <v>0.33333333333333331</v>
      </c>
      <c r="O8" s="97"/>
      <c r="P8" s="97"/>
      <c r="Q8" s="97"/>
      <c r="R8" s="7"/>
      <c r="S8" s="94">
        <f t="shared" si="3"/>
        <v>8.3333333333333321</v>
      </c>
      <c r="T8" s="94">
        <f t="shared" si="3"/>
        <v>8.3333333333333321</v>
      </c>
      <c r="U8" s="94">
        <f t="shared" si="3"/>
        <v>8.3333333333333321</v>
      </c>
      <c r="V8" s="94">
        <f t="shared" si="3"/>
        <v>0</v>
      </c>
      <c r="W8" s="94">
        <f t="shared" si="3"/>
        <v>0</v>
      </c>
      <c r="X8" s="94">
        <f t="shared" si="3"/>
        <v>0</v>
      </c>
      <c r="Y8" s="93"/>
      <c r="Z8" s="94">
        <f>S8/$J8</f>
        <v>0.55555555555555547</v>
      </c>
      <c r="AA8" s="94">
        <f>Z8+T8/$J8</f>
        <v>1.1111111111111109</v>
      </c>
      <c r="AB8" s="94">
        <f t="shared" si="4"/>
        <v>1.6666666666666665</v>
      </c>
      <c r="AC8" s="94">
        <f t="shared" si="4"/>
        <v>1.6666666666666665</v>
      </c>
      <c r="AD8" s="94">
        <f t="shared" si="4"/>
        <v>1.6666666666666665</v>
      </c>
      <c r="AE8" s="94">
        <f t="shared" si="4"/>
        <v>1.6666666666666665</v>
      </c>
    </row>
    <row r="9" spans="2:31" s="8" customFormat="1" ht="15.95" customHeight="1" outlineLevel="1" x14ac:dyDescent="0.2">
      <c r="B9" s="32" t="s">
        <v>7</v>
      </c>
      <c r="C9" s="32"/>
      <c r="D9" s="32"/>
      <c r="E9" s="85">
        <v>1</v>
      </c>
      <c r="F9" s="86" t="s">
        <v>18</v>
      </c>
      <c r="G9" s="87">
        <v>25000</v>
      </c>
      <c r="H9" s="88">
        <f>G9*$I$1</f>
        <v>25000</v>
      </c>
      <c r="I9" s="94">
        <f>E9*H9/10^3</f>
        <v>25</v>
      </c>
      <c r="J9" s="95">
        <v>15</v>
      </c>
      <c r="K9" s="7"/>
      <c r="L9" s="96">
        <f>1/3</f>
        <v>0.33333333333333331</v>
      </c>
      <c r="M9" s="96">
        <f t="shared" si="2"/>
        <v>0.33333333333333331</v>
      </c>
      <c r="N9" s="96">
        <f t="shared" si="2"/>
        <v>0.33333333333333331</v>
      </c>
      <c r="O9" s="97"/>
      <c r="P9" s="97"/>
      <c r="Q9" s="97"/>
      <c r="R9" s="7"/>
      <c r="S9" s="94">
        <f t="shared" si="3"/>
        <v>8.3333333333333321</v>
      </c>
      <c r="T9" s="94">
        <f t="shared" si="3"/>
        <v>8.3333333333333321</v>
      </c>
      <c r="U9" s="94">
        <f t="shared" si="3"/>
        <v>8.3333333333333321</v>
      </c>
      <c r="V9" s="94">
        <f t="shared" si="3"/>
        <v>0</v>
      </c>
      <c r="W9" s="94">
        <f t="shared" si="3"/>
        <v>0</v>
      </c>
      <c r="X9" s="94">
        <f t="shared" si="3"/>
        <v>0</v>
      </c>
      <c r="Y9" s="93"/>
      <c r="Z9" s="94">
        <f>S9/$J9</f>
        <v>0.55555555555555547</v>
      </c>
      <c r="AA9" s="94">
        <f>Z9+T9/$J9</f>
        <v>1.1111111111111109</v>
      </c>
      <c r="AB9" s="94">
        <f t="shared" si="4"/>
        <v>1.6666666666666665</v>
      </c>
      <c r="AC9" s="94">
        <f t="shared" si="4"/>
        <v>1.6666666666666665</v>
      </c>
      <c r="AD9" s="94">
        <f t="shared" si="4"/>
        <v>1.6666666666666665</v>
      </c>
      <c r="AE9" s="94">
        <f t="shared" si="4"/>
        <v>1.6666666666666665</v>
      </c>
    </row>
    <row r="10" spans="2:31" s="8" customFormat="1" ht="15.95" customHeight="1" outlineLevel="1" x14ac:dyDescent="0.2">
      <c r="B10" s="32" t="s">
        <v>8</v>
      </c>
      <c r="C10" s="32"/>
      <c r="D10" s="32"/>
      <c r="E10" s="85">
        <v>1</v>
      </c>
      <c r="F10" s="86" t="s">
        <v>18</v>
      </c>
      <c r="G10" s="98">
        <v>25000</v>
      </c>
      <c r="H10" s="88">
        <f>G10*$I$1</f>
        <v>25000</v>
      </c>
      <c r="I10" s="99">
        <f>E10*H10/10^3</f>
        <v>25</v>
      </c>
      <c r="J10" s="100">
        <v>15</v>
      </c>
      <c r="K10" s="7"/>
      <c r="L10" s="101">
        <f>1/3</f>
        <v>0.33333333333333331</v>
      </c>
      <c r="M10" s="101">
        <f t="shared" si="2"/>
        <v>0.33333333333333331</v>
      </c>
      <c r="N10" s="101">
        <f t="shared" si="2"/>
        <v>0.33333333333333331</v>
      </c>
      <c r="O10" s="102"/>
      <c r="P10" s="102"/>
      <c r="Q10" s="102"/>
      <c r="R10" s="7"/>
      <c r="S10" s="99">
        <f t="shared" si="3"/>
        <v>8.3333333333333321</v>
      </c>
      <c r="T10" s="99">
        <f t="shared" si="3"/>
        <v>8.3333333333333321</v>
      </c>
      <c r="U10" s="99">
        <f t="shared" si="3"/>
        <v>8.3333333333333321</v>
      </c>
      <c r="V10" s="99">
        <f t="shared" si="3"/>
        <v>0</v>
      </c>
      <c r="W10" s="99">
        <f t="shared" si="3"/>
        <v>0</v>
      </c>
      <c r="X10" s="99">
        <f t="shared" si="3"/>
        <v>0</v>
      </c>
      <c r="Y10" s="93"/>
      <c r="Z10" s="99">
        <f>S10/$J10</f>
        <v>0.55555555555555547</v>
      </c>
      <c r="AA10" s="99">
        <f>Z10+T10/$J10</f>
        <v>1.1111111111111109</v>
      </c>
      <c r="AB10" s="99">
        <f t="shared" si="4"/>
        <v>1.6666666666666665</v>
      </c>
      <c r="AC10" s="99">
        <f t="shared" si="4"/>
        <v>1.6666666666666665</v>
      </c>
      <c r="AD10" s="99">
        <f t="shared" si="4"/>
        <v>1.6666666666666665</v>
      </c>
      <c r="AE10" s="99">
        <f t="shared" si="4"/>
        <v>1.6666666666666665</v>
      </c>
    </row>
    <row r="11" spans="2:31" s="112" customFormat="1" ht="15.95" customHeight="1" x14ac:dyDescent="0.2">
      <c r="B11" s="103" t="s">
        <v>12</v>
      </c>
      <c r="C11" s="103"/>
      <c r="D11" s="103"/>
      <c r="E11" s="104"/>
      <c r="F11" s="105"/>
      <c r="G11" s="106"/>
      <c r="H11" s="107"/>
      <c r="I11" s="108">
        <f>SUM(I5)</f>
        <v>125</v>
      </c>
      <c r="J11" s="109"/>
      <c r="K11" s="110"/>
      <c r="L11" s="111"/>
      <c r="M11" s="111"/>
      <c r="N11" s="111"/>
      <c r="O11" s="111"/>
      <c r="P11" s="111"/>
      <c r="Q11" s="111"/>
      <c r="R11" s="110"/>
      <c r="S11" s="109">
        <f t="shared" ref="S11:X11" si="5">SUM(S5)</f>
        <v>41.666666666666657</v>
      </c>
      <c r="T11" s="109">
        <f t="shared" si="5"/>
        <v>41.666666666666657</v>
      </c>
      <c r="U11" s="109">
        <f t="shared" si="5"/>
        <v>41.666666666666657</v>
      </c>
      <c r="V11" s="109">
        <f t="shared" si="5"/>
        <v>0</v>
      </c>
      <c r="W11" s="109">
        <f t="shared" si="5"/>
        <v>0</v>
      </c>
      <c r="X11" s="109">
        <f t="shared" si="5"/>
        <v>0</v>
      </c>
      <c r="Y11" s="110"/>
      <c r="Z11" s="109">
        <f t="shared" ref="Z11:AE11" si="6">SUM(Z5)</f>
        <v>2.7777777777777772</v>
      </c>
      <c r="AA11" s="109">
        <f t="shared" si="6"/>
        <v>5.5555555555555545</v>
      </c>
      <c r="AB11" s="109">
        <f t="shared" si="6"/>
        <v>8.3333333333333321</v>
      </c>
      <c r="AC11" s="109">
        <f t="shared" si="6"/>
        <v>8.3333333333333321</v>
      </c>
      <c r="AD11" s="109">
        <f t="shared" si="6"/>
        <v>8.3333333333333321</v>
      </c>
      <c r="AE11" s="109">
        <f t="shared" si="6"/>
        <v>8.3333333333333321</v>
      </c>
    </row>
    <row r="12" spans="2:31" ht="15.95" customHeight="1" thickBot="1" x14ac:dyDescent="0.25">
      <c r="E12" s="113"/>
      <c r="F12" s="69"/>
      <c r="G12" s="114"/>
      <c r="H12" s="7"/>
      <c r="I12" s="93"/>
      <c r="L12" s="7"/>
      <c r="M12" s="7"/>
      <c r="N12" s="7"/>
      <c r="O12" s="7"/>
      <c r="P12" s="7"/>
      <c r="Q12" s="7"/>
    </row>
    <row r="13" spans="2:31" s="8" customFormat="1" ht="15.95" customHeight="1" thickBot="1" x14ac:dyDescent="0.25">
      <c r="B13" s="73" t="s">
        <v>1</v>
      </c>
      <c r="C13" s="73"/>
      <c r="D13" s="73"/>
      <c r="E13" s="74"/>
      <c r="F13" s="75"/>
      <c r="G13" s="115"/>
      <c r="H13" s="77"/>
      <c r="I13" s="116"/>
      <c r="J13" s="78"/>
      <c r="K13" s="7"/>
      <c r="L13" s="79"/>
      <c r="M13" s="79"/>
      <c r="N13" s="79"/>
      <c r="O13" s="79"/>
      <c r="P13" s="79"/>
      <c r="Q13" s="79"/>
      <c r="R13" s="7"/>
      <c r="S13" s="80"/>
      <c r="T13" s="80"/>
      <c r="U13" s="80"/>
      <c r="V13" s="80"/>
      <c r="W13" s="80"/>
      <c r="X13" s="80"/>
      <c r="Y13" s="7"/>
      <c r="Z13" s="80"/>
      <c r="AA13" s="80"/>
      <c r="AB13" s="80"/>
      <c r="AC13" s="80"/>
      <c r="AD13" s="80"/>
      <c r="AE13" s="80"/>
    </row>
    <row r="14" spans="2:31" s="8" customFormat="1" ht="15.95" customHeight="1" x14ac:dyDescent="0.2">
      <c r="B14" s="5" t="s">
        <v>21</v>
      </c>
      <c r="C14" s="5"/>
      <c r="D14" s="5"/>
      <c r="E14" s="31"/>
      <c r="F14" s="36"/>
      <c r="G14" s="6"/>
      <c r="H14" s="9"/>
      <c r="I14" s="54">
        <v>390</v>
      </c>
      <c r="J14" s="6"/>
      <c r="K14" s="7"/>
      <c r="L14" s="31"/>
      <c r="M14" s="31"/>
      <c r="N14" s="31"/>
      <c r="O14" s="31"/>
      <c r="P14" s="31"/>
      <c r="Q14" s="31"/>
      <c r="R14" s="7"/>
      <c r="S14" s="6">
        <f>I14</f>
        <v>390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7"/>
      <c r="Z14" s="6">
        <f>S14/7</f>
        <v>55.714285714285715</v>
      </c>
      <c r="AA14" s="6">
        <f>Z14</f>
        <v>55.714285714285715</v>
      </c>
      <c r="AB14" s="6">
        <f t="shared" ref="AB14:AE14" si="7">AA14</f>
        <v>55.714285714285715</v>
      </c>
      <c r="AC14" s="6">
        <f t="shared" si="7"/>
        <v>55.714285714285715</v>
      </c>
      <c r="AD14" s="6">
        <f t="shared" si="7"/>
        <v>55.714285714285715</v>
      </c>
      <c r="AE14" s="6">
        <f t="shared" si="7"/>
        <v>55.714285714285715</v>
      </c>
    </row>
    <row r="15" spans="2:31" s="8" customFormat="1" ht="15.95" customHeight="1" x14ac:dyDescent="0.2">
      <c r="B15" s="5" t="s">
        <v>50</v>
      </c>
      <c r="C15" s="124">
        <v>8700</v>
      </c>
      <c r="D15" s="141">
        <v>0.5</v>
      </c>
      <c r="E15" s="35">
        <f>C15*D15</f>
        <v>4350</v>
      </c>
      <c r="F15" s="29" t="s">
        <v>95</v>
      </c>
      <c r="G15" s="125">
        <v>330</v>
      </c>
      <c r="H15" s="10">
        <f>G15*$I$1</f>
        <v>330</v>
      </c>
      <c r="I15" s="55">
        <f>E15*H15/10^3</f>
        <v>1435.5</v>
      </c>
      <c r="J15" s="9">
        <v>7</v>
      </c>
      <c r="K15" s="7"/>
      <c r="L15" s="126">
        <v>1</v>
      </c>
      <c r="M15" s="35"/>
      <c r="N15" s="35"/>
      <c r="O15" s="35"/>
      <c r="P15" s="35"/>
      <c r="Q15" s="35"/>
      <c r="R15" s="7"/>
      <c r="S15" s="37">
        <f t="shared" ref="S15:X15" si="8">$H15*$E15*L15/10^3</f>
        <v>1435.5</v>
      </c>
      <c r="T15" s="37">
        <f t="shared" si="8"/>
        <v>0</v>
      </c>
      <c r="U15" s="37">
        <f t="shared" si="8"/>
        <v>0</v>
      </c>
      <c r="V15" s="37">
        <f t="shared" si="8"/>
        <v>0</v>
      </c>
      <c r="W15" s="37">
        <f t="shared" si="8"/>
        <v>0</v>
      </c>
      <c r="X15" s="37">
        <f t="shared" si="8"/>
        <v>0</v>
      </c>
      <c r="Y15" s="7"/>
      <c r="Z15" s="10">
        <f>S15/$J15</f>
        <v>205.07142857142858</v>
      </c>
      <c r="AA15" s="37">
        <f t="shared" ref="AA15:AE15" si="9">Z15+T15/$J15</f>
        <v>205.07142857142858</v>
      </c>
      <c r="AB15" s="37">
        <f t="shared" si="9"/>
        <v>205.07142857142858</v>
      </c>
      <c r="AC15" s="37">
        <f t="shared" si="9"/>
        <v>205.07142857142858</v>
      </c>
      <c r="AD15" s="37">
        <f t="shared" si="9"/>
        <v>205.07142857142858</v>
      </c>
      <c r="AE15" s="37">
        <f t="shared" si="9"/>
        <v>205.07142857142858</v>
      </c>
    </row>
    <row r="16" spans="2:31" s="8" customFormat="1" ht="15.95" customHeight="1" x14ac:dyDescent="0.2">
      <c r="B16" s="5" t="s">
        <v>16</v>
      </c>
      <c r="C16" s="24"/>
      <c r="D16" s="24"/>
      <c r="E16" s="35"/>
      <c r="F16" s="29"/>
      <c r="G16" s="10"/>
      <c r="H16" s="22"/>
      <c r="I16" s="55">
        <f>SUM(I17:I24)</f>
        <v>1684.8</v>
      </c>
      <c r="J16" s="9"/>
      <c r="K16" s="7"/>
      <c r="L16" s="31"/>
      <c r="M16" s="31"/>
      <c r="N16" s="31"/>
      <c r="O16" s="31"/>
      <c r="P16" s="31"/>
      <c r="Q16" s="31"/>
      <c r="R16" s="7"/>
      <c r="S16" s="9">
        <f t="shared" ref="S16:X16" si="10">SUM(S17:S24)</f>
        <v>740.35</v>
      </c>
      <c r="T16" s="9">
        <f t="shared" si="10"/>
        <v>944.45</v>
      </c>
      <c r="U16" s="9">
        <f t="shared" si="10"/>
        <v>0</v>
      </c>
      <c r="V16" s="9">
        <f t="shared" si="10"/>
        <v>0</v>
      </c>
      <c r="W16" s="9">
        <f t="shared" si="10"/>
        <v>0</v>
      </c>
      <c r="X16" s="9">
        <f t="shared" si="10"/>
        <v>0</v>
      </c>
      <c r="Y16" s="7"/>
      <c r="Z16" s="9">
        <f t="shared" ref="Z16:AE16" si="11">SUM(Z17:Z24)</f>
        <v>74.034999999999997</v>
      </c>
      <c r="AA16" s="9">
        <f t="shared" si="11"/>
        <v>168.48000000000002</v>
      </c>
      <c r="AB16" s="9">
        <f t="shared" si="11"/>
        <v>168.48000000000002</v>
      </c>
      <c r="AC16" s="9">
        <f t="shared" si="11"/>
        <v>168.48000000000002</v>
      </c>
      <c r="AD16" s="9">
        <f t="shared" si="11"/>
        <v>168.48000000000002</v>
      </c>
      <c r="AE16" s="9">
        <f t="shared" si="11"/>
        <v>168.48000000000002</v>
      </c>
    </row>
    <row r="17" spans="1:31" s="112" customFormat="1" outlineLevel="1" x14ac:dyDescent="0.2">
      <c r="A17" s="127"/>
      <c r="B17" s="117" t="s">
        <v>105</v>
      </c>
      <c r="C17" s="117"/>
      <c r="D17" s="117"/>
      <c r="E17" s="58">
        <v>5</v>
      </c>
      <c r="F17" s="59" t="s">
        <v>18</v>
      </c>
      <c r="G17" s="119">
        <v>25000</v>
      </c>
      <c r="H17" s="119">
        <f t="shared" ref="H17:H24" si="12">G17*$I$1</f>
        <v>25000</v>
      </c>
      <c r="I17" s="128">
        <f>E17*H17/10^3</f>
        <v>125</v>
      </c>
      <c r="J17" s="129">
        <v>10</v>
      </c>
      <c r="K17" s="7"/>
      <c r="L17" s="58">
        <v>2</v>
      </c>
      <c r="M17" s="58">
        <v>3</v>
      </c>
      <c r="N17" s="58"/>
      <c r="O17" s="58"/>
      <c r="P17" s="58"/>
      <c r="Q17" s="58"/>
      <c r="R17" s="7"/>
      <c r="S17" s="130">
        <f>L17*$H17/10^3</f>
        <v>50</v>
      </c>
      <c r="T17" s="130">
        <f t="shared" ref="T17:X24" si="13">M17*$H17/10^3</f>
        <v>75</v>
      </c>
      <c r="U17" s="130">
        <f t="shared" si="13"/>
        <v>0</v>
      </c>
      <c r="V17" s="130">
        <f t="shared" si="13"/>
        <v>0</v>
      </c>
      <c r="W17" s="130">
        <f t="shared" si="13"/>
        <v>0</v>
      </c>
      <c r="X17" s="130">
        <f t="shared" si="13"/>
        <v>0</v>
      </c>
      <c r="Y17" s="130">
        <f>R17*$H17/10^3</f>
        <v>0</v>
      </c>
      <c r="Z17" s="90">
        <f>S17/$J17</f>
        <v>5</v>
      </c>
      <c r="AA17" s="122">
        <f>Z17+T17/$J17</f>
        <v>12.5</v>
      </c>
      <c r="AB17" s="122">
        <f>AA17+U17/$J17</f>
        <v>12.5</v>
      </c>
      <c r="AC17" s="122">
        <f>AB17+V17/$J17</f>
        <v>12.5</v>
      </c>
      <c r="AD17" s="122">
        <f>AC17+W17/$J17</f>
        <v>12.5</v>
      </c>
      <c r="AE17" s="122">
        <f>AD17+X17/$J17</f>
        <v>12.5</v>
      </c>
    </row>
    <row r="18" spans="1:31" s="112" customFormat="1" outlineLevel="1" x14ac:dyDescent="0.2">
      <c r="A18" s="127"/>
      <c r="B18" s="117" t="s">
        <v>106</v>
      </c>
      <c r="C18" s="117"/>
      <c r="D18" s="117"/>
      <c r="E18" s="58">
        <v>5</v>
      </c>
      <c r="F18" s="59" t="s">
        <v>18</v>
      </c>
      <c r="G18" s="119">
        <v>25000</v>
      </c>
      <c r="H18" s="119">
        <f t="shared" si="12"/>
        <v>25000</v>
      </c>
      <c r="I18" s="128">
        <f>E18*H18/10^3</f>
        <v>125</v>
      </c>
      <c r="J18" s="129">
        <v>10</v>
      </c>
      <c r="K18" s="7"/>
      <c r="L18" s="58">
        <v>2</v>
      </c>
      <c r="M18" s="58">
        <v>3</v>
      </c>
      <c r="N18" s="58"/>
      <c r="O18" s="58"/>
      <c r="P18" s="58"/>
      <c r="Q18" s="58"/>
      <c r="R18" s="7"/>
      <c r="S18" s="130">
        <f t="shared" ref="S18:S24" si="14">L18*$H18/10^3</f>
        <v>50</v>
      </c>
      <c r="T18" s="130">
        <f t="shared" si="13"/>
        <v>75</v>
      </c>
      <c r="U18" s="130">
        <f t="shared" si="13"/>
        <v>0</v>
      </c>
      <c r="V18" s="130">
        <f t="shared" si="13"/>
        <v>0</v>
      </c>
      <c r="W18" s="130">
        <f t="shared" si="13"/>
        <v>0</v>
      </c>
      <c r="X18" s="130">
        <f t="shared" si="13"/>
        <v>0</v>
      </c>
      <c r="Y18" s="130">
        <f t="shared" ref="Y18:Y24" si="15">R18*$H18/10^3</f>
        <v>0</v>
      </c>
      <c r="Z18" s="95">
        <f t="shared" ref="Z18:Z24" si="16">S18/$J18</f>
        <v>5</v>
      </c>
      <c r="AA18" s="131">
        <f t="shared" ref="AA18:AB24" si="17">Z18+T18/$J18</f>
        <v>12.5</v>
      </c>
      <c r="AB18" s="131">
        <f t="shared" si="17"/>
        <v>12.5</v>
      </c>
      <c r="AC18" s="131">
        <f t="shared" ref="AC18:AC24" si="18">AB18+V18/$J18</f>
        <v>12.5</v>
      </c>
      <c r="AD18" s="131">
        <f t="shared" ref="AD18:AD24" si="19">AC18+W18/$J18</f>
        <v>12.5</v>
      </c>
      <c r="AE18" s="131">
        <f t="shared" ref="AE18:AE24" si="20">AD18+X18/$J18</f>
        <v>12.5</v>
      </c>
    </row>
    <row r="19" spans="1:31" s="112" customFormat="1" outlineLevel="1" x14ac:dyDescent="0.2">
      <c r="A19" s="127"/>
      <c r="B19" s="117" t="s">
        <v>108</v>
      </c>
      <c r="C19" s="117"/>
      <c r="D19" s="117"/>
      <c r="E19" s="58">
        <v>6</v>
      </c>
      <c r="F19" s="59" t="s">
        <v>18</v>
      </c>
      <c r="G19" s="119">
        <v>108300</v>
      </c>
      <c r="H19" s="119">
        <f t="shared" si="12"/>
        <v>108300</v>
      </c>
      <c r="I19" s="128">
        <f>E19*H19/10^3</f>
        <v>649.79999999999995</v>
      </c>
      <c r="J19" s="129">
        <v>10</v>
      </c>
      <c r="K19" s="7"/>
      <c r="L19" s="58">
        <v>2</v>
      </c>
      <c r="M19" s="58">
        <v>4</v>
      </c>
      <c r="N19" s="58"/>
      <c r="O19" s="58"/>
      <c r="P19" s="58"/>
      <c r="Q19" s="58"/>
      <c r="R19" s="7"/>
      <c r="S19" s="130">
        <f t="shared" si="14"/>
        <v>216.6</v>
      </c>
      <c r="T19" s="130">
        <f t="shared" si="13"/>
        <v>433.2</v>
      </c>
      <c r="U19" s="130">
        <f t="shared" si="13"/>
        <v>0</v>
      </c>
      <c r="V19" s="130">
        <f t="shared" si="13"/>
        <v>0</v>
      </c>
      <c r="W19" s="130">
        <f t="shared" si="13"/>
        <v>0</v>
      </c>
      <c r="X19" s="130">
        <f t="shared" si="13"/>
        <v>0</v>
      </c>
      <c r="Y19" s="130">
        <f t="shared" si="15"/>
        <v>0</v>
      </c>
      <c r="Z19" s="95">
        <f t="shared" si="16"/>
        <v>21.66</v>
      </c>
      <c r="AA19" s="131">
        <f t="shared" si="17"/>
        <v>64.98</v>
      </c>
      <c r="AB19" s="131">
        <f t="shared" si="17"/>
        <v>64.98</v>
      </c>
      <c r="AC19" s="131">
        <f t="shared" si="18"/>
        <v>64.98</v>
      </c>
      <c r="AD19" s="131">
        <f t="shared" si="19"/>
        <v>64.98</v>
      </c>
      <c r="AE19" s="131">
        <f t="shared" si="20"/>
        <v>64.98</v>
      </c>
    </row>
    <row r="20" spans="1:31" s="112" customFormat="1" outlineLevel="1" x14ac:dyDescent="0.2">
      <c r="A20" s="127"/>
      <c r="B20" s="117" t="s">
        <v>107</v>
      </c>
      <c r="C20" s="117"/>
      <c r="D20" s="117"/>
      <c r="E20" s="58">
        <v>4</v>
      </c>
      <c r="F20" s="59" t="s">
        <v>18</v>
      </c>
      <c r="G20" s="119">
        <v>8125</v>
      </c>
      <c r="H20" s="119">
        <f t="shared" si="12"/>
        <v>8125</v>
      </c>
      <c r="I20" s="128">
        <f t="shared" ref="I20:I33" si="21">E20*H20/10^3</f>
        <v>32.5</v>
      </c>
      <c r="J20" s="129">
        <v>10</v>
      </c>
      <c r="K20" s="7"/>
      <c r="L20" s="58">
        <v>2</v>
      </c>
      <c r="M20" s="58">
        <v>2</v>
      </c>
      <c r="N20" s="58"/>
      <c r="O20" s="58"/>
      <c r="P20" s="58"/>
      <c r="Q20" s="58"/>
      <c r="R20" s="7"/>
      <c r="S20" s="130">
        <f t="shared" si="14"/>
        <v>16.25</v>
      </c>
      <c r="T20" s="130">
        <f t="shared" si="13"/>
        <v>16.25</v>
      </c>
      <c r="U20" s="130">
        <f t="shared" si="13"/>
        <v>0</v>
      </c>
      <c r="V20" s="130">
        <f t="shared" si="13"/>
        <v>0</v>
      </c>
      <c r="W20" s="130">
        <f t="shared" si="13"/>
        <v>0</v>
      </c>
      <c r="X20" s="130">
        <f t="shared" si="13"/>
        <v>0</v>
      </c>
      <c r="Y20" s="130">
        <f t="shared" si="15"/>
        <v>0</v>
      </c>
      <c r="Z20" s="95">
        <f t="shared" si="16"/>
        <v>1.625</v>
      </c>
      <c r="AA20" s="131">
        <f t="shared" si="17"/>
        <v>3.25</v>
      </c>
      <c r="AB20" s="131">
        <f t="shared" si="17"/>
        <v>3.25</v>
      </c>
      <c r="AC20" s="131">
        <f t="shared" si="18"/>
        <v>3.25</v>
      </c>
      <c r="AD20" s="131">
        <f t="shared" si="19"/>
        <v>3.25</v>
      </c>
      <c r="AE20" s="131">
        <f t="shared" si="20"/>
        <v>3.25</v>
      </c>
    </row>
    <row r="21" spans="1:31" s="112" customFormat="1" outlineLevel="1" x14ac:dyDescent="0.2">
      <c r="A21" s="127"/>
      <c r="B21" s="117" t="s">
        <v>109</v>
      </c>
      <c r="D21" s="117"/>
      <c r="E21" s="58">
        <v>1</v>
      </c>
      <c r="F21" s="59" t="s">
        <v>18</v>
      </c>
      <c r="G21" s="119">
        <v>37500</v>
      </c>
      <c r="H21" s="119">
        <f t="shared" si="12"/>
        <v>37500</v>
      </c>
      <c r="I21" s="128">
        <f t="shared" si="21"/>
        <v>37.5</v>
      </c>
      <c r="J21" s="129">
        <v>10</v>
      </c>
      <c r="K21" s="7"/>
      <c r="L21" s="58">
        <v>1</v>
      </c>
      <c r="M21" s="58"/>
      <c r="N21" s="58"/>
      <c r="O21" s="58"/>
      <c r="P21" s="58"/>
      <c r="Q21" s="58"/>
      <c r="R21" s="7"/>
      <c r="S21" s="130">
        <f t="shared" si="14"/>
        <v>37.5</v>
      </c>
      <c r="T21" s="130">
        <f t="shared" si="13"/>
        <v>0</v>
      </c>
      <c r="U21" s="130">
        <f t="shared" si="13"/>
        <v>0</v>
      </c>
      <c r="V21" s="130">
        <f t="shared" si="13"/>
        <v>0</v>
      </c>
      <c r="W21" s="130">
        <f t="shared" si="13"/>
        <v>0</v>
      </c>
      <c r="X21" s="130">
        <f t="shared" si="13"/>
        <v>0</v>
      </c>
      <c r="Y21" s="130">
        <f t="shared" si="15"/>
        <v>0</v>
      </c>
      <c r="Z21" s="95">
        <f t="shared" si="16"/>
        <v>3.75</v>
      </c>
      <c r="AA21" s="131">
        <f t="shared" si="17"/>
        <v>3.75</v>
      </c>
      <c r="AB21" s="131">
        <f t="shared" si="17"/>
        <v>3.75</v>
      </c>
      <c r="AC21" s="131">
        <f t="shared" si="18"/>
        <v>3.75</v>
      </c>
      <c r="AD21" s="131">
        <f t="shared" si="19"/>
        <v>3.75</v>
      </c>
      <c r="AE21" s="131">
        <f t="shared" si="20"/>
        <v>3.75</v>
      </c>
    </row>
    <row r="22" spans="1:31" s="112" customFormat="1" outlineLevel="1" x14ac:dyDescent="0.2">
      <c r="A22" s="127"/>
      <c r="B22" s="117" t="s">
        <v>318</v>
      </c>
      <c r="D22" s="117"/>
      <c r="E22" s="58">
        <v>6</v>
      </c>
      <c r="F22" s="59" t="s">
        <v>18</v>
      </c>
      <c r="G22" s="119">
        <v>40000</v>
      </c>
      <c r="H22" s="119">
        <f t="shared" ref="H22" si="22">G22*$I$1</f>
        <v>40000</v>
      </c>
      <c r="I22" s="128">
        <f t="shared" ref="I22" si="23">E22*H22/10^3</f>
        <v>240</v>
      </c>
      <c r="J22" s="129">
        <v>10</v>
      </c>
      <c r="K22" s="7"/>
      <c r="L22" s="58">
        <v>3</v>
      </c>
      <c r="M22" s="58">
        <v>3</v>
      </c>
      <c r="N22" s="58"/>
      <c r="O22" s="58"/>
      <c r="P22" s="58"/>
      <c r="Q22" s="58"/>
      <c r="R22" s="7"/>
      <c r="S22" s="130">
        <f t="shared" ref="S22" si="24">L22*$H22/10^3</f>
        <v>120</v>
      </c>
      <c r="T22" s="130">
        <f t="shared" ref="T22" si="25">M22*$H22/10^3</f>
        <v>120</v>
      </c>
      <c r="U22" s="130">
        <f t="shared" ref="U22" si="26">N22*$H22/10^3</f>
        <v>0</v>
      </c>
      <c r="V22" s="130">
        <f t="shared" ref="V22" si="27">O22*$H22/10^3</f>
        <v>0</v>
      </c>
      <c r="W22" s="130">
        <f t="shared" ref="W22" si="28">P22*$H22/10^3</f>
        <v>0</v>
      </c>
      <c r="X22" s="130">
        <f t="shared" ref="X22" si="29">Q22*$H22/10^3</f>
        <v>0</v>
      </c>
      <c r="Y22" s="130">
        <f t="shared" ref="Y22" si="30">R22*$H22/10^3</f>
        <v>0</v>
      </c>
      <c r="Z22" s="95">
        <f t="shared" ref="Z22" si="31">S22/$J22</f>
        <v>12</v>
      </c>
      <c r="AA22" s="131">
        <f t="shared" ref="AA22" si="32">Z22+T22/$J22</f>
        <v>24</v>
      </c>
      <c r="AB22" s="131">
        <f t="shared" ref="AB22" si="33">AA22+U22/$J22</f>
        <v>24</v>
      </c>
      <c r="AC22" s="131">
        <f t="shared" ref="AC22" si="34">AB22+V22/$J22</f>
        <v>24</v>
      </c>
      <c r="AD22" s="131">
        <f t="shared" ref="AD22" si="35">AC22+W22/$J22</f>
        <v>24</v>
      </c>
      <c r="AE22" s="131">
        <f t="shared" ref="AE22" si="36">AD22+X22/$J22</f>
        <v>24</v>
      </c>
    </row>
    <row r="23" spans="1:31" s="112" customFormat="1" outlineLevel="1" x14ac:dyDescent="0.2">
      <c r="A23" s="127"/>
      <c r="B23" s="117" t="s">
        <v>319</v>
      </c>
      <c r="D23" s="117"/>
      <c r="E23" s="58">
        <v>10</v>
      </c>
      <c r="F23" s="59" t="s">
        <v>18</v>
      </c>
      <c r="G23" s="119">
        <v>45000</v>
      </c>
      <c r="H23" s="119">
        <f t="shared" si="12"/>
        <v>45000</v>
      </c>
      <c r="I23" s="128">
        <f t="shared" si="21"/>
        <v>450</v>
      </c>
      <c r="J23" s="129">
        <v>10</v>
      </c>
      <c r="K23" s="7"/>
      <c r="L23" s="58">
        <v>5</v>
      </c>
      <c r="M23" s="58">
        <v>5</v>
      </c>
      <c r="N23" s="58"/>
      <c r="O23" s="58"/>
      <c r="P23" s="58"/>
      <c r="Q23" s="58"/>
      <c r="R23" s="7"/>
      <c r="S23" s="130">
        <f t="shared" si="14"/>
        <v>225</v>
      </c>
      <c r="T23" s="130">
        <f t="shared" si="13"/>
        <v>225</v>
      </c>
      <c r="U23" s="130">
        <f t="shared" si="13"/>
        <v>0</v>
      </c>
      <c r="V23" s="130">
        <f t="shared" si="13"/>
        <v>0</v>
      </c>
      <c r="W23" s="130">
        <f t="shared" si="13"/>
        <v>0</v>
      </c>
      <c r="X23" s="130">
        <f t="shared" si="13"/>
        <v>0</v>
      </c>
      <c r="Y23" s="130">
        <f t="shared" si="15"/>
        <v>0</v>
      </c>
      <c r="Z23" s="95">
        <f t="shared" si="16"/>
        <v>22.5</v>
      </c>
      <c r="AA23" s="131">
        <f t="shared" si="17"/>
        <v>45</v>
      </c>
      <c r="AB23" s="131">
        <f t="shared" si="17"/>
        <v>45</v>
      </c>
      <c r="AC23" s="131">
        <f t="shared" si="18"/>
        <v>45</v>
      </c>
      <c r="AD23" s="131">
        <f t="shared" si="19"/>
        <v>45</v>
      </c>
      <c r="AE23" s="131">
        <f t="shared" si="20"/>
        <v>45</v>
      </c>
    </row>
    <row r="24" spans="1:31" s="112" customFormat="1" outlineLevel="1" x14ac:dyDescent="0.2">
      <c r="A24" s="127"/>
      <c r="B24" s="117" t="s">
        <v>17</v>
      </c>
      <c r="C24" s="117"/>
      <c r="D24" s="117"/>
      <c r="E24" s="58">
        <v>1</v>
      </c>
      <c r="F24" s="59" t="s">
        <v>18</v>
      </c>
      <c r="G24" s="119">
        <v>25000</v>
      </c>
      <c r="H24" s="119">
        <f t="shared" si="12"/>
        <v>25000</v>
      </c>
      <c r="I24" s="128">
        <f t="shared" si="21"/>
        <v>25</v>
      </c>
      <c r="J24" s="129">
        <v>10</v>
      </c>
      <c r="K24" s="7"/>
      <c r="L24" s="58">
        <v>1</v>
      </c>
      <c r="M24" s="58"/>
      <c r="N24" s="58"/>
      <c r="O24" s="58"/>
      <c r="P24" s="58"/>
      <c r="Q24" s="58"/>
      <c r="R24" s="7"/>
      <c r="S24" s="130">
        <f t="shared" si="14"/>
        <v>25</v>
      </c>
      <c r="T24" s="130">
        <f t="shared" si="13"/>
        <v>0</v>
      </c>
      <c r="U24" s="130">
        <f t="shared" si="13"/>
        <v>0</v>
      </c>
      <c r="V24" s="130">
        <f t="shared" si="13"/>
        <v>0</v>
      </c>
      <c r="W24" s="130">
        <f t="shared" si="13"/>
        <v>0</v>
      </c>
      <c r="X24" s="130">
        <f t="shared" si="13"/>
        <v>0</v>
      </c>
      <c r="Y24" s="130">
        <f t="shared" si="15"/>
        <v>0</v>
      </c>
      <c r="Z24" s="100">
        <f t="shared" si="16"/>
        <v>2.5</v>
      </c>
      <c r="AA24" s="123">
        <f t="shared" si="17"/>
        <v>2.5</v>
      </c>
      <c r="AB24" s="123">
        <f t="shared" si="17"/>
        <v>2.5</v>
      </c>
      <c r="AC24" s="123">
        <f t="shared" si="18"/>
        <v>2.5</v>
      </c>
      <c r="AD24" s="123">
        <f t="shared" si="19"/>
        <v>2.5</v>
      </c>
      <c r="AE24" s="123">
        <f t="shared" si="20"/>
        <v>2.5</v>
      </c>
    </row>
    <row r="25" spans="1:31" s="8" customFormat="1" ht="15.95" customHeight="1" x14ac:dyDescent="0.2">
      <c r="B25" s="5" t="s">
        <v>3</v>
      </c>
      <c r="C25" s="24"/>
      <c r="D25" s="24"/>
      <c r="E25" s="35"/>
      <c r="F25" s="29"/>
      <c r="G25" s="10"/>
      <c r="H25" s="22"/>
      <c r="I25" s="55">
        <f>SUM(I26:I29)</f>
        <v>260</v>
      </c>
      <c r="J25" s="9"/>
      <c r="K25" s="7"/>
      <c r="L25" s="31"/>
      <c r="M25" s="35"/>
      <c r="N25" s="35"/>
      <c r="O25" s="35"/>
      <c r="P25" s="35"/>
      <c r="Q25" s="35"/>
      <c r="R25" s="7"/>
      <c r="S25" s="9">
        <f t="shared" ref="S25:X25" si="37">SUM(S26:S29)</f>
        <v>208</v>
      </c>
      <c r="T25" s="9">
        <f t="shared" si="37"/>
        <v>52</v>
      </c>
      <c r="U25" s="9">
        <f t="shared" si="37"/>
        <v>0</v>
      </c>
      <c r="V25" s="9">
        <f t="shared" si="37"/>
        <v>0</v>
      </c>
      <c r="W25" s="9">
        <f t="shared" si="37"/>
        <v>0</v>
      </c>
      <c r="X25" s="9">
        <f t="shared" si="37"/>
        <v>0</v>
      </c>
      <c r="Y25" s="7"/>
      <c r="Z25" s="9">
        <f t="shared" ref="Z25:AE25" si="38">SUM(Z26:Z29)</f>
        <v>10.399999999999999</v>
      </c>
      <c r="AA25" s="9">
        <f t="shared" si="38"/>
        <v>12.999999999999998</v>
      </c>
      <c r="AB25" s="9">
        <f t="shared" si="38"/>
        <v>12.999999999999998</v>
      </c>
      <c r="AC25" s="9">
        <f t="shared" si="38"/>
        <v>12.999999999999998</v>
      </c>
      <c r="AD25" s="9">
        <f t="shared" si="38"/>
        <v>12.999999999999998</v>
      </c>
      <c r="AE25" s="9">
        <f t="shared" si="38"/>
        <v>12.999999999999998</v>
      </c>
    </row>
    <row r="26" spans="1:31" s="112" customFormat="1" outlineLevel="1" x14ac:dyDescent="0.2">
      <c r="A26" s="132"/>
      <c r="B26" s="117" t="s">
        <v>22</v>
      </c>
      <c r="C26" s="117"/>
      <c r="D26" s="117"/>
      <c r="E26" s="58">
        <v>2</v>
      </c>
      <c r="F26" s="59" t="s">
        <v>18</v>
      </c>
      <c r="G26" s="119">
        <v>52000</v>
      </c>
      <c r="H26" s="119">
        <f>G26*$I$1</f>
        <v>52000</v>
      </c>
      <c r="I26" s="128">
        <f>E26*H26/10^3</f>
        <v>104</v>
      </c>
      <c r="J26" s="129">
        <v>20</v>
      </c>
      <c r="K26" s="7"/>
      <c r="L26" s="58">
        <v>1</v>
      </c>
      <c r="M26" s="58">
        <v>1</v>
      </c>
      <c r="N26" s="58"/>
      <c r="O26" s="58"/>
      <c r="P26" s="58"/>
      <c r="Q26" s="58"/>
      <c r="R26" s="7"/>
      <c r="S26" s="130">
        <f t="shared" ref="S26:X29" si="39">L26*$H26/10^3</f>
        <v>52</v>
      </c>
      <c r="T26" s="130">
        <f t="shared" si="39"/>
        <v>52</v>
      </c>
      <c r="U26" s="130">
        <f t="shared" si="39"/>
        <v>0</v>
      </c>
      <c r="V26" s="130">
        <f t="shared" si="39"/>
        <v>0</v>
      </c>
      <c r="W26" s="130">
        <f t="shared" si="39"/>
        <v>0</v>
      </c>
      <c r="X26" s="130">
        <f t="shared" si="39"/>
        <v>0</v>
      </c>
      <c r="Y26" s="7"/>
      <c r="Z26" s="95">
        <f>S26/$J26</f>
        <v>2.6</v>
      </c>
      <c r="AA26" s="131">
        <f t="shared" ref="AA26:AE29" si="40">Z26+T26/$J26</f>
        <v>5.2</v>
      </c>
      <c r="AB26" s="131">
        <f t="shared" si="40"/>
        <v>5.2</v>
      </c>
      <c r="AC26" s="131">
        <f t="shared" si="40"/>
        <v>5.2</v>
      </c>
      <c r="AD26" s="131">
        <f t="shared" si="40"/>
        <v>5.2</v>
      </c>
      <c r="AE26" s="131">
        <f t="shared" si="40"/>
        <v>5.2</v>
      </c>
    </row>
    <row r="27" spans="1:31" s="112" customFormat="1" outlineLevel="1" x14ac:dyDescent="0.2">
      <c r="A27" s="132"/>
      <c r="B27" s="117" t="s">
        <v>113</v>
      </c>
      <c r="C27" s="117"/>
      <c r="D27" s="117"/>
      <c r="E27" s="58">
        <v>1</v>
      </c>
      <c r="F27" s="59" t="s">
        <v>18</v>
      </c>
      <c r="G27" s="119">
        <v>65000</v>
      </c>
      <c r="H27" s="119">
        <f>G27*$I$1</f>
        <v>65000</v>
      </c>
      <c r="I27" s="128">
        <f>E27*H27/10^3</f>
        <v>65</v>
      </c>
      <c r="J27" s="129">
        <v>20</v>
      </c>
      <c r="K27" s="7"/>
      <c r="L27" s="58">
        <v>1</v>
      </c>
      <c r="M27" s="58"/>
      <c r="N27" s="58"/>
      <c r="O27" s="58"/>
      <c r="P27" s="58"/>
      <c r="Q27" s="58"/>
      <c r="R27" s="7"/>
      <c r="S27" s="130">
        <f t="shared" si="39"/>
        <v>65</v>
      </c>
      <c r="T27" s="130">
        <f t="shared" si="39"/>
        <v>0</v>
      </c>
      <c r="U27" s="130">
        <f t="shared" si="39"/>
        <v>0</v>
      </c>
      <c r="V27" s="130">
        <f t="shared" si="39"/>
        <v>0</v>
      </c>
      <c r="W27" s="130">
        <f t="shared" si="39"/>
        <v>0</v>
      </c>
      <c r="X27" s="130">
        <f t="shared" si="39"/>
        <v>0</v>
      </c>
      <c r="Y27" s="7"/>
      <c r="Z27" s="95">
        <f>S27/$J27</f>
        <v>3.25</v>
      </c>
      <c r="AA27" s="131">
        <f t="shared" si="40"/>
        <v>3.25</v>
      </c>
      <c r="AB27" s="131">
        <f t="shared" si="40"/>
        <v>3.25</v>
      </c>
      <c r="AC27" s="131">
        <f t="shared" si="40"/>
        <v>3.25</v>
      </c>
      <c r="AD27" s="131">
        <f t="shared" si="40"/>
        <v>3.25</v>
      </c>
      <c r="AE27" s="131">
        <f t="shared" si="40"/>
        <v>3.25</v>
      </c>
    </row>
    <row r="28" spans="1:31" s="112" customFormat="1" outlineLevel="1" x14ac:dyDescent="0.2">
      <c r="A28" s="132"/>
      <c r="B28" s="117" t="s">
        <v>23</v>
      </c>
      <c r="C28" s="117"/>
      <c r="D28" s="117"/>
      <c r="E28" s="58">
        <v>1</v>
      </c>
      <c r="F28" s="59" t="s">
        <v>18</v>
      </c>
      <c r="G28" s="119">
        <v>52000</v>
      </c>
      <c r="H28" s="119">
        <f>G28*$I$1</f>
        <v>52000</v>
      </c>
      <c r="I28" s="128">
        <f>E28*H28/10^3</f>
        <v>52</v>
      </c>
      <c r="J28" s="129">
        <v>20</v>
      </c>
      <c r="K28" s="7"/>
      <c r="L28" s="58">
        <v>1</v>
      </c>
      <c r="M28" s="58"/>
      <c r="N28" s="58"/>
      <c r="O28" s="58"/>
      <c r="P28" s="58"/>
      <c r="Q28" s="58"/>
      <c r="R28" s="7"/>
      <c r="S28" s="130">
        <f t="shared" si="39"/>
        <v>52</v>
      </c>
      <c r="T28" s="130">
        <f t="shared" si="39"/>
        <v>0</v>
      </c>
      <c r="U28" s="130">
        <f t="shared" si="39"/>
        <v>0</v>
      </c>
      <c r="V28" s="130">
        <f t="shared" si="39"/>
        <v>0</v>
      </c>
      <c r="W28" s="130">
        <f t="shared" si="39"/>
        <v>0</v>
      </c>
      <c r="X28" s="130">
        <f t="shared" si="39"/>
        <v>0</v>
      </c>
      <c r="Y28" s="7"/>
      <c r="Z28" s="95">
        <f>S28/$J28</f>
        <v>2.6</v>
      </c>
      <c r="AA28" s="131">
        <f t="shared" si="40"/>
        <v>2.6</v>
      </c>
      <c r="AB28" s="131">
        <f t="shared" si="40"/>
        <v>2.6</v>
      </c>
      <c r="AC28" s="131">
        <f t="shared" si="40"/>
        <v>2.6</v>
      </c>
      <c r="AD28" s="131">
        <f t="shared" si="40"/>
        <v>2.6</v>
      </c>
      <c r="AE28" s="131">
        <f t="shared" si="40"/>
        <v>2.6</v>
      </c>
    </row>
    <row r="29" spans="1:31" s="112" customFormat="1" outlineLevel="1" x14ac:dyDescent="0.2">
      <c r="A29" s="132"/>
      <c r="B29" s="117" t="s">
        <v>24</v>
      </c>
      <c r="C29" s="117"/>
      <c r="D29" s="117"/>
      <c r="E29" s="58">
        <v>1</v>
      </c>
      <c r="F29" s="59" t="s">
        <v>18</v>
      </c>
      <c r="G29" s="119">
        <v>39000</v>
      </c>
      <c r="H29" s="119">
        <f>G29*$I$1</f>
        <v>39000</v>
      </c>
      <c r="I29" s="128">
        <f>E29*H29/10^3</f>
        <v>39</v>
      </c>
      <c r="J29" s="129">
        <v>20</v>
      </c>
      <c r="K29" s="7"/>
      <c r="L29" s="58">
        <v>1</v>
      </c>
      <c r="M29" s="58"/>
      <c r="N29" s="58"/>
      <c r="O29" s="58"/>
      <c r="P29" s="58"/>
      <c r="Q29" s="58"/>
      <c r="R29" s="7"/>
      <c r="S29" s="130">
        <f t="shared" si="39"/>
        <v>39</v>
      </c>
      <c r="T29" s="130">
        <f t="shared" si="39"/>
        <v>0</v>
      </c>
      <c r="U29" s="130">
        <f t="shared" si="39"/>
        <v>0</v>
      </c>
      <c r="V29" s="130">
        <f t="shared" si="39"/>
        <v>0</v>
      </c>
      <c r="W29" s="130">
        <f t="shared" si="39"/>
        <v>0</v>
      </c>
      <c r="X29" s="130">
        <f t="shared" si="39"/>
        <v>0</v>
      </c>
      <c r="Y29" s="7"/>
      <c r="Z29" s="95">
        <f>S29/$J29</f>
        <v>1.95</v>
      </c>
      <c r="AA29" s="131">
        <f t="shared" si="40"/>
        <v>1.95</v>
      </c>
      <c r="AB29" s="131">
        <f t="shared" si="40"/>
        <v>1.95</v>
      </c>
      <c r="AC29" s="131">
        <f t="shared" si="40"/>
        <v>1.95</v>
      </c>
      <c r="AD29" s="131">
        <f t="shared" si="40"/>
        <v>1.95</v>
      </c>
      <c r="AE29" s="131">
        <f t="shared" si="40"/>
        <v>1.95</v>
      </c>
    </row>
    <row r="30" spans="1:31" s="8" customFormat="1" ht="15.95" customHeight="1" x14ac:dyDescent="0.2">
      <c r="B30" s="5" t="s">
        <v>19</v>
      </c>
      <c r="C30" s="24"/>
      <c r="D30" s="24"/>
      <c r="E30" s="35"/>
      <c r="F30" s="29"/>
      <c r="G30" s="10"/>
      <c r="H30" s="22"/>
      <c r="I30" s="55">
        <f>SUM(I31:I33)</f>
        <v>1380</v>
      </c>
      <c r="J30" s="9"/>
      <c r="K30" s="7"/>
      <c r="L30" s="31"/>
      <c r="M30" s="31"/>
      <c r="N30" s="31"/>
      <c r="O30" s="31"/>
      <c r="P30" s="31"/>
      <c r="Q30" s="31"/>
      <c r="R30" s="7"/>
      <c r="S30" s="9">
        <f t="shared" ref="S30:X30" si="41">SUM(S31:S33)</f>
        <v>560</v>
      </c>
      <c r="T30" s="9">
        <f t="shared" si="41"/>
        <v>640</v>
      </c>
      <c r="U30" s="9">
        <f t="shared" si="41"/>
        <v>180</v>
      </c>
      <c r="V30" s="9">
        <f t="shared" si="41"/>
        <v>0</v>
      </c>
      <c r="W30" s="9">
        <f t="shared" si="41"/>
        <v>0</v>
      </c>
      <c r="X30" s="9">
        <f t="shared" si="41"/>
        <v>0</v>
      </c>
      <c r="Y30" s="7"/>
      <c r="Z30" s="9">
        <f t="shared" ref="Z30:AE30" si="42">SUM(Z31:Z33)</f>
        <v>56</v>
      </c>
      <c r="AA30" s="9">
        <f t="shared" si="42"/>
        <v>120</v>
      </c>
      <c r="AB30" s="9">
        <f t="shared" si="42"/>
        <v>138</v>
      </c>
      <c r="AC30" s="9">
        <f t="shared" si="42"/>
        <v>138</v>
      </c>
      <c r="AD30" s="9">
        <f t="shared" si="42"/>
        <v>138</v>
      </c>
      <c r="AE30" s="9">
        <f t="shared" si="42"/>
        <v>138</v>
      </c>
    </row>
    <row r="31" spans="1:31" s="112" customFormat="1" outlineLevel="1" x14ac:dyDescent="0.2">
      <c r="B31" s="117" t="s">
        <v>321</v>
      </c>
      <c r="C31" s="117"/>
      <c r="D31" s="117"/>
      <c r="E31" s="58">
        <v>5</v>
      </c>
      <c r="F31" s="59" t="s">
        <v>18</v>
      </c>
      <c r="G31" s="119">
        <v>80000</v>
      </c>
      <c r="H31" s="119">
        <f>G31*$I$1</f>
        <v>80000</v>
      </c>
      <c r="I31" s="128">
        <f t="shared" si="21"/>
        <v>400</v>
      </c>
      <c r="J31" s="129">
        <v>10</v>
      </c>
      <c r="K31" s="7"/>
      <c r="L31" s="58">
        <v>2</v>
      </c>
      <c r="M31" s="58">
        <v>3</v>
      </c>
      <c r="N31" s="58"/>
      <c r="O31" s="58"/>
      <c r="P31" s="58"/>
      <c r="Q31" s="58"/>
      <c r="R31" s="7"/>
      <c r="S31" s="130">
        <f t="shared" ref="S31:X33" si="43">L31*$H31/10^3</f>
        <v>160</v>
      </c>
      <c r="T31" s="130">
        <f t="shared" si="43"/>
        <v>240</v>
      </c>
      <c r="U31" s="130">
        <f t="shared" si="43"/>
        <v>0</v>
      </c>
      <c r="V31" s="130">
        <f t="shared" si="43"/>
        <v>0</v>
      </c>
      <c r="W31" s="130">
        <f t="shared" si="43"/>
        <v>0</v>
      </c>
      <c r="X31" s="130">
        <f t="shared" si="43"/>
        <v>0</v>
      </c>
      <c r="Y31" s="7"/>
      <c r="Z31" s="95">
        <f>S31/$J31</f>
        <v>16</v>
      </c>
      <c r="AA31" s="131">
        <f t="shared" ref="AA31:AE34" si="44">Z31+T31/$J31</f>
        <v>40</v>
      </c>
      <c r="AB31" s="131">
        <f t="shared" si="44"/>
        <v>40</v>
      </c>
      <c r="AC31" s="131">
        <f t="shared" si="44"/>
        <v>40</v>
      </c>
      <c r="AD31" s="131">
        <f t="shared" si="44"/>
        <v>40</v>
      </c>
      <c r="AE31" s="131">
        <f t="shared" si="44"/>
        <v>40</v>
      </c>
    </row>
    <row r="32" spans="1:31" s="112" customFormat="1" outlineLevel="1" x14ac:dyDescent="0.2">
      <c r="B32" s="117" t="s">
        <v>322</v>
      </c>
      <c r="C32" s="117"/>
      <c r="D32" s="117"/>
      <c r="E32" s="58">
        <v>20</v>
      </c>
      <c r="F32" s="59" t="s">
        <v>18</v>
      </c>
      <c r="G32" s="119">
        <v>10000</v>
      </c>
      <c r="H32" s="119">
        <f>G32*$I$1</f>
        <v>10000</v>
      </c>
      <c r="I32" s="128">
        <f t="shared" ref="I32" si="45">E32*H32/10^3</f>
        <v>200</v>
      </c>
      <c r="J32" s="129">
        <v>10</v>
      </c>
      <c r="K32" s="7"/>
      <c r="L32" s="58">
        <v>10</v>
      </c>
      <c r="M32" s="58">
        <v>10</v>
      </c>
      <c r="N32" s="58"/>
      <c r="O32" s="58"/>
      <c r="P32" s="58"/>
      <c r="Q32" s="58"/>
      <c r="R32" s="7"/>
      <c r="S32" s="130">
        <f t="shared" ref="S32" si="46">L32*$H32/10^3</f>
        <v>100</v>
      </c>
      <c r="T32" s="130">
        <f t="shared" ref="T32" si="47">M32*$H32/10^3</f>
        <v>100</v>
      </c>
      <c r="U32" s="130">
        <f t="shared" ref="U32" si="48">N32*$H32/10^3</f>
        <v>0</v>
      </c>
      <c r="V32" s="130">
        <f t="shared" ref="V32" si="49">O32*$H32/10^3</f>
        <v>0</v>
      </c>
      <c r="W32" s="130">
        <f t="shared" ref="W32" si="50">P32*$H32/10^3</f>
        <v>0</v>
      </c>
      <c r="X32" s="130">
        <f t="shared" ref="X32" si="51">Q32*$H32/10^3</f>
        <v>0</v>
      </c>
      <c r="Y32" s="7"/>
      <c r="Z32" s="95">
        <f>S32/$J32</f>
        <v>10</v>
      </c>
      <c r="AA32" s="131">
        <f t="shared" ref="AA32" si="52">Z32+T32/$J32</f>
        <v>20</v>
      </c>
      <c r="AB32" s="131">
        <f t="shared" ref="AB32" si="53">AA32+U32/$J32</f>
        <v>20</v>
      </c>
      <c r="AC32" s="131">
        <f t="shared" ref="AC32" si="54">AB32+V32/$J32</f>
        <v>20</v>
      </c>
      <c r="AD32" s="131">
        <f t="shared" ref="AD32" si="55">AC32+W32/$J32</f>
        <v>20</v>
      </c>
      <c r="AE32" s="131">
        <f t="shared" ref="AE32" si="56">AD32+X32/$J32</f>
        <v>20</v>
      </c>
    </row>
    <row r="33" spans="2:31" outlineLevel="1" x14ac:dyDescent="0.2">
      <c r="B33" s="117" t="s">
        <v>320</v>
      </c>
      <c r="C33" s="117"/>
      <c r="D33" s="117"/>
      <c r="E33" s="58">
        <v>13</v>
      </c>
      <c r="F33" s="59" t="s">
        <v>18</v>
      </c>
      <c r="G33" s="119">
        <v>60000</v>
      </c>
      <c r="H33" s="119">
        <f>G33*$I$1</f>
        <v>60000</v>
      </c>
      <c r="I33" s="128">
        <f t="shared" si="21"/>
        <v>780</v>
      </c>
      <c r="J33" s="129">
        <v>10</v>
      </c>
      <c r="L33" s="58">
        <v>5</v>
      </c>
      <c r="M33" s="63">
        <v>5</v>
      </c>
      <c r="N33" s="63">
        <v>3</v>
      </c>
      <c r="S33" s="130">
        <f t="shared" si="43"/>
        <v>300</v>
      </c>
      <c r="T33" s="130">
        <f t="shared" si="43"/>
        <v>300</v>
      </c>
      <c r="U33" s="130">
        <f t="shared" si="43"/>
        <v>180</v>
      </c>
      <c r="V33" s="130">
        <f t="shared" si="43"/>
        <v>0</v>
      </c>
      <c r="W33" s="130">
        <f t="shared" si="43"/>
        <v>0</v>
      </c>
      <c r="X33" s="130">
        <f t="shared" si="43"/>
        <v>0</v>
      </c>
      <c r="Z33" s="95">
        <f>S33/$J33</f>
        <v>30</v>
      </c>
      <c r="AA33" s="131">
        <f t="shared" si="44"/>
        <v>60</v>
      </c>
      <c r="AB33" s="131">
        <f t="shared" si="44"/>
        <v>78</v>
      </c>
      <c r="AC33" s="131">
        <f t="shared" si="44"/>
        <v>78</v>
      </c>
      <c r="AD33" s="131">
        <f t="shared" si="44"/>
        <v>78</v>
      </c>
      <c r="AE33" s="131">
        <f t="shared" si="44"/>
        <v>78</v>
      </c>
    </row>
    <row r="34" spans="2:31" s="8" customFormat="1" ht="15.95" customHeight="1" x14ac:dyDescent="0.2">
      <c r="B34" s="5" t="s">
        <v>20</v>
      </c>
      <c r="C34" s="24"/>
      <c r="D34" s="24"/>
      <c r="E34" s="35">
        <v>1</v>
      </c>
      <c r="F34" s="29" t="s">
        <v>18</v>
      </c>
      <c r="G34" s="10">
        <v>12000</v>
      </c>
      <c r="H34" s="125">
        <f>G34*$I$1</f>
        <v>12000</v>
      </c>
      <c r="I34" s="55">
        <f>E34*H34/10^3</f>
        <v>12</v>
      </c>
      <c r="J34" s="9">
        <v>10</v>
      </c>
      <c r="K34" s="7"/>
      <c r="L34" s="35">
        <v>1</v>
      </c>
      <c r="M34" s="35"/>
      <c r="N34" s="35"/>
      <c r="O34" s="35"/>
      <c r="P34" s="35"/>
      <c r="Q34" s="35"/>
      <c r="R34" s="7"/>
      <c r="S34" s="10">
        <f>E34*H34/1000</f>
        <v>12</v>
      </c>
      <c r="T34" s="26"/>
      <c r="U34" s="26"/>
      <c r="V34" s="26"/>
      <c r="W34" s="26"/>
      <c r="X34" s="26"/>
      <c r="Y34" s="7"/>
      <c r="Z34" s="10">
        <f>S34/$J34</f>
        <v>1.2</v>
      </c>
      <c r="AA34" s="37">
        <f t="shared" si="44"/>
        <v>1.2</v>
      </c>
      <c r="AB34" s="37">
        <f t="shared" si="44"/>
        <v>1.2</v>
      </c>
      <c r="AC34" s="37">
        <f t="shared" si="44"/>
        <v>1.2</v>
      </c>
      <c r="AD34" s="37">
        <f t="shared" si="44"/>
        <v>1.2</v>
      </c>
      <c r="AE34" s="37">
        <f t="shared" si="44"/>
        <v>1.2</v>
      </c>
    </row>
    <row r="35" spans="2:31" s="8" customFormat="1" ht="15.95" customHeight="1" x14ac:dyDescent="0.2">
      <c r="B35" s="5" t="s">
        <v>323</v>
      </c>
      <c r="C35" s="24"/>
      <c r="D35" s="24"/>
      <c r="E35" s="35">
        <v>1</v>
      </c>
      <c r="F35" s="29" t="s">
        <v>18</v>
      </c>
      <c r="G35" s="10">
        <v>80000</v>
      </c>
      <c r="H35" s="125">
        <f>G35*$I$1</f>
        <v>80000</v>
      </c>
      <c r="I35" s="55">
        <f>E35*H35/10^3</f>
        <v>80</v>
      </c>
      <c r="J35" s="9">
        <v>10</v>
      </c>
      <c r="K35" s="7"/>
      <c r="L35" s="35">
        <v>1</v>
      </c>
      <c r="M35" s="35"/>
      <c r="N35" s="35"/>
      <c r="O35" s="35"/>
      <c r="P35" s="35"/>
      <c r="Q35" s="35"/>
      <c r="R35" s="7"/>
      <c r="S35" s="10">
        <f>E35*H35/1000</f>
        <v>80</v>
      </c>
      <c r="T35" s="26"/>
      <c r="U35" s="26"/>
      <c r="V35" s="26"/>
      <c r="W35" s="26"/>
      <c r="X35" s="26"/>
      <c r="Y35" s="7"/>
      <c r="Z35" s="10">
        <f>S35/$J35</f>
        <v>8</v>
      </c>
      <c r="AA35" s="37">
        <f t="shared" ref="AA35" si="57">Z35+T35/$J35</f>
        <v>8</v>
      </c>
      <c r="AB35" s="37">
        <f t="shared" ref="AB35" si="58">AA35+U35/$J35</f>
        <v>8</v>
      </c>
      <c r="AC35" s="37">
        <f t="shared" ref="AC35" si="59">AB35+V35/$J35</f>
        <v>8</v>
      </c>
      <c r="AD35" s="37">
        <f t="shared" ref="AD35" si="60">AC35+W35/$J35</f>
        <v>8</v>
      </c>
      <c r="AE35" s="37">
        <f t="shared" ref="AE35" si="61">AD35+X35/$J35</f>
        <v>8</v>
      </c>
    </row>
    <row r="36" spans="2:31" s="8" customFormat="1" ht="15.95" customHeight="1" x14ac:dyDescent="0.2">
      <c r="B36" s="5" t="s">
        <v>110</v>
      </c>
      <c r="C36" s="24"/>
      <c r="D36" s="24"/>
      <c r="E36" s="35"/>
      <c r="F36" s="29"/>
      <c r="G36" s="10"/>
      <c r="H36" s="22"/>
      <c r="I36" s="55">
        <f>SUM(I37:I38)</f>
        <v>11</v>
      </c>
      <c r="J36" s="9"/>
      <c r="K36" s="7"/>
      <c r="L36" s="31"/>
      <c r="M36" s="31"/>
      <c r="N36" s="31"/>
      <c r="O36" s="31"/>
      <c r="P36" s="31"/>
      <c r="Q36" s="31"/>
      <c r="R36" s="7"/>
      <c r="S36" s="9">
        <f t="shared" ref="S36:X36" si="62">SUM(S37:S38)</f>
        <v>11</v>
      </c>
      <c r="T36" s="9">
        <f t="shared" si="62"/>
        <v>0</v>
      </c>
      <c r="U36" s="9">
        <f t="shared" si="62"/>
        <v>0</v>
      </c>
      <c r="V36" s="9">
        <f t="shared" si="62"/>
        <v>0</v>
      </c>
      <c r="W36" s="9">
        <f t="shared" si="62"/>
        <v>0</v>
      </c>
      <c r="X36" s="9">
        <f t="shared" si="62"/>
        <v>0</v>
      </c>
      <c r="Y36" s="7"/>
      <c r="Z36" s="9">
        <f t="shared" ref="Z36:AE36" si="63">SUM(Z37:Z38)</f>
        <v>1.1000000000000001</v>
      </c>
      <c r="AA36" s="9">
        <f t="shared" si="63"/>
        <v>1.1000000000000001</v>
      </c>
      <c r="AB36" s="9">
        <f t="shared" si="63"/>
        <v>1.1000000000000001</v>
      </c>
      <c r="AC36" s="9">
        <f t="shared" si="63"/>
        <v>1.1000000000000001</v>
      </c>
      <c r="AD36" s="9">
        <f t="shared" si="63"/>
        <v>1.1000000000000001</v>
      </c>
      <c r="AE36" s="9">
        <f t="shared" si="63"/>
        <v>1.1000000000000001</v>
      </c>
    </row>
    <row r="37" spans="2:31" outlineLevel="1" x14ac:dyDescent="0.2">
      <c r="B37" s="117" t="s">
        <v>111</v>
      </c>
      <c r="C37" s="117"/>
      <c r="D37" s="117"/>
      <c r="E37" s="58">
        <v>1</v>
      </c>
      <c r="F37" s="59" t="s">
        <v>18</v>
      </c>
      <c r="G37" s="119">
        <v>5000</v>
      </c>
      <c r="H37" s="119">
        <f>G37*$I$1</f>
        <v>5000</v>
      </c>
      <c r="I37" s="128">
        <f>E37*H37/10^3</f>
        <v>5</v>
      </c>
      <c r="J37" s="129">
        <v>10</v>
      </c>
      <c r="L37" s="58">
        <v>1</v>
      </c>
      <c r="S37" s="130">
        <f t="shared" ref="S37:X38" si="64">L37*$H37/10^3</f>
        <v>5</v>
      </c>
      <c r="T37" s="130">
        <f t="shared" si="64"/>
        <v>0</v>
      </c>
      <c r="U37" s="130">
        <f t="shared" si="64"/>
        <v>0</v>
      </c>
      <c r="V37" s="130">
        <f t="shared" si="64"/>
        <v>0</v>
      </c>
      <c r="W37" s="130">
        <f t="shared" si="64"/>
        <v>0</v>
      </c>
      <c r="X37" s="130">
        <f t="shared" si="64"/>
        <v>0</v>
      </c>
      <c r="Z37" s="95">
        <f>S37/$J37</f>
        <v>0.5</v>
      </c>
      <c r="AA37" s="131">
        <f t="shared" ref="AA37:AE38" si="65">Z37+T37/$J37</f>
        <v>0.5</v>
      </c>
      <c r="AB37" s="131">
        <f t="shared" si="65"/>
        <v>0.5</v>
      </c>
      <c r="AC37" s="131">
        <f t="shared" si="65"/>
        <v>0.5</v>
      </c>
      <c r="AD37" s="131">
        <f t="shared" si="65"/>
        <v>0.5</v>
      </c>
      <c r="AE37" s="131">
        <f t="shared" si="65"/>
        <v>0.5</v>
      </c>
    </row>
    <row r="38" spans="2:31" outlineLevel="1" x14ac:dyDescent="0.2">
      <c r="B38" s="117" t="s">
        <v>112</v>
      </c>
      <c r="C38" s="117"/>
      <c r="D38" s="117"/>
      <c r="E38" s="58">
        <v>1</v>
      </c>
      <c r="F38" s="59" t="s">
        <v>18</v>
      </c>
      <c r="G38" s="119">
        <v>6000</v>
      </c>
      <c r="H38" s="119">
        <f>G38*$I$1</f>
        <v>6000</v>
      </c>
      <c r="I38" s="128">
        <f>E38*H38/10^3</f>
        <v>6</v>
      </c>
      <c r="J38" s="129">
        <v>10</v>
      </c>
      <c r="L38" s="58">
        <v>1</v>
      </c>
      <c r="S38" s="130">
        <f t="shared" si="64"/>
        <v>6</v>
      </c>
      <c r="T38" s="130">
        <f t="shared" si="64"/>
        <v>0</v>
      </c>
      <c r="U38" s="130">
        <f t="shared" si="64"/>
        <v>0</v>
      </c>
      <c r="V38" s="130">
        <f t="shared" si="64"/>
        <v>0</v>
      </c>
      <c r="W38" s="130">
        <f t="shared" si="64"/>
        <v>0</v>
      </c>
      <c r="X38" s="130">
        <f t="shared" si="64"/>
        <v>0</v>
      </c>
      <c r="Z38" s="95">
        <f>S38/$J38</f>
        <v>0.6</v>
      </c>
      <c r="AA38" s="131">
        <f t="shared" si="65"/>
        <v>0.6</v>
      </c>
      <c r="AB38" s="131">
        <f t="shared" si="65"/>
        <v>0.6</v>
      </c>
      <c r="AC38" s="131">
        <f t="shared" si="65"/>
        <v>0.6</v>
      </c>
      <c r="AD38" s="131">
        <f t="shared" si="65"/>
        <v>0.6</v>
      </c>
      <c r="AE38" s="131">
        <f t="shared" si="65"/>
        <v>0.6</v>
      </c>
    </row>
    <row r="39" spans="2:31" s="112" customFormat="1" x14ac:dyDescent="0.2">
      <c r="B39" s="103" t="s">
        <v>12</v>
      </c>
      <c r="C39" s="103"/>
      <c r="D39" s="103"/>
      <c r="E39" s="104"/>
      <c r="F39" s="133"/>
      <c r="G39" s="106"/>
      <c r="H39" s="134"/>
      <c r="I39" s="108">
        <f>SUM(I14,I15,I16,I30,I36,I34,I25)</f>
        <v>5173.3</v>
      </c>
      <c r="J39" s="109"/>
      <c r="K39" s="110"/>
      <c r="L39" s="111"/>
      <c r="M39" s="111"/>
      <c r="N39" s="111"/>
      <c r="O39" s="111"/>
      <c r="P39" s="111"/>
      <c r="Q39" s="111"/>
      <c r="R39" s="110"/>
      <c r="S39" s="109">
        <f t="shared" ref="S39:X39" si="66">SUM(S14,S15,S16,S30,S36,S34,S25)</f>
        <v>3356.85</v>
      </c>
      <c r="T39" s="109">
        <f t="shared" si="66"/>
        <v>1636.45</v>
      </c>
      <c r="U39" s="109">
        <f t="shared" si="66"/>
        <v>180</v>
      </c>
      <c r="V39" s="109">
        <f t="shared" si="66"/>
        <v>0</v>
      </c>
      <c r="W39" s="109">
        <f t="shared" si="66"/>
        <v>0</v>
      </c>
      <c r="X39" s="109">
        <f t="shared" si="66"/>
        <v>0</v>
      </c>
      <c r="Y39" s="110"/>
      <c r="Z39" s="109">
        <f t="shared" ref="Z39:AE39" si="67">SUM(Z14,Z15,Z16,Z30,Z34,Z25)</f>
        <v>402.42071428571427</v>
      </c>
      <c r="AA39" s="109">
        <f t="shared" si="67"/>
        <v>563.46571428571428</v>
      </c>
      <c r="AB39" s="109">
        <f t="shared" si="67"/>
        <v>581.46571428571428</v>
      </c>
      <c r="AC39" s="109">
        <f t="shared" si="67"/>
        <v>581.46571428571428</v>
      </c>
      <c r="AD39" s="109">
        <f t="shared" si="67"/>
        <v>581.46571428571428</v>
      </c>
      <c r="AE39" s="109">
        <f t="shared" si="67"/>
        <v>581.46571428571428</v>
      </c>
    </row>
    <row r="40" spans="2:31" ht="13.5" thickBot="1" x14ac:dyDescent="0.25">
      <c r="B40" s="117"/>
      <c r="G40" s="114"/>
      <c r="H40" s="118"/>
      <c r="I40" s="93"/>
      <c r="J40" s="114"/>
      <c r="S40" s="135"/>
      <c r="T40" s="135"/>
      <c r="U40" s="135"/>
      <c r="V40" s="135"/>
      <c r="W40" s="135"/>
      <c r="X40" s="135"/>
      <c r="Z40" s="135"/>
      <c r="AA40" s="135"/>
      <c r="AB40" s="135"/>
      <c r="AC40" s="135"/>
      <c r="AD40" s="135"/>
      <c r="AE40" s="135"/>
    </row>
    <row r="41" spans="2:31" s="8" customFormat="1" ht="15.95" customHeight="1" thickBot="1" x14ac:dyDescent="0.25">
      <c r="B41" s="73" t="s">
        <v>2</v>
      </c>
      <c r="C41" s="73"/>
      <c r="D41" s="73"/>
      <c r="E41" s="74"/>
      <c r="F41" s="75"/>
      <c r="G41" s="115"/>
      <c r="H41" s="77"/>
      <c r="I41" s="116"/>
      <c r="J41" s="78"/>
      <c r="K41" s="7"/>
      <c r="L41" s="79"/>
      <c r="M41" s="79"/>
      <c r="N41" s="79"/>
      <c r="O41" s="79"/>
      <c r="P41" s="79"/>
      <c r="Q41" s="79"/>
      <c r="R41" s="7"/>
      <c r="S41" s="80"/>
      <c r="T41" s="80"/>
      <c r="U41" s="80"/>
      <c r="V41" s="80"/>
      <c r="W41" s="80"/>
      <c r="X41" s="80"/>
      <c r="Y41" s="7"/>
      <c r="Z41" s="80"/>
      <c r="AA41" s="80"/>
      <c r="AB41" s="80"/>
      <c r="AC41" s="80"/>
      <c r="AD41" s="80"/>
      <c r="AE41" s="80"/>
    </row>
    <row r="42" spans="2:31" x14ac:dyDescent="0.2">
      <c r="B42" s="5" t="s">
        <v>39</v>
      </c>
      <c r="C42" s="5"/>
      <c r="D42" s="5"/>
      <c r="E42" s="31"/>
      <c r="F42" s="36"/>
      <c r="G42" s="6"/>
      <c r="H42" s="9"/>
      <c r="I42" s="56">
        <f>SUM(I43:I44)</f>
        <v>620</v>
      </c>
      <c r="J42" s="6"/>
      <c r="L42" s="31"/>
      <c r="M42" s="31"/>
      <c r="N42" s="31"/>
      <c r="O42" s="31"/>
      <c r="P42" s="31"/>
      <c r="Q42" s="31"/>
      <c r="S42" s="26">
        <f t="shared" ref="S42:X42" si="68">SUM(S43:S44)</f>
        <v>620</v>
      </c>
      <c r="T42" s="26">
        <f t="shared" si="68"/>
        <v>0</v>
      </c>
      <c r="U42" s="26">
        <f t="shared" si="68"/>
        <v>0</v>
      </c>
      <c r="V42" s="26">
        <f t="shared" si="68"/>
        <v>0</v>
      </c>
      <c r="W42" s="26">
        <f t="shared" si="68"/>
        <v>0</v>
      </c>
      <c r="X42" s="26">
        <f t="shared" si="68"/>
        <v>0</v>
      </c>
      <c r="Z42" s="6">
        <f t="shared" ref="Z42:AE42" si="69">SUM(Z43:Z44)</f>
        <v>62</v>
      </c>
      <c r="AA42" s="6">
        <f t="shared" si="69"/>
        <v>62</v>
      </c>
      <c r="AB42" s="6">
        <f t="shared" si="69"/>
        <v>62</v>
      </c>
      <c r="AC42" s="6">
        <f t="shared" si="69"/>
        <v>62</v>
      </c>
      <c r="AD42" s="6">
        <f t="shared" si="69"/>
        <v>62</v>
      </c>
      <c r="AE42" s="6">
        <f t="shared" si="69"/>
        <v>62</v>
      </c>
    </row>
    <row r="43" spans="2:31" outlineLevel="1" x14ac:dyDescent="0.2">
      <c r="B43" s="117" t="s">
        <v>40</v>
      </c>
      <c r="C43" s="118"/>
      <c r="D43" s="118"/>
      <c r="E43" s="58">
        <v>1</v>
      </c>
      <c r="F43" s="27" t="s">
        <v>18</v>
      </c>
      <c r="G43" s="119">
        <v>20000</v>
      </c>
      <c r="H43" s="119">
        <f>G43*$I$1</f>
        <v>20000</v>
      </c>
      <c r="I43" s="136">
        <f>E43*H43/10^3</f>
        <v>20</v>
      </c>
      <c r="J43" s="121">
        <v>10</v>
      </c>
      <c r="L43" s="58">
        <v>1</v>
      </c>
      <c r="M43" s="58"/>
      <c r="N43" s="58"/>
      <c r="O43" s="58"/>
      <c r="P43" s="58"/>
      <c r="Q43" s="58"/>
      <c r="S43" s="121">
        <f>L43*$H43/10^3</f>
        <v>20</v>
      </c>
      <c r="T43" s="121">
        <f t="shared" ref="T43:X45" si="70">M43*$H43/10^3</f>
        <v>0</v>
      </c>
      <c r="U43" s="121">
        <f t="shared" si="70"/>
        <v>0</v>
      </c>
      <c r="V43" s="121">
        <f t="shared" si="70"/>
        <v>0</v>
      </c>
      <c r="W43" s="121">
        <f t="shared" si="70"/>
        <v>0</v>
      </c>
      <c r="X43" s="121">
        <f t="shared" si="70"/>
        <v>0</v>
      </c>
      <c r="Z43" s="95">
        <f>S43/$J43</f>
        <v>2</v>
      </c>
      <c r="AA43" s="131">
        <f t="shared" ref="AA43:AE45" si="71">Z43+T43/$J43</f>
        <v>2</v>
      </c>
      <c r="AB43" s="131">
        <f t="shared" si="71"/>
        <v>2</v>
      </c>
      <c r="AC43" s="131">
        <f t="shared" si="71"/>
        <v>2</v>
      </c>
      <c r="AD43" s="131">
        <f t="shared" si="71"/>
        <v>2</v>
      </c>
      <c r="AE43" s="131">
        <f t="shared" si="71"/>
        <v>2</v>
      </c>
    </row>
    <row r="44" spans="2:31" outlineLevel="1" x14ac:dyDescent="0.2">
      <c r="B44" s="117" t="s">
        <v>41</v>
      </c>
      <c r="C44" s="118"/>
      <c r="D44" s="118"/>
      <c r="E44" s="58">
        <v>6</v>
      </c>
      <c r="F44" s="28" t="s">
        <v>18</v>
      </c>
      <c r="G44" s="119">
        <v>100000</v>
      </c>
      <c r="H44" s="119">
        <f>G44*$I$1</f>
        <v>100000</v>
      </c>
      <c r="I44" s="136">
        <f>E44*H44/10^3</f>
        <v>600</v>
      </c>
      <c r="J44" s="121">
        <v>10</v>
      </c>
      <c r="L44" s="58">
        <v>6</v>
      </c>
      <c r="M44" s="58"/>
      <c r="N44" s="58"/>
      <c r="O44" s="58"/>
      <c r="P44" s="58"/>
      <c r="Q44" s="58"/>
      <c r="S44" s="121">
        <f>L44*$H44/10^3</f>
        <v>600</v>
      </c>
      <c r="T44" s="121">
        <f t="shared" si="70"/>
        <v>0</v>
      </c>
      <c r="U44" s="121">
        <f t="shared" si="70"/>
        <v>0</v>
      </c>
      <c r="V44" s="121">
        <f t="shared" si="70"/>
        <v>0</v>
      </c>
      <c r="W44" s="121">
        <f t="shared" si="70"/>
        <v>0</v>
      </c>
      <c r="X44" s="121">
        <f t="shared" si="70"/>
        <v>0</v>
      </c>
      <c r="Z44" s="95">
        <f>S44/$J44</f>
        <v>60</v>
      </c>
      <c r="AA44" s="131">
        <f t="shared" si="71"/>
        <v>60</v>
      </c>
      <c r="AB44" s="131">
        <f t="shared" si="71"/>
        <v>60</v>
      </c>
      <c r="AC44" s="131">
        <f t="shared" si="71"/>
        <v>60</v>
      </c>
      <c r="AD44" s="131">
        <f t="shared" si="71"/>
        <v>60</v>
      </c>
      <c r="AE44" s="131">
        <f t="shared" si="71"/>
        <v>60</v>
      </c>
    </row>
    <row r="45" spans="2:31" x14ac:dyDescent="0.2">
      <c r="B45" s="5" t="s">
        <v>114</v>
      </c>
      <c r="C45" s="5"/>
      <c r="D45" s="5"/>
      <c r="E45" s="35">
        <v>20</v>
      </c>
      <c r="F45" s="29" t="s">
        <v>18</v>
      </c>
      <c r="G45" s="10">
        <v>5000</v>
      </c>
      <c r="H45" s="137">
        <f>G45*I1</f>
        <v>5000</v>
      </c>
      <c r="I45" s="56">
        <f>E45*H45/10^3</f>
        <v>100</v>
      </c>
      <c r="J45" s="26">
        <v>10</v>
      </c>
      <c r="L45" s="35">
        <v>7</v>
      </c>
      <c r="M45" s="35">
        <v>7</v>
      </c>
      <c r="N45" s="35">
        <v>6</v>
      </c>
      <c r="O45" s="35"/>
      <c r="P45" s="35"/>
      <c r="Q45" s="35"/>
      <c r="S45" s="10">
        <f>L45*$H45/10^3</f>
        <v>35</v>
      </c>
      <c r="T45" s="10">
        <f t="shared" si="70"/>
        <v>35</v>
      </c>
      <c r="U45" s="10">
        <f t="shared" si="70"/>
        <v>30</v>
      </c>
      <c r="V45" s="10">
        <f t="shared" si="70"/>
        <v>0</v>
      </c>
      <c r="W45" s="10">
        <f t="shared" si="70"/>
        <v>0</v>
      </c>
      <c r="X45" s="10">
        <f t="shared" si="70"/>
        <v>0</v>
      </c>
      <c r="Z45" s="10">
        <f>S45/$J45</f>
        <v>3.5</v>
      </c>
      <c r="AA45" s="10">
        <f t="shared" si="71"/>
        <v>7</v>
      </c>
      <c r="AB45" s="10">
        <f t="shared" si="71"/>
        <v>10</v>
      </c>
      <c r="AC45" s="10">
        <f t="shared" si="71"/>
        <v>10</v>
      </c>
      <c r="AD45" s="10">
        <f t="shared" si="71"/>
        <v>10</v>
      </c>
      <c r="AE45" s="10">
        <f t="shared" si="71"/>
        <v>10</v>
      </c>
    </row>
    <row r="46" spans="2:31" x14ac:dyDescent="0.2">
      <c r="B46" s="5" t="s">
        <v>337</v>
      </c>
      <c r="C46" s="5"/>
      <c r="D46" s="5"/>
      <c r="E46" s="35"/>
      <c r="F46" s="29"/>
      <c r="G46" s="10"/>
      <c r="H46" s="137"/>
      <c r="I46" s="56">
        <f>SUM(I47:I50)</f>
        <v>400</v>
      </c>
      <c r="J46" s="26"/>
      <c r="L46" s="35"/>
      <c r="M46" s="35"/>
      <c r="N46" s="35"/>
      <c r="O46" s="35"/>
      <c r="P46" s="35"/>
      <c r="Q46" s="35"/>
      <c r="S46" s="26">
        <f t="shared" ref="S46:X46" si="72">SUM(S47:S50)</f>
        <v>140</v>
      </c>
      <c r="T46" s="26">
        <f t="shared" si="72"/>
        <v>140</v>
      </c>
      <c r="U46" s="26">
        <f t="shared" si="72"/>
        <v>120</v>
      </c>
      <c r="V46" s="26">
        <f t="shared" si="72"/>
        <v>0</v>
      </c>
      <c r="W46" s="26">
        <f t="shared" si="72"/>
        <v>0</v>
      </c>
      <c r="X46" s="26">
        <f t="shared" si="72"/>
        <v>0</v>
      </c>
      <c r="Z46" s="6">
        <f t="shared" ref="Z46:AE46" si="73">SUM(Z47:Z50)</f>
        <v>14</v>
      </c>
      <c r="AA46" s="6">
        <f t="shared" si="73"/>
        <v>28</v>
      </c>
      <c r="AB46" s="6">
        <f t="shared" si="73"/>
        <v>40</v>
      </c>
      <c r="AC46" s="6">
        <f t="shared" si="73"/>
        <v>40</v>
      </c>
      <c r="AD46" s="6">
        <f t="shared" si="73"/>
        <v>40</v>
      </c>
      <c r="AE46" s="6">
        <f t="shared" si="73"/>
        <v>40</v>
      </c>
    </row>
    <row r="47" spans="2:31" outlineLevel="1" x14ac:dyDescent="0.2">
      <c r="B47" s="117" t="s">
        <v>115</v>
      </c>
      <c r="C47" s="118"/>
      <c r="D47" s="118"/>
      <c r="E47" s="58">
        <v>20</v>
      </c>
      <c r="F47" s="27" t="s">
        <v>18</v>
      </c>
      <c r="G47" s="119">
        <v>5000</v>
      </c>
      <c r="H47" s="119">
        <f>G47*$I$1</f>
        <v>5000</v>
      </c>
      <c r="I47" s="136">
        <f t="shared" ref="I47:I53" si="74">E47*H47/10^3</f>
        <v>100</v>
      </c>
      <c r="J47" s="121">
        <v>10</v>
      </c>
      <c r="L47" s="58">
        <v>7</v>
      </c>
      <c r="M47" s="58">
        <v>7</v>
      </c>
      <c r="N47" s="58">
        <v>6</v>
      </c>
      <c r="O47" s="58"/>
      <c r="P47" s="58"/>
      <c r="Q47" s="58"/>
      <c r="S47" s="121">
        <f>L47*$H47/10^3</f>
        <v>35</v>
      </c>
      <c r="T47" s="121">
        <f>M47*$H47/10^3</f>
        <v>35</v>
      </c>
      <c r="U47" s="121">
        <f t="shared" ref="T47:X50" si="75">N47*$H47/10^3</f>
        <v>30</v>
      </c>
      <c r="V47" s="121">
        <f t="shared" si="75"/>
        <v>0</v>
      </c>
      <c r="W47" s="121">
        <f t="shared" si="75"/>
        <v>0</v>
      </c>
      <c r="X47" s="121">
        <f t="shared" si="75"/>
        <v>0</v>
      </c>
      <c r="Z47" s="95">
        <f t="shared" ref="Z47:Z54" si="76">S47/$J47</f>
        <v>3.5</v>
      </c>
      <c r="AA47" s="131">
        <f t="shared" ref="AA47:AE50" si="77">Z47+T47/$J47</f>
        <v>7</v>
      </c>
      <c r="AB47" s="131">
        <f t="shared" si="77"/>
        <v>10</v>
      </c>
      <c r="AC47" s="131">
        <f t="shared" si="77"/>
        <v>10</v>
      </c>
      <c r="AD47" s="131">
        <f t="shared" si="77"/>
        <v>10</v>
      </c>
      <c r="AE47" s="131">
        <f t="shared" si="77"/>
        <v>10</v>
      </c>
    </row>
    <row r="48" spans="2:31" outlineLevel="1" x14ac:dyDescent="0.2">
      <c r="B48" s="117" t="s">
        <v>116</v>
      </c>
      <c r="C48" s="118"/>
      <c r="D48" s="118"/>
      <c r="E48" s="58">
        <v>20</v>
      </c>
      <c r="F48" s="30" t="s">
        <v>18</v>
      </c>
      <c r="G48" s="119">
        <v>2000</v>
      </c>
      <c r="H48" s="119">
        <f>G48*$I$1</f>
        <v>2000</v>
      </c>
      <c r="I48" s="136">
        <f t="shared" si="74"/>
        <v>40</v>
      </c>
      <c r="J48" s="121">
        <v>10</v>
      </c>
      <c r="L48" s="58">
        <v>7</v>
      </c>
      <c r="M48" s="58">
        <v>7</v>
      </c>
      <c r="N48" s="58">
        <v>6</v>
      </c>
      <c r="O48" s="58"/>
      <c r="P48" s="58"/>
      <c r="Q48" s="58"/>
      <c r="S48" s="121">
        <f t="shared" ref="S48:S53" si="78">L48*$H48/10^3</f>
        <v>14</v>
      </c>
      <c r="T48" s="121">
        <f t="shared" si="75"/>
        <v>14</v>
      </c>
      <c r="U48" s="121">
        <f t="shared" si="75"/>
        <v>12</v>
      </c>
      <c r="V48" s="121">
        <f t="shared" si="75"/>
        <v>0</v>
      </c>
      <c r="W48" s="121">
        <f t="shared" si="75"/>
        <v>0</v>
      </c>
      <c r="X48" s="121">
        <f t="shared" si="75"/>
        <v>0</v>
      </c>
      <c r="Z48" s="95">
        <f t="shared" si="76"/>
        <v>1.4</v>
      </c>
      <c r="AA48" s="131">
        <f t="shared" si="77"/>
        <v>2.8</v>
      </c>
      <c r="AB48" s="131">
        <f t="shared" si="77"/>
        <v>4</v>
      </c>
      <c r="AC48" s="131">
        <f t="shared" si="77"/>
        <v>4</v>
      </c>
      <c r="AD48" s="131">
        <f t="shared" si="77"/>
        <v>4</v>
      </c>
      <c r="AE48" s="131">
        <f t="shared" si="77"/>
        <v>4</v>
      </c>
    </row>
    <row r="49" spans="1:31" outlineLevel="1" x14ac:dyDescent="0.2">
      <c r="B49" s="117" t="s">
        <v>117</v>
      </c>
      <c r="C49" s="118"/>
      <c r="D49" s="118"/>
      <c r="E49" s="58">
        <v>20</v>
      </c>
      <c r="F49" s="30" t="s">
        <v>18</v>
      </c>
      <c r="G49" s="119">
        <v>10000</v>
      </c>
      <c r="H49" s="119">
        <f>G49*$I$1</f>
        <v>10000</v>
      </c>
      <c r="I49" s="136">
        <f t="shared" si="74"/>
        <v>200</v>
      </c>
      <c r="J49" s="121">
        <v>10</v>
      </c>
      <c r="L49" s="58">
        <v>7</v>
      </c>
      <c r="M49" s="58">
        <v>7</v>
      </c>
      <c r="N49" s="58">
        <v>6</v>
      </c>
      <c r="O49" s="58"/>
      <c r="P49" s="58"/>
      <c r="Q49" s="58"/>
      <c r="S49" s="121">
        <f t="shared" si="78"/>
        <v>70</v>
      </c>
      <c r="T49" s="121">
        <f t="shared" si="75"/>
        <v>70</v>
      </c>
      <c r="U49" s="121">
        <f t="shared" si="75"/>
        <v>60</v>
      </c>
      <c r="V49" s="121">
        <f t="shared" si="75"/>
        <v>0</v>
      </c>
      <c r="W49" s="121">
        <f t="shared" si="75"/>
        <v>0</v>
      </c>
      <c r="X49" s="121">
        <f t="shared" si="75"/>
        <v>0</v>
      </c>
      <c r="Z49" s="95">
        <f t="shared" si="76"/>
        <v>7</v>
      </c>
      <c r="AA49" s="131">
        <f t="shared" si="77"/>
        <v>14</v>
      </c>
      <c r="AB49" s="131">
        <f t="shared" si="77"/>
        <v>20</v>
      </c>
      <c r="AC49" s="131">
        <f t="shared" si="77"/>
        <v>20</v>
      </c>
      <c r="AD49" s="131">
        <f t="shared" si="77"/>
        <v>20</v>
      </c>
      <c r="AE49" s="131">
        <f t="shared" si="77"/>
        <v>20</v>
      </c>
    </row>
    <row r="50" spans="1:31" outlineLevel="1" x14ac:dyDescent="0.2">
      <c r="B50" s="117" t="s">
        <v>118</v>
      </c>
      <c r="C50" s="118"/>
      <c r="D50" s="118"/>
      <c r="E50" s="58">
        <v>20</v>
      </c>
      <c r="F50" s="28" t="s">
        <v>18</v>
      </c>
      <c r="G50" s="119">
        <v>3000</v>
      </c>
      <c r="H50" s="119">
        <f>G50*$I$1</f>
        <v>3000</v>
      </c>
      <c r="I50" s="136">
        <f t="shared" si="74"/>
        <v>60</v>
      </c>
      <c r="J50" s="121">
        <v>10</v>
      </c>
      <c r="L50" s="58">
        <v>7</v>
      </c>
      <c r="M50" s="58">
        <v>7</v>
      </c>
      <c r="N50" s="58">
        <v>6</v>
      </c>
      <c r="O50" s="58"/>
      <c r="P50" s="58"/>
      <c r="Q50" s="58"/>
      <c r="S50" s="121">
        <f t="shared" si="78"/>
        <v>21</v>
      </c>
      <c r="T50" s="121">
        <f>M50*$H50/10^3</f>
        <v>21</v>
      </c>
      <c r="U50" s="121">
        <f t="shared" si="75"/>
        <v>18</v>
      </c>
      <c r="V50" s="121">
        <f t="shared" si="75"/>
        <v>0</v>
      </c>
      <c r="W50" s="121">
        <f t="shared" si="75"/>
        <v>0</v>
      </c>
      <c r="X50" s="121">
        <f t="shared" si="75"/>
        <v>0</v>
      </c>
      <c r="Z50" s="95">
        <f t="shared" si="76"/>
        <v>2.1</v>
      </c>
      <c r="AA50" s="131">
        <f t="shared" si="77"/>
        <v>4.2</v>
      </c>
      <c r="AB50" s="131">
        <f t="shared" si="77"/>
        <v>6</v>
      </c>
      <c r="AC50" s="131">
        <f t="shared" si="77"/>
        <v>6</v>
      </c>
      <c r="AD50" s="131">
        <f t="shared" si="77"/>
        <v>6</v>
      </c>
      <c r="AE50" s="131">
        <f t="shared" si="77"/>
        <v>6</v>
      </c>
    </row>
    <row r="51" spans="1:31" x14ac:dyDescent="0.2">
      <c r="B51" s="5" t="s">
        <v>42</v>
      </c>
      <c r="C51" s="5"/>
      <c r="D51" s="5"/>
      <c r="E51" s="35">
        <f>parameters!I8</f>
        <v>12333.333333333334</v>
      </c>
      <c r="F51" s="29" t="s">
        <v>18</v>
      </c>
      <c r="G51" s="10">
        <v>80</v>
      </c>
      <c r="H51" s="137">
        <f>G51*I1</f>
        <v>80</v>
      </c>
      <c r="I51" s="56">
        <f>E51*H51/10^3</f>
        <v>986.66666666666674</v>
      </c>
      <c r="J51" s="26">
        <v>7</v>
      </c>
      <c r="L51" s="35">
        <f>parameters!H9</f>
        <v>0</v>
      </c>
      <c r="M51" s="35">
        <f>parameters!I9</f>
        <v>12333.333333333334</v>
      </c>
      <c r="N51" s="35">
        <f>parameters!J9</f>
        <v>0</v>
      </c>
      <c r="O51" s="35">
        <f>parameters!K9</f>
        <v>0</v>
      </c>
      <c r="P51" s="35">
        <f>parameters!L9</f>
        <v>0</v>
      </c>
      <c r="Q51" s="35">
        <f>parameters!M9</f>
        <v>0</v>
      </c>
      <c r="S51" s="10">
        <f t="shared" si="78"/>
        <v>0</v>
      </c>
      <c r="T51" s="10">
        <f t="shared" ref="T51:X53" si="79">M51*$H51/10^3</f>
        <v>986.66666666666674</v>
      </c>
      <c r="U51" s="10">
        <f t="shared" si="79"/>
        <v>0</v>
      </c>
      <c r="V51" s="10">
        <f t="shared" si="79"/>
        <v>0</v>
      </c>
      <c r="W51" s="10">
        <f t="shared" si="79"/>
        <v>0</v>
      </c>
      <c r="X51" s="10">
        <f t="shared" si="79"/>
        <v>0</v>
      </c>
      <c r="Z51" s="10">
        <f t="shared" si="76"/>
        <v>0</v>
      </c>
      <c r="AA51" s="37">
        <f t="shared" ref="AA51:AE54" si="80">Z51+T51/$J51</f>
        <v>140.95238095238096</v>
      </c>
      <c r="AB51" s="37">
        <f t="shared" si="80"/>
        <v>140.95238095238096</v>
      </c>
      <c r="AC51" s="37">
        <f t="shared" si="80"/>
        <v>140.95238095238096</v>
      </c>
      <c r="AD51" s="37">
        <f t="shared" si="80"/>
        <v>140.95238095238096</v>
      </c>
      <c r="AE51" s="37">
        <f t="shared" si="80"/>
        <v>140.95238095238096</v>
      </c>
    </row>
    <row r="52" spans="1:31" s="112" customFormat="1" x14ac:dyDescent="0.2">
      <c r="B52" s="5" t="s">
        <v>43</v>
      </c>
      <c r="C52" s="24"/>
      <c r="D52" s="24"/>
      <c r="E52" s="35">
        <f>SUM(L52:Q52)</f>
        <v>29000</v>
      </c>
      <c r="F52" s="29" t="s">
        <v>18</v>
      </c>
      <c r="G52" s="10">
        <v>370</v>
      </c>
      <c r="H52" s="137">
        <f>G52*I1</f>
        <v>370</v>
      </c>
      <c r="I52" s="56">
        <f>E52*H52/10^3</f>
        <v>10730</v>
      </c>
      <c r="J52" s="26">
        <v>7</v>
      </c>
      <c r="K52" s="7"/>
      <c r="L52" s="35">
        <f>Production!C4</f>
        <v>0</v>
      </c>
      <c r="M52" s="35">
        <f>Production!D4-Production!C4</f>
        <v>12333.333333333334</v>
      </c>
      <c r="N52" s="35">
        <f>Production!E4-Production!D4</f>
        <v>4999.9999999999982</v>
      </c>
      <c r="O52" s="35">
        <f>Production!F4-Production!E4</f>
        <v>6666.6666666666679</v>
      </c>
      <c r="P52" s="35">
        <f>Production!G4-Production!F4</f>
        <v>5000</v>
      </c>
      <c r="Q52" s="35">
        <f>Production!H4-Production!G4</f>
        <v>0</v>
      </c>
      <c r="R52" s="7"/>
      <c r="S52" s="10">
        <f t="shared" si="78"/>
        <v>0</v>
      </c>
      <c r="T52" s="10">
        <f t="shared" si="79"/>
        <v>4563.3333333333339</v>
      </c>
      <c r="U52" s="10">
        <f>N52*$H52/10^3</f>
        <v>1849.9999999999993</v>
      </c>
      <c r="V52" s="10">
        <f t="shared" si="79"/>
        <v>2466.666666666667</v>
      </c>
      <c r="W52" s="10">
        <f t="shared" si="79"/>
        <v>1850</v>
      </c>
      <c r="X52" s="10">
        <f t="shared" si="79"/>
        <v>0</v>
      </c>
      <c r="Y52" s="7"/>
      <c r="Z52" s="10">
        <f t="shared" si="76"/>
        <v>0</v>
      </c>
      <c r="AA52" s="37">
        <f t="shared" si="80"/>
        <v>651.90476190476204</v>
      </c>
      <c r="AB52" s="37">
        <f t="shared" si="80"/>
        <v>916.19047619047615</v>
      </c>
      <c r="AC52" s="37">
        <f t="shared" si="80"/>
        <v>1268.5714285714284</v>
      </c>
      <c r="AD52" s="37">
        <f t="shared" si="80"/>
        <v>1532.8571428571427</v>
      </c>
      <c r="AE52" s="37">
        <f t="shared" si="80"/>
        <v>1532.8571428571427</v>
      </c>
    </row>
    <row r="53" spans="1:31" s="112" customFormat="1" x14ac:dyDescent="0.2">
      <c r="B53" s="5" t="s">
        <v>44</v>
      </c>
      <c r="C53" s="24"/>
      <c r="D53" s="24"/>
      <c r="E53" s="35">
        <f>E52</f>
        <v>29000</v>
      </c>
      <c r="F53" s="29" t="s">
        <v>18</v>
      </c>
      <c r="G53" s="141">
        <v>44.6</v>
      </c>
      <c r="H53" s="173">
        <f>G53*I1</f>
        <v>44.6</v>
      </c>
      <c r="I53" s="56">
        <f t="shared" si="74"/>
        <v>1293.4000000000001</v>
      </c>
      <c r="J53" s="26">
        <v>7</v>
      </c>
      <c r="K53" s="7"/>
      <c r="L53" s="35">
        <f t="shared" ref="L53:Q53" si="81">L52</f>
        <v>0</v>
      </c>
      <c r="M53" s="35">
        <f t="shared" si="81"/>
        <v>12333.333333333334</v>
      </c>
      <c r="N53" s="35">
        <f t="shared" si="81"/>
        <v>4999.9999999999982</v>
      </c>
      <c r="O53" s="35">
        <f t="shared" si="81"/>
        <v>6666.6666666666679</v>
      </c>
      <c r="P53" s="35">
        <f t="shared" si="81"/>
        <v>5000</v>
      </c>
      <c r="Q53" s="35">
        <f t="shared" si="81"/>
        <v>0</v>
      </c>
      <c r="R53" s="7"/>
      <c r="S53" s="10">
        <f t="shared" si="78"/>
        <v>0</v>
      </c>
      <c r="T53" s="10">
        <f t="shared" si="79"/>
        <v>550.06666666666672</v>
      </c>
      <c r="U53" s="10">
        <f t="shared" si="79"/>
        <v>222.99999999999991</v>
      </c>
      <c r="V53" s="10">
        <f t="shared" si="79"/>
        <v>297.33333333333337</v>
      </c>
      <c r="W53" s="10">
        <f t="shared" si="79"/>
        <v>223</v>
      </c>
      <c r="X53" s="10">
        <f t="shared" si="79"/>
        <v>0</v>
      </c>
      <c r="Y53" s="7"/>
      <c r="Z53" s="10">
        <f t="shared" si="76"/>
        <v>0</v>
      </c>
      <c r="AA53" s="37">
        <f t="shared" si="80"/>
        <v>78.580952380952382</v>
      </c>
      <c r="AB53" s="37">
        <f t="shared" si="80"/>
        <v>110.43809523809523</v>
      </c>
      <c r="AC53" s="37">
        <f t="shared" si="80"/>
        <v>152.91428571428571</v>
      </c>
      <c r="AD53" s="37">
        <f t="shared" si="80"/>
        <v>184.77142857142857</v>
      </c>
      <c r="AE53" s="37">
        <f t="shared" si="80"/>
        <v>184.77142857142857</v>
      </c>
    </row>
    <row r="54" spans="1:31" s="112" customFormat="1" x14ac:dyDescent="0.2">
      <c r="B54" s="5" t="s">
        <v>45</v>
      </c>
      <c r="C54" s="24"/>
      <c r="D54" s="24"/>
      <c r="E54" s="35"/>
      <c r="F54" s="29"/>
      <c r="G54" s="10"/>
      <c r="H54" s="137"/>
      <c r="I54" s="56">
        <f>SUM(S54:X54)</f>
        <v>250</v>
      </c>
      <c r="J54" s="26">
        <v>7</v>
      </c>
      <c r="K54" s="7"/>
      <c r="L54" s="35"/>
      <c r="M54" s="35"/>
      <c r="N54" s="35"/>
      <c r="O54" s="35"/>
      <c r="P54" s="35"/>
      <c r="Q54" s="35"/>
      <c r="R54" s="7"/>
      <c r="S54" s="10">
        <f>50000*$I$1/1000</f>
        <v>50</v>
      </c>
      <c r="T54" s="10">
        <f>50000*$I$1/1000</f>
        <v>50</v>
      </c>
      <c r="U54" s="10">
        <f>50000*$I$1/1000</f>
        <v>50</v>
      </c>
      <c r="V54" s="10">
        <f>50000*$I$1/1000</f>
        <v>50</v>
      </c>
      <c r="W54" s="10">
        <f>50000*$I$1/1000</f>
        <v>50</v>
      </c>
      <c r="X54" s="10">
        <v>0</v>
      </c>
      <c r="Y54" s="7"/>
      <c r="Z54" s="10">
        <f t="shared" si="76"/>
        <v>7.1428571428571432</v>
      </c>
      <c r="AA54" s="37">
        <f t="shared" si="80"/>
        <v>14.285714285714286</v>
      </c>
      <c r="AB54" s="37">
        <f t="shared" si="80"/>
        <v>21.428571428571431</v>
      </c>
      <c r="AC54" s="37">
        <f t="shared" si="80"/>
        <v>28.571428571428573</v>
      </c>
      <c r="AD54" s="37">
        <f t="shared" si="80"/>
        <v>35.714285714285715</v>
      </c>
      <c r="AE54" s="37">
        <f t="shared" si="80"/>
        <v>35.714285714285715</v>
      </c>
    </row>
    <row r="55" spans="1:31" s="112" customFormat="1" x14ac:dyDescent="0.2">
      <c r="B55" s="5" t="s">
        <v>326</v>
      </c>
      <c r="C55" s="24"/>
      <c r="D55" s="24"/>
      <c r="E55" s="35"/>
      <c r="F55" s="29"/>
      <c r="G55" s="10"/>
      <c r="H55" s="137"/>
      <c r="I55" s="57">
        <f>SUM(S55:X55)</f>
        <v>895</v>
      </c>
      <c r="J55" s="6"/>
      <c r="K55" s="7"/>
      <c r="L55" s="35"/>
      <c r="M55" s="35"/>
      <c r="N55" s="35"/>
      <c r="O55" s="35"/>
      <c r="P55" s="35"/>
      <c r="Q55" s="35"/>
      <c r="R55" s="7"/>
      <c r="S55" s="10">
        <f>SUM(S56:S58)</f>
        <v>447.5</v>
      </c>
      <c r="T55" s="10">
        <f t="shared" ref="T55:X55" si="82">SUM(T56:T58)</f>
        <v>447.5</v>
      </c>
      <c r="U55" s="10">
        <f t="shared" si="82"/>
        <v>0</v>
      </c>
      <c r="V55" s="10">
        <f t="shared" si="82"/>
        <v>0</v>
      </c>
      <c r="W55" s="10">
        <f t="shared" si="82"/>
        <v>0</v>
      </c>
      <c r="X55" s="10">
        <f t="shared" si="82"/>
        <v>0</v>
      </c>
      <c r="Y55" s="7"/>
      <c r="Z55" s="10">
        <f t="shared" ref="Z55:AE55" si="83">SUM(Z56:Z58)</f>
        <v>63.928571428571431</v>
      </c>
      <c r="AA55" s="10">
        <f t="shared" si="83"/>
        <v>127.85714285714286</v>
      </c>
      <c r="AB55" s="10">
        <f t="shared" si="83"/>
        <v>127.85714285714286</v>
      </c>
      <c r="AC55" s="10">
        <f t="shared" si="83"/>
        <v>127.85714285714286</v>
      </c>
      <c r="AD55" s="10">
        <f t="shared" si="83"/>
        <v>127.85714285714286</v>
      </c>
      <c r="AE55" s="10">
        <f t="shared" si="83"/>
        <v>127.85714285714286</v>
      </c>
    </row>
    <row r="56" spans="1:31" outlineLevel="1" x14ac:dyDescent="0.2">
      <c r="B56" s="117" t="s">
        <v>324</v>
      </c>
      <c r="C56" s="118"/>
      <c r="D56" s="118"/>
      <c r="E56" s="138">
        <v>20</v>
      </c>
      <c r="F56" s="30" t="s">
        <v>18</v>
      </c>
      <c r="G56" s="119">
        <v>25000</v>
      </c>
      <c r="H56" s="119">
        <f>G56*$I$1</f>
        <v>25000</v>
      </c>
      <c r="I56" s="120">
        <f>E56*H56/10^3</f>
        <v>500</v>
      </c>
      <c r="J56" s="121">
        <v>7</v>
      </c>
      <c r="L56" s="63">
        <v>10</v>
      </c>
      <c r="M56" s="63">
        <v>10</v>
      </c>
      <c r="N56" s="58"/>
      <c r="O56" s="58"/>
      <c r="P56" s="58"/>
      <c r="Q56" s="58"/>
      <c r="S56" s="121">
        <f>L56*$H56/10^3</f>
        <v>250</v>
      </c>
      <c r="T56" s="121">
        <f t="shared" ref="T56:X58" si="84">M56*$H56/10^3</f>
        <v>250</v>
      </c>
      <c r="U56" s="121">
        <f t="shared" si="84"/>
        <v>0</v>
      </c>
      <c r="V56" s="121">
        <f t="shared" si="84"/>
        <v>0</v>
      </c>
      <c r="W56" s="121">
        <f t="shared" si="84"/>
        <v>0</v>
      </c>
      <c r="X56" s="121">
        <f t="shared" si="84"/>
        <v>0</v>
      </c>
      <c r="Y56" s="121">
        <f>R56*$H56/10^3</f>
        <v>0</v>
      </c>
      <c r="Z56" s="95">
        <f>S56/$J56</f>
        <v>35.714285714285715</v>
      </c>
      <c r="AA56" s="131">
        <f t="shared" ref="AA56:AE58" si="85">Z56+T56/$J56</f>
        <v>71.428571428571431</v>
      </c>
      <c r="AB56" s="131">
        <f t="shared" si="85"/>
        <v>71.428571428571431</v>
      </c>
      <c r="AC56" s="131">
        <f t="shared" si="85"/>
        <v>71.428571428571431</v>
      </c>
      <c r="AD56" s="131">
        <f t="shared" si="85"/>
        <v>71.428571428571431</v>
      </c>
      <c r="AE56" s="131">
        <f t="shared" si="85"/>
        <v>71.428571428571431</v>
      </c>
    </row>
    <row r="57" spans="1:31" outlineLevel="1" x14ac:dyDescent="0.2">
      <c r="B57" s="117" t="s">
        <v>325</v>
      </c>
      <c r="C57" s="118"/>
      <c r="D57" s="118"/>
      <c r="E57" s="138">
        <v>2</v>
      </c>
      <c r="F57" s="30" t="s">
        <v>18</v>
      </c>
      <c r="G57" s="119">
        <v>180000</v>
      </c>
      <c r="H57" s="119">
        <f>G57*$I$1</f>
        <v>180000</v>
      </c>
      <c r="I57" s="120">
        <f>E57*H57/10^3</f>
        <v>360</v>
      </c>
      <c r="J57" s="121">
        <v>7</v>
      </c>
      <c r="L57" s="63">
        <v>1</v>
      </c>
      <c r="M57" s="63">
        <v>1</v>
      </c>
      <c r="N57" s="58"/>
      <c r="O57" s="58"/>
      <c r="P57" s="58"/>
      <c r="Q57" s="58"/>
      <c r="S57" s="121">
        <f>L57*$H57/10^3</f>
        <v>180</v>
      </c>
      <c r="T57" s="121">
        <f t="shared" ref="T57" si="86">M57*$H57/10^3</f>
        <v>180</v>
      </c>
      <c r="U57" s="121">
        <f t="shared" ref="U57" si="87">N57*$H57/10^3</f>
        <v>0</v>
      </c>
      <c r="V57" s="121">
        <f t="shared" ref="V57" si="88">O57*$H57/10^3</f>
        <v>0</v>
      </c>
      <c r="W57" s="121">
        <f t="shared" ref="W57" si="89">P57*$H57/10^3</f>
        <v>0</v>
      </c>
      <c r="X57" s="121">
        <f t="shared" ref="X57" si="90">Q57*$H57/10^3</f>
        <v>0</v>
      </c>
      <c r="Y57" s="121">
        <f>R57*$H57/10^3</f>
        <v>0</v>
      </c>
      <c r="Z57" s="95">
        <f>S57/$J57</f>
        <v>25.714285714285715</v>
      </c>
      <c r="AA57" s="131">
        <f t="shared" ref="AA57" si="91">Z57+T57/$J57</f>
        <v>51.428571428571431</v>
      </c>
      <c r="AB57" s="131">
        <f t="shared" ref="AB57" si="92">AA57+U57/$J57</f>
        <v>51.428571428571431</v>
      </c>
      <c r="AC57" s="131">
        <f t="shared" ref="AC57" si="93">AB57+V57/$J57</f>
        <v>51.428571428571431</v>
      </c>
      <c r="AD57" s="131">
        <f t="shared" ref="AD57" si="94">AC57+W57/$J57</f>
        <v>51.428571428571431</v>
      </c>
      <c r="AE57" s="131">
        <f t="shared" ref="AE57" si="95">AD57+X57/$J57</f>
        <v>51.428571428571431</v>
      </c>
    </row>
    <row r="58" spans="1:31" outlineLevel="1" x14ac:dyDescent="0.2">
      <c r="B58" s="117" t="s">
        <v>47</v>
      </c>
      <c r="C58" s="118"/>
      <c r="D58" s="118"/>
      <c r="E58" s="138">
        <v>10</v>
      </c>
      <c r="F58" s="28" t="s">
        <v>18</v>
      </c>
      <c r="G58" s="119">
        <v>3500</v>
      </c>
      <c r="H58" s="119">
        <f>G58*$I$1</f>
        <v>3500</v>
      </c>
      <c r="I58" s="120">
        <f>E58*H58/10^3</f>
        <v>35</v>
      </c>
      <c r="J58" s="121">
        <v>7</v>
      </c>
      <c r="L58" s="63">
        <v>5</v>
      </c>
      <c r="M58" s="63">
        <v>5</v>
      </c>
      <c r="N58" s="58"/>
      <c r="O58" s="58"/>
      <c r="P58" s="58"/>
      <c r="Q58" s="58"/>
      <c r="S58" s="139">
        <f>L58*$H58/10^3</f>
        <v>17.5</v>
      </c>
      <c r="T58" s="139">
        <f t="shared" si="84"/>
        <v>17.5</v>
      </c>
      <c r="U58" s="139">
        <f t="shared" si="84"/>
        <v>0</v>
      </c>
      <c r="V58" s="139">
        <f t="shared" si="84"/>
        <v>0</v>
      </c>
      <c r="W58" s="139">
        <f t="shared" si="84"/>
        <v>0</v>
      </c>
      <c r="X58" s="139">
        <f t="shared" si="84"/>
        <v>0</v>
      </c>
      <c r="Y58" s="139">
        <f>R58*$H58/10^3</f>
        <v>0</v>
      </c>
      <c r="Z58" s="95">
        <f>S58/$J58</f>
        <v>2.5</v>
      </c>
      <c r="AA58" s="131">
        <f t="shared" si="85"/>
        <v>5</v>
      </c>
      <c r="AB58" s="131">
        <f t="shared" si="85"/>
        <v>5</v>
      </c>
      <c r="AC58" s="131">
        <f t="shared" si="85"/>
        <v>5</v>
      </c>
      <c r="AD58" s="131">
        <f t="shared" si="85"/>
        <v>5</v>
      </c>
      <c r="AE58" s="131">
        <f t="shared" si="85"/>
        <v>5</v>
      </c>
    </row>
    <row r="59" spans="1:31" s="112" customFormat="1" x14ac:dyDescent="0.2">
      <c r="B59" s="103" t="s">
        <v>12</v>
      </c>
      <c r="C59" s="103"/>
      <c r="D59" s="103"/>
      <c r="E59" s="104"/>
      <c r="F59" s="133"/>
      <c r="G59" s="106"/>
      <c r="H59" s="134"/>
      <c r="I59" s="108">
        <f>SUM(I42,I45,I46,I51:I55)</f>
        <v>15275.066666666668</v>
      </c>
      <c r="J59" s="109"/>
      <c r="K59" s="110"/>
      <c r="L59" s="111"/>
      <c r="M59" s="111"/>
      <c r="N59" s="111"/>
      <c r="O59" s="111"/>
      <c r="P59" s="111"/>
      <c r="Q59" s="111"/>
      <c r="R59" s="110"/>
      <c r="S59" s="109">
        <f>SUM(S42,S45,S46,S51:S55)</f>
        <v>1292.5</v>
      </c>
      <c r="T59" s="109">
        <f t="shared" ref="T59:X59" si="96">SUM(T42,T45,T46,T51:T55)</f>
        <v>6772.5666666666675</v>
      </c>
      <c r="U59" s="109">
        <f t="shared" si="96"/>
        <v>2272.9999999999991</v>
      </c>
      <c r="V59" s="109">
        <f t="shared" si="96"/>
        <v>2814.0000000000005</v>
      </c>
      <c r="W59" s="109">
        <f t="shared" si="96"/>
        <v>2123</v>
      </c>
      <c r="X59" s="109">
        <f t="shared" si="96"/>
        <v>0</v>
      </c>
      <c r="Y59" s="110"/>
      <c r="Z59" s="109">
        <f t="shared" ref="Z59:AE59" si="97">SUM(Z42,Z51:Z55)</f>
        <v>133.07142857142856</v>
      </c>
      <c r="AA59" s="109">
        <f t="shared" si="97"/>
        <v>1075.5809523809526</v>
      </c>
      <c r="AB59" s="109">
        <f t="shared" si="97"/>
        <v>1378.8666666666666</v>
      </c>
      <c r="AC59" s="109">
        <f t="shared" si="97"/>
        <v>1780.8666666666668</v>
      </c>
      <c r="AD59" s="109">
        <f t="shared" si="97"/>
        <v>2084.1523809523806</v>
      </c>
      <c r="AE59" s="109">
        <f t="shared" si="97"/>
        <v>2084.1523809523806</v>
      </c>
    </row>
    <row r="60" spans="1:31" ht="13.5" thickBot="1" x14ac:dyDescent="0.25">
      <c r="G60" s="114"/>
      <c r="I60" s="93"/>
      <c r="J60" s="114"/>
    </row>
    <row r="61" spans="1:31" s="8" customFormat="1" ht="15.95" customHeight="1" thickBot="1" x14ac:dyDescent="0.25">
      <c r="B61" s="73" t="s">
        <v>56</v>
      </c>
      <c r="C61" s="73"/>
      <c r="D61" s="73"/>
      <c r="E61" s="74"/>
      <c r="F61" s="75"/>
      <c r="G61" s="115"/>
      <c r="H61" s="77"/>
      <c r="I61" s="116"/>
      <c r="J61" s="78"/>
      <c r="K61" s="7"/>
      <c r="L61" s="79"/>
      <c r="M61" s="79"/>
      <c r="N61" s="79"/>
      <c r="O61" s="79"/>
      <c r="P61" s="79"/>
      <c r="Q61" s="79"/>
      <c r="R61" s="7"/>
      <c r="S61" s="80"/>
      <c r="T61" s="80"/>
      <c r="U61" s="80"/>
      <c r="V61" s="80"/>
      <c r="W61" s="80"/>
      <c r="X61" s="80"/>
      <c r="Y61" s="7"/>
      <c r="Z61" s="80"/>
      <c r="AA61" s="80"/>
      <c r="AB61" s="80"/>
      <c r="AC61" s="80"/>
      <c r="AD61" s="80"/>
      <c r="AE61" s="80"/>
    </row>
    <row r="62" spans="1:31" x14ac:dyDescent="0.2">
      <c r="A62" s="140"/>
      <c r="B62" s="5" t="s">
        <v>40</v>
      </c>
      <c r="C62" s="5"/>
      <c r="D62" s="5"/>
      <c r="E62" s="35">
        <v>1</v>
      </c>
      <c r="F62" s="29"/>
      <c r="G62" s="10">
        <v>25000</v>
      </c>
      <c r="H62" s="137">
        <f>G62*$I$1</f>
        <v>25000</v>
      </c>
      <c r="I62" s="56">
        <f>E62*H62/10^3</f>
        <v>25</v>
      </c>
      <c r="J62" s="26">
        <v>20</v>
      </c>
      <c r="L62" s="25">
        <v>1</v>
      </c>
      <c r="M62" s="35"/>
      <c r="N62" s="35"/>
      <c r="O62" s="35"/>
      <c r="P62" s="35"/>
      <c r="Q62" s="35"/>
      <c r="S62" s="10">
        <f t="shared" ref="S62:S85" si="98">L62*$H62/10^3</f>
        <v>25</v>
      </c>
      <c r="T62" s="10">
        <f t="shared" ref="T62:T85" si="99">M62*$H62/10^3</f>
        <v>0</v>
      </c>
      <c r="U62" s="10">
        <f t="shared" ref="U62:U85" si="100">N62*$H62/10^3</f>
        <v>0</v>
      </c>
      <c r="V62" s="10">
        <f t="shared" ref="V62:V85" si="101">O62*$H62/10^3</f>
        <v>0</v>
      </c>
      <c r="W62" s="10">
        <f t="shared" ref="W62:W85" si="102">P62*$H62/10^3</f>
        <v>0</v>
      </c>
      <c r="X62" s="10">
        <f t="shared" ref="X62:X85" si="103">Q62*$H62/10^3</f>
        <v>0</v>
      </c>
      <c r="Z62" s="10">
        <f t="shared" ref="Z62:Z85" si="104">S62/$J62</f>
        <v>1.25</v>
      </c>
      <c r="AA62" s="37">
        <f t="shared" ref="AA62:AA85" si="105">Z62+T62/$J62</f>
        <v>1.25</v>
      </c>
      <c r="AB62" s="37">
        <f t="shared" ref="AB62:AB85" si="106">AA62+U62/$J62</f>
        <v>1.25</v>
      </c>
      <c r="AC62" s="37">
        <f t="shared" ref="AC62:AC85" si="107">AB62+V62/$J62</f>
        <v>1.25</v>
      </c>
      <c r="AD62" s="37">
        <f t="shared" ref="AD62:AE78" si="108">AC62+W62/$J62</f>
        <v>1.25</v>
      </c>
      <c r="AE62" s="37">
        <f t="shared" si="108"/>
        <v>1.25</v>
      </c>
    </row>
    <row r="63" spans="1:31" x14ac:dyDescent="0.2">
      <c r="A63" s="140"/>
      <c r="B63" s="5" t="s">
        <v>57</v>
      </c>
      <c r="C63" s="5"/>
      <c r="D63" s="5"/>
      <c r="E63" s="35">
        <v>1</v>
      </c>
      <c r="F63" s="29"/>
      <c r="G63" s="10">
        <v>12500</v>
      </c>
      <c r="H63" s="137">
        <f t="shared" ref="H63:H85" si="109">G63*$I$1</f>
        <v>12500</v>
      </c>
      <c r="I63" s="56">
        <f t="shared" ref="I63:I85" si="110">E63*H63/10^3</f>
        <v>12.5</v>
      </c>
      <c r="J63" s="26">
        <v>20</v>
      </c>
      <c r="L63" s="25">
        <v>1</v>
      </c>
      <c r="M63" s="35"/>
      <c r="N63" s="35"/>
      <c r="O63" s="35"/>
      <c r="P63" s="35"/>
      <c r="Q63" s="35"/>
      <c r="S63" s="10">
        <f t="shared" si="98"/>
        <v>12.5</v>
      </c>
      <c r="T63" s="10">
        <f t="shared" si="99"/>
        <v>0</v>
      </c>
      <c r="U63" s="10">
        <f t="shared" si="100"/>
        <v>0</v>
      </c>
      <c r="V63" s="10">
        <f t="shared" si="101"/>
        <v>0</v>
      </c>
      <c r="W63" s="10">
        <f t="shared" si="102"/>
        <v>0</v>
      </c>
      <c r="X63" s="10">
        <f t="shared" si="103"/>
        <v>0</v>
      </c>
      <c r="Z63" s="10">
        <f t="shared" si="104"/>
        <v>0.625</v>
      </c>
      <c r="AA63" s="37">
        <f t="shared" si="105"/>
        <v>0.625</v>
      </c>
      <c r="AB63" s="37">
        <f t="shared" si="106"/>
        <v>0.625</v>
      </c>
      <c r="AC63" s="37">
        <f t="shared" si="107"/>
        <v>0.625</v>
      </c>
      <c r="AD63" s="37">
        <f t="shared" si="108"/>
        <v>0.625</v>
      </c>
      <c r="AE63" s="37">
        <f t="shared" ref="AE63:AE85" si="111">AD63+X63/$J63</f>
        <v>0.625</v>
      </c>
    </row>
    <row r="64" spans="1:31" x14ac:dyDescent="0.2">
      <c r="A64" s="140"/>
      <c r="B64" s="5" t="s">
        <v>215</v>
      </c>
      <c r="C64" s="5"/>
      <c r="D64" s="5"/>
      <c r="E64" s="35">
        <v>1</v>
      </c>
      <c r="F64" s="29"/>
      <c r="G64" s="10">
        <v>1300000</v>
      </c>
      <c r="H64" s="137">
        <f t="shared" si="109"/>
        <v>1300000</v>
      </c>
      <c r="I64" s="56">
        <f t="shared" si="110"/>
        <v>1300</v>
      </c>
      <c r="J64" s="26">
        <v>20</v>
      </c>
      <c r="L64" s="25">
        <v>1</v>
      </c>
      <c r="M64" s="35"/>
      <c r="N64" s="35"/>
      <c r="O64" s="35"/>
      <c r="P64" s="35"/>
      <c r="Q64" s="35"/>
      <c r="S64" s="10">
        <f t="shared" si="98"/>
        <v>1300</v>
      </c>
      <c r="T64" s="10">
        <f t="shared" si="99"/>
        <v>0</v>
      </c>
      <c r="U64" s="10">
        <f t="shared" si="100"/>
        <v>0</v>
      </c>
      <c r="V64" s="10">
        <f t="shared" si="101"/>
        <v>0</v>
      </c>
      <c r="W64" s="10">
        <f t="shared" si="102"/>
        <v>0</v>
      </c>
      <c r="X64" s="10">
        <f t="shared" si="103"/>
        <v>0</v>
      </c>
      <c r="Z64" s="10">
        <f t="shared" si="104"/>
        <v>65</v>
      </c>
      <c r="AA64" s="37">
        <f t="shared" si="105"/>
        <v>65</v>
      </c>
      <c r="AB64" s="37">
        <f t="shared" si="106"/>
        <v>65</v>
      </c>
      <c r="AC64" s="37">
        <f t="shared" si="107"/>
        <v>65</v>
      </c>
      <c r="AD64" s="37">
        <f t="shared" si="108"/>
        <v>65</v>
      </c>
      <c r="AE64" s="37">
        <f t="shared" si="111"/>
        <v>65</v>
      </c>
    </row>
    <row r="65" spans="1:31" x14ac:dyDescent="0.2">
      <c r="A65" s="140"/>
      <c r="B65" s="5" t="s">
        <v>58</v>
      </c>
      <c r="C65" s="5"/>
      <c r="D65" s="5"/>
      <c r="E65" s="35">
        <v>1</v>
      </c>
      <c r="F65" s="29"/>
      <c r="G65" s="10">
        <v>562500</v>
      </c>
      <c r="H65" s="137">
        <f t="shared" si="109"/>
        <v>562500</v>
      </c>
      <c r="I65" s="56">
        <f t="shared" si="110"/>
        <v>562.5</v>
      </c>
      <c r="J65" s="26">
        <v>20</v>
      </c>
      <c r="L65" s="25">
        <v>1</v>
      </c>
      <c r="M65" s="35"/>
      <c r="N65" s="35"/>
      <c r="O65" s="35"/>
      <c r="P65" s="35"/>
      <c r="Q65" s="35"/>
      <c r="S65" s="10">
        <f t="shared" si="98"/>
        <v>562.5</v>
      </c>
      <c r="T65" s="10">
        <f t="shared" si="99"/>
        <v>0</v>
      </c>
      <c r="U65" s="10">
        <f t="shared" si="100"/>
        <v>0</v>
      </c>
      <c r="V65" s="10">
        <f t="shared" si="101"/>
        <v>0</v>
      </c>
      <c r="W65" s="10">
        <f t="shared" si="102"/>
        <v>0</v>
      </c>
      <c r="X65" s="10">
        <f t="shared" si="103"/>
        <v>0</v>
      </c>
      <c r="Z65" s="10">
        <f t="shared" si="104"/>
        <v>28.125</v>
      </c>
      <c r="AA65" s="37">
        <f t="shared" si="105"/>
        <v>28.125</v>
      </c>
      <c r="AB65" s="37">
        <f t="shared" si="106"/>
        <v>28.125</v>
      </c>
      <c r="AC65" s="37">
        <f t="shared" si="107"/>
        <v>28.125</v>
      </c>
      <c r="AD65" s="37">
        <f t="shared" si="108"/>
        <v>28.125</v>
      </c>
      <c r="AE65" s="37">
        <f t="shared" si="111"/>
        <v>28.125</v>
      </c>
    </row>
    <row r="66" spans="1:31" x14ac:dyDescent="0.2">
      <c r="A66" s="140"/>
      <c r="B66" s="5" t="s">
        <v>59</v>
      </c>
      <c r="C66" s="5"/>
      <c r="D66" s="5"/>
      <c r="E66" s="35">
        <v>1</v>
      </c>
      <c r="F66" s="29"/>
      <c r="G66" s="10">
        <v>125000</v>
      </c>
      <c r="H66" s="137">
        <f t="shared" si="109"/>
        <v>125000</v>
      </c>
      <c r="I66" s="56">
        <f t="shared" si="110"/>
        <v>125</v>
      </c>
      <c r="J66" s="26">
        <v>20</v>
      </c>
      <c r="L66" s="25">
        <v>1</v>
      </c>
      <c r="M66" s="35"/>
      <c r="N66" s="35"/>
      <c r="O66" s="35"/>
      <c r="P66" s="35"/>
      <c r="Q66" s="35"/>
      <c r="S66" s="10">
        <f t="shared" si="98"/>
        <v>125</v>
      </c>
      <c r="T66" s="10">
        <f t="shared" si="99"/>
        <v>0</v>
      </c>
      <c r="U66" s="10">
        <f t="shared" si="100"/>
        <v>0</v>
      </c>
      <c r="V66" s="10">
        <f t="shared" si="101"/>
        <v>0</v>
      </c>
      <c r="W66" s="10">
        <f t="shared" si="102"/>
        <v>0</v>
      </c>
      <c r="X66" s="10">
        <f t="shared" si="103"/>
        <v>0</v>
      </c>
      <c r="Z66" s="10">
        <f t="shared" si="104"/>
        <v>6.25</v>
      </c>
      <c r="AA66" s="37">
        <f t="shared" si="105"/>
        <v>6.25</v>
      </c>
      <c r="AB66" s="37">
        <f t="shared" si="106"/>
        <v>6.25</v>
      </c>
      <c r="AC66" s="37">
        <f t="shared" si="107"/>
        <v>6.25</v>
      </c>
      <c r="AD66" s="37">
        <f t="shared" si="108"/>
        <v>6.25</v>
      </c>
      <c r="AE66" s="37">
        <f t="shared" si="111"/>
        <v>6.25</v>
      </c>
    </row>
    <row r="67" spans="1:31" x14ac:dyDescent="0.2">
      <c r="A67" s="140"/>
      <c r="B67" s="5" t="s">
        <v>60</v>
      </c>
      <c r="C67" s="5"/>
      <c r="D67" s="5"/>
      <c r="E67" s="35">
        <v>3</v>
      </c>
      <c r="F67" s="29"/>
      <c r="G67" s="10">
        <v>75000</v>
      </c>
      <c r="H67" s="137">
        <f t="shared" si="109"/>
        <v>75000</v>
      </c>
      <c r="I67" s="56">
        <f t="shared" si="110"/>
        <v>225</v>
      </c>
      <c r="J67" s="26">
        <v>20</v>
      </c>
      <c r="L67" s="25">
        <v>3</v>
      </c>
      <c r="M67" s="35"/>
      <c r="N67" s="35"/>
      <c r="O67" s="35"/>
      <c r="P67" s="35"/>
      <c r="Q67" s="35"/>
      <c r="S67" s="10">
        <f t="shared" si="98"/>
        <v>225</v>
      </c>
      <c r="T67" s="10">
        <f t="shared" si="99"/>
        <v>0</v>
      </c>
      <c r="U67" s="10">
        <f t="shared" si="100"/>
        <v>0</v>
      </c>
      <c r="V67" s="10">
        <f t="shared" si="101"/>
        <v>0</v>
      </c>
      <c r="W67" s="10">
        <f t="shared" si="102"/>
        <v>0</v>
      </c>
      <c r="X67" s="10">
        <f t="shared" si="103"/>
        <v>0</v>
      </c>
      <c r="Z67" s="10">
        <f t="shared" si="104"/>
        <v>11.25</v>
      </c>
      <c r="AA67" s="37">
        <f t="shared" si="105"/>
        <v>11.25</v>
      </c>
      <c r="AB67" s="37">
        <f t="shared" si="106"/>
        <v>11.25</v>
      </c>
      <c r="AC67" s="37">
        <f t="shared" si="107"/>
        <v>11.25</v>
      </c>
      <c r="AD67" s="37">
        <f t="shared" si="108"/>
        <v>11.25</v>
      </c>
      <c r="AE67" s="37">
        <f t="shared" si="111"/>
        <v>11.25</v>
      </c>
    </row>
    <row r="68" spans="1:31" x14ac:dyDescent="0.2">
      <c r="A68" s="140"/>
      <c r="B68" s="5" t="s">
        <v>119</v>
      </c>
      <c r="C68" s="5"/>
      <c r="D68" s="5"/>
      <c r="E68" s="35">
        <v>7</v>
      </c>
      <c r="F68" s="29"/>
      <c r="G68" s="10">
        <v>25000</v>
      </c>
      <c r="H68" s="137">
        <f t="shared" si="109"/>
        <v>25000</v>
      </c>
      <c r="I68" s="56">
        <f t="shared" si="110"/>
        <v>175</v>
      </c>
      <c r="J68" s="26">
        <v>20</v>
      </c>
      <c r="L68" s="25">
        <v>3</v>
      </c>
      <c r="M68" s="35">
        <v>4</v>
      </c>
      <c r="N68" s="35"/>
      <c r="O68" s="35"/>
      <c r="P68" s="35"/>
      <c r="Q68" s="35"/>
      <c r="S68" s="10">
        <f t="shared" si="98"/>
        <v>75</v>
      </c>
      <c r="T68" s="10">
        <f t="shared" si="99"/>
        <v>100</v>
      </c>
      <c r="U68" s="10">
        <f t="shared" si="100"/>
        <v>0</v>
      </c>
      <c r="V68" s="10">
        <f t="shared" si="101"/>
        <v>0</v>
      </c>
      <c r="W68" s="10">
        <f t="shared" si="102"/>
        <v>0</v>
      </c>
      <c r="X68" s="10">
        <f t="shared" si="103"/>
        <v>0</v>
      </c>
      <c r="Z68" s="10">
        <f t="shared" si="104"/>
        <v>3.75</v>
      </c>
      <c r="AA68" s="37">
        <f t="shared" si="105"/>
        <v>8.75</v>
      </c>
      <c r="AB68" s="37">
        <f t="shared" si="106"/>
        <v>8.75</v>
      </c>
      <c r="AC68" s="37">
        <f t="shared" si="107"/>
        <v>8.75</v>
      </c>
      <c r="AD68" s="37">
        <f t="shared" si="108"/>
        <v>8.75</v>
      </c>
      <c r="AE68" s="37">
        <f t="shared" si="111"/>
        <v>8.75</v>
      </c>
    </row>
    <row r="69" spans="1:31" x14ac:dyDescent="0.2">
      <c r="A69" s="140"/>
      <c r="B69" s="5" t="s">
        <v>120</v>
      </c>
      <c r="C69" s="5"/>
      <c r="D69" s="5"/>
      <c r="E69" s="35">
        <v>7</v>
      </c>
      <c r="F69" s="29"/>
      <c r="G69" s="10">
        <v>25000</v>
      </c>
      <c r="H69" s="137">
        <f t="shared" si="109"/>
        <v>25000</v>
      </c>
      <c r="I69" s="56">
        <f t="shared" si="110"/>
        <v>175</v>
      </c>
      <c r="J69" s="26">
        <v>20</v>
      </c>
      <c r="L69" s="25">
        <v>3</v>
      </c>
      <c r="M69" s="35">
        <v>4</v>
      </c>
      <c r="N69" s="35"/>
      <c r="O69" s="35"/>
      <c r="P69" s="35"/>
      <c r="Q69" s="35"/>
      <c r="S69" s="10">
        <f t="shared" si="98"/>
        <v>75</v>
      </c>
      <c r="T69" s="10">
        <f t="shared" si="99"/>
        <v>100</v>
      </c>
      <c r="U69" s="10">
        <f t="shared" si="100"/>
        <v>0</v>
      </c>
      <c r="V69" s="10">
        <f t="shared" si="101"/>
        <v>0</v>
      </c>
      <c r="W69" s="10">
        <f t="shared" si="102"/>
        <v>0</v>
      </c>
      <c r="X69" s="10">
        <f t="shared" si="103"/>
        <v>0</v>
      </c>
      <c r="Z69" s="10">
        <f t="shared" si="104"/>
        <v>3.75</v>
      </c>
      <c r="AA69" s="37">
        <f t="shared" si="105"/>
        <v>8.75</v>
      </c>
      <c r="AB69" s="37">
        <f t="shared" si="106"/>
        <v>8.75</v>
      </c>
      <c r="AC69" s="37">
        <f t="shared" si="107"/>
        <v>8.75</v>
      </c>
      <c r="AD69" s="37">
        <f t="shared" si="108"/>
        <v>8.75</v>
      </c>
      <c r="AE69" s="37">
        <f t="shared" si="111"/>
        <v>8.75</v>
      </c>
    </row>
    <row r="70" spans="1:31" x14ac:dyDescent="0.2">
      <c r="A70" s="140"/>
      <c r="B70" s="5" t="s">
        <v>61</v>
      </c>
      <c r="C70" s="5"/>
      <c r="D70" s="5"/>
      <c r="E70" s="35">
        <v>1</v>
      </c>
      <c r="F70" s="29"/>
      <c r="G70" s="10">
        <v>187500</v>
      </c>
      <c r="H70" s="137">
        <f t="shared" si="109"/>
        <v>187500</v>
      </c>
      <c r="I70" s="56">
        <f t="shared" si="110"/>
        <v>187.5</v>
      </c>
      <c r="J70" s="26">
        <v>20</v>
      </c>
      <c r="L70" s="25">
        <v>1</v>
      </c>
      <c r="M70" s="35"/>
      <c r="N70" s="35"/>
      <c r="O70" s="35"/>
      <c r="P70" s="35"/>
      <c r="Q70" s="35"/>
      <c r="S70" s="10">
        <f t="shared" si="98"/>
        <v>187.5</v>
      </c>
      <c r="T70" s="10">
        <f t="shared" si="99"/>
        <v>0</v>
      </c>
      <c r="U70" s="10">
        <f t="shared" si="100"/>
        <v>0</v>
      </c>
      <c r="V70" s="10">
        <f t="shared" si="101"/>
        <v>0</v>
      </c>
      <c r="W70" s="10">
        <f t="shared" si="102"/>
        <v>0</v>
      </c>
      <c r="X70" s="10">
        <f t="shared" si="103"/>
        <v>0</v>
      </c>
      <c r="Z70" s="10">
        <f t="shared" si="104"/>
        <v>9.375</v>
      </c>
      <c r="AA70" s="37">
        <f t="shared" si="105"/>
        <v>9.375</v>
      </c>
      <c r="AB70" s="37">
        <f t="shared" si="106"/>
        <v>9.375</v>
      </c>
      <c r="AC70" s="37">
        <f t="shared" si="107"/>
        <v>9.375</v>
      </c>
      <c r="AD70" s="37">
        <f t="shared" si="108"/>
        <v>9.375</v>
      </c>
      <c r="AE70" s="37">
        <f t="shared" si="111"/>
        <v>9.375</v>
      </c>
    </row>
    <row r="71" spans="1:31" x14ac:dyDescent="0.2">
      <c r="A71" s="140"/>
      <c r="B71" s="5" t="s">
        <v>62</v>
      </c>
      <c r="C71" s="5"/>
      <c r="D71" s="5"/>
      <c r="E71" s="35">
        <v>1</v>
      </c>
      <c r="F71" s="29"/>
      <c r="G71" s="10">
        <v>62500</v>
      </c>
      <c r="H71" s="137">
        <f t="shared" si="109"/>
        <v>62500</v>
      </c>
      <c r="I71" s="56">
        <f t="shared" si="110"/>
        <v>62.5</v>
      </c>
      <c r="J71" s="26">
        <v>20</v>
      </c>
      <c r="L71" s="25">
        <v>1</v>
      </c>
      <c r="M71" s="35"/>
      <c r="N71" s="35"/>
      <c r="O71" s="35"/>
      <c r="P71" s="35"/>
      <c r="Q71" s="35"/>
      <c r="S71" s="10">
        <f t="shared" si="98"/>
        <v>62.5</v>
      </c>
      <c r="T71" s="10">
        <f t="shared" si="99"/>
        <v>0</v>
      </c>
      <c r="U71" s="10">
        <f t="shared" si="100"/>
        <v>0</v>
      </c>
      <c r="V71" s="10">
        <f t="shared" si="101"/>
        <v>0</v>
      </c>
      <c r="W71" s="10">
        <f t="shared" si="102"/>
        <v>0</v>
      </c>
      <c r="X71" s="10">
        <f t="shared" si="103"/>
        <v>0</v>
      </c>
      <c r="Z71" s="10">
        <f t="shared" si="104"/>
        <v>3.125</v>
      </c>
      <c r="AA71" s="37">
        <f t="shared" si="105"/>
        <v>3.125</v>
      </c>
      <c r="AB71" s="37">
        <f t="shared" si="106"/>
        <v>3.125</v>
      </c>
      <c r="AC71" s="37">
        <f t="shared" si="107"/>
        <v>3.125</v>
      </c>
      <c r="AD71" s="37">
        <f t="shared" si="108"/>
        <v>3.125</v>
      </c>
      <c r="AE71" s="37">
        <f t="shared" si="111"/>
        <v>3.125</v>
      </c>
    </row>
    <row r="72" spans="1:31" x14ac:dyDescent="0.2">
      <c r="A72" s="140"/>
      <c r="B72" s="5" t="s">
        <v>63</v>
      </c>
      <c r="C72" s="5"/>
      <c r="D72" s="5"/>
      <c r="E72" s="35">
        <v>1</v>
      </c>
      <c r="F72" s="29"/>
      <c r="G72" s="10">
        <v>12500</v>
      </c>
      <c r="H72" s="137">
        <f t="shared" si="109"/>
        <v>12500</v>
      </c>
      <c r="I72" s="56">
        <f t="shared" si="110"/>
        <v>12.5</v>
      </c>
      <c r="J72" s="26">
        <v>20</v>
      </c>
      <c r="L72" s="25">
        <v>1</v>
      </c>
      <c r="M72" s="35"/>
      <c r="N72" s="35"/>
      <c r="O72" s="35"/>
      <c r="P72" s="35"/>
      <c r="Q72" s="35"/>
      <c r="S72" s="10">
        <f t="shared" si="98"/>
        <v>12.5</v>
      </c>
      <c r="T72" s="10">
        <f t="shared" si="99"/>
        <v>0</v>
      </c>
      <c r="U72" s="10">
        <f t="shared" si="100"/>
        <v>0</v>
      </c>
      <c r="V72" s="10">
        <f t="shared" si="101"/>
        <v>0</v>
      </c>
      <c r="W72" s="10">
        <f t="shared" si="102"/>
        <v>0</v>
      </c>
      <c r="X72" s="10">
        <f t="shared" si="103"/>
        <v>0</v>
      </c>
      <c r="Z72" s="10">
        <f t="shared" si="104"/>
        <v>0.625</v>
      </c>
      <c r="AA72" s="37">
        <f t="shared" si="105"/>
        <v>0.625</v>
      </c>
      <c r="AB72" s="37">
        <f t="shared" si="106"/>
        <v>0.625</v>
      </c>
      <c r="AC72" s="37">
        <f t="shared" si="107"/>
        <v>0.625</v>
      </c>
      <c r="AD72" s="37">
        <f t="shared" si="108"/>
        <v>0.625</v>
      </c>
      <c r="AE72" s="37">
        <f t="shared" si="111"/>
        <v>0.625</v>
      </c>
    </row>
    <row r="73" spans="1:31" x14ac:dyDescent="0.2">
      <c r="A73" s="140"/>
      <c r="B73" s="5" t="s">
        <v>64</v>
      </c>
      <c r="C73" s="5"/>
      <c r="D73" s="5"/>
      <c r="E73" s="35">
        <v>1</v>
      </c>
      <c r="F73" s="29"/>
      <c r="G73" s="10">
        <v>6250</v>
      </c>
      <c r="H73" s="137">
        <f t="shared" si="109"/>
        <v>6250</v>
      </c>
      <c r="I73" s="56">
        <f t="shared" si="110"/>
        <v>6.25</v>
      </c>
      <c r="J73" s="26">
        <v>20</v>
      </c>
      <c r="L73" s="25">
        <v>1</v>
      </c>
      <c r="M73" s="35"/>
      <c r="N73" s="35"/>
      <c r="O73" s="35"/>
      <c r="P73" s="35"/>
      <c r="Q73" s="35"/>
      <c r="S73" s="10">
        <f t="shared" si="98"/>
        <v>6.25</v>
      </c>
      <c r="T73" s="10">
        <f t="shared" si="99"/>
        <v>0</v>
      </c>
      <c r="U73" s="10">
        <f t="shared" si="100"/>
        <v>0</v>
      </c>
      <c r="V73" s="10">
        <f t="shared" si="101"/>
        <v>0</v>
      </c>
      <c r="W73" s="10">
        <f t="shared" si="102"/>
        <v>0</v>
      </c>
      <c r="X73" s="10">
        <f t="shared" si="103"/>
        <v>0</v>
      </c>
      <c r="Z73" s="10">
        <f t="shared" si="104"/>
        <v>0.3125</v>
      </c>
      <c r="AA73" s="37">
        <f t="shared" si="105"/>
        <v>0.3125</v>
      </c>
      <c r="AB73" s="37">
        <f t="shared" si="106"/>
        <v>0.3125</v>
      </c>
      <c r="AC73" s="37">
        <f t="shared" si="107"/>
        <v>0.3125</v>
      </c>
      <c r="AD73" s="37">
        <f t="shared" si="108"/>
        <v>0.3125</v>
      </c>
      <c r="AE73" s="37">
        <f t="shared" si="111"/>
        <v>0.3125</v>
      </c>
    </row>
    <row r="74" spans="1:31" x14ac:dyDescent="0.2">
      <c r="A74" s="140"/>
      <c r="B74" s="5" t="s">
        <v>65</v>
      </c>
      <c r="C74" s="5"/>
      <c r="D74" s="5"/>
      <c r="E74" s="35">
        <v>1</v>
      </c>
      <c r="F74" s="29"/>
      <c r="G74" s="10">
        <v>37500</v>
      </c>
      <c r="H74" s="137">
        <f t="shared" si="109"/>
        <v>37500</v>
      </c>
      <c r="I74" s="56">
        <f t="shared" si="110"/>
        <v>37.5</v>
      </c>
      <c r="J74" s="26">
        <v>20</v>
      </c>
      <c r="L74" s="25">
        <v>1</v>
      </c>
      <c r="M74" s="35"/>
      <c r="N74" s="35"/>
      <c r="O74" s="35"/>
      <c r="P74" s="35"/>
      <c r="Q74" s="35"/>
      <c r="S74" s="10">
        <f t="shared" si="98"/>
        <v>37.5</v>
      </c>
      <c r="T74" s="10">
        <f t="shared" si="99"/>
        <v>0</v>
      </c>
      <c r="U74" s="10">
        <f t="shared" si="100"/>
        <v>0</v>
      </c>
      <c r="V74" s="10">
        <f t="shared" si="101"/>
        <v>0</v>
      </c>
      <c r="W74" s="10">
        <f t="shared" si="102"/>
        <v>0</v>
      </c>
      <c r="X74" s="10">
        <f t="shared" si="103"/>
        <v>0</v>
      </c>
      <c r="Z74" s="10">
        <f t="shared" si="104"/>
        <v>1.875</v>
      </c>
      <c r="AA74" s="37">
        <f t="shared" si="105"/>
        <v>1.875</v>
      </c>
      <c r="AB74" s="37">
        <f t="shared" si="106"/>
        <v>1.875</v>
      </c>
      <c r="AC74" s="37">
        <f t="shared" si="107"/>
        <v>1.875</v>
      </c>
      <c r="AD74" s="37">
        <f t="shared" si="108"/>
        <v>1.875</v>
      </c>
      <c r="AE74" s="37">
        <f t="shared" si="111"/>
        <v>1.875</v>
      </c>
    </row>
    <row r="75" spans="1:31" x14ac:dyDescent="0.2">
      <c r="A75" s="140"/>
      <c r="B75" s="5" t="s">
        <v>66</v>
      </c>
      <c r="C75" s="5"/>
      <c r="D75" s="5"/>
      <c r="E75" s="35">
        <v>1</v>
      </c>
      <c r="F75" s="29"/>
      <c r="G75" s="10">
        <v>75000</v>
      </c>
      <c r="H75" s="137">
        <f t="shared" si="109"/>
        <v>75000</v>
      </c>
      <c r="I75" s="56">
        <f t="shared" si="110"/>
        <v>75</v>
      </c>
      <c r="J75" s="26">
        <v>20</v>
      </c>
      <c r="L75" s="25">
        <v>1</v>
      </c>
      <c r="M75" s="35"/>
      <c r="N75" s="35"/>
      <c r="O75" s="35"/>
      <c r="P75" s="35"/>
      <c r="Q75" s="35"/>
      <c r="S75" s="10">
        <f t="shared" si="98"/>
        <v>75</v>
      </c>
      <c r="T75" s="10">
        <f t="shared" si="99"/>
        <v>0</v>
      </c>
      <c r="U75" s="10">
        <f t="shared" si="100"/>
        <v>0</v>
      </c>
      <c r="V75" s="10">
        <f t="shared" si="101"/>
        <v>0</v>
      </c>
      <c r="W75" s="10">
        <f t="shared" si="102"/>
        <v>0</v>
      </c>
      <c r="X75" s="10">
        <f t="shared" si="103"/>
        <v>0</v>
      </c>
      <c r="Z75" s="10">
        <f t="shared" si="104"/>
        <v>3.75</v>
      </c>
      <c r="AA75" s="37">
        <f t="shared" si="105"/>
        <v>3.75</v>
      </c>
      <c r="AB75" s="37">
        <f t="shared" si="106"/>
        <v>3.75</v>
      </c>
      <c r="AC75" s="37">
        <f t="shared" si="107"/>
        <v>3.75</v>
      </c>
      <c r="AD75" s="37">
        <f t="shared" si="108"/>
        <v>3.75</v>
      </c>
      <c r="AE75" s="37">
        <f t="shared" si="111"/>
        <v>3.75</v>
      </c>
    </row>
    <row r="76" spans="1:31" x14ac:dyDescent="0.2">
      <c r="A76" s="140"/>
      <c r="B76" s="5" t="s">
        <v>67</v>
      </c>
      <c r="C76" s="5"/>
      <c r="D76" s="5"/>
      <c r="E76" s="35">
        <v>1</v>
      </c>
      <c r="F76" s="29"/>
      <c r="G76" s="10">
        <v>75000</v>
      </c>
      <c r="H76" s="137">
        <f t="shared" si="109"/>
        <v>75000</v>
      </c>
      <c r="I76" s="56">
        <f t="shared" si="110"/>
        <v>75</v>
      </c>
      <c r="J76" s="26">
        <v>20</v>
      </c>
      <c r="L76" s="25">
        <v>1</v>
      </c>
      <c r="M76" s="35"/>
      <c r="N76" s="35"/>
      <c r="O76" s="35"/>
      <c r="P76" s="35"/>
      <c r="Q76" s="35"/>
      <c r="S76" s="10">
        <f t="shared" si="98"/>
        <v>75</v>
      </c>
      <c r="T76" s="10">
        <f t="shared" si="99"/>
        <v>0</v>
      </c>
      <c r="U76" s="10">
        <f t="shared" si="100"/>
        <v>0</v>
      </c>
      <c r="V76" s="10">
        <f t="shared" si="101"/>
        <v>0</v>
      </c>
      <c r="W76" s="10">
        <f t="shared" si="102"/>
        <v>0</v>
      </c>
      <c r="X76" s="10">
        <f t="shared" si="103"/>
        <v>0</v>
      </c>
      <c r="Z76" s="10">
        <f>S76/$J76</f>
        <v>3.75</v>
      </c>
      <c r="AA76" s="37">
        <f>Z76+T76/$J76</f>
        <v>3.75</v>
      </c>
      <c r="AB76" s="37">
        <f>AA76+U76/$J76</f>
        <v>3.75</v>
      </c>
      <c r="AC76" s="37">
        <f>AB76+V76/$J76</f>
        <v>3.75</v>
      </c>
      <c r="AD76" s="37">
        <f>AC76+W76/$J76</f>
        <v>3.75</v>
      </c>
      <c r="AE76" s="37">
        <f>AD76+X76/$J76</f>
        <v>3.75</v>
      </c>
    </row>
    <row r="77" spans="1:31" x14ac:dyDescent="0.2">
      <c r="A77" s="140"/>
      <c r="B77" s="5" t="s">
        <v>68</v>
      </c>
      <c r="C77" s="5"/>
      <c r="D77" s="5"/>
      <c r="E77" s="35">
        <v>1</v>
      </c>
      <c r="F77" s="29"/>
      <c r="G77" s="10">
        <v>37500</v>
      </c>
      <c r="H77" s="137">
        <f t="shared" si="109"/>
        <v>37500</v>
      </c>
      <c r="I77" s="56">
        <f t="shared" si="110"/>
        <v>37.5</v>
      </c>
      <c r="J77" s="26">
        <v>20</v>
      </c>
      <c r="L77" s="25">
        <v>1</v>
      </c>
      <c r="M77" s="35"/>
      <c r="N77" s="35"/>
      <c r="O77" s="35"/>
      <c r="P77" s="35"/>
      <c r="Q77" s="35"/>
      <c r="S77" s="10">
        <f t="shared" si="98"/>
        <v>37.5</v>
      </c>
      <c r="T77" s="10">
        <f t="shared" si="99"/>
        <v>0</v>
      </c>
      <c r="U77" s="10">
        <f t="shared" si="100"/>
        <v>0</v>
      </c>
      <c r="V77" s="10">
        <f t="shared" si="101"/>
        <v>0</v>
      </c>
      <c r="W77" s="10">
        <f t="shared" si="102"/>
        <v>0</v>
      </c>
      <c r="X77" s="10">
        <f t="shared" si="103"/>
        <v>0</v>
      </c>
      <c r="Z77" s="10">
        <f t="shared" si="104"/>
        <v>1.875</v>
      </c>
      <c r="AA77" s="37">
        <f t="shared" si="105"/>
        <v>1.875</v>
      </c>
      <c r="AB77" s="37">
        <f t="shared" si="106"/>
        <v>1.875</v>
      </c>
      <c r="AC77" s="37">
        <f t="shared" si="107"/>
        <v>1.875</v>
      </c>
      <c r="AD77" s="37">
        <f t="shared" si="108"/>
        <v>1.875</v>
      </c>
      <c r="AE77" s="37">
        <f t="shared" si="111"/>
        <v>1.875</v>
      </c>
    </row>
    <row r="78" spans="1:31" x14ac:dyDescent="0.2">
      <c r="A78" s="140"/>
      <c r="B78" s="5" t="s">
        <v>69</v>
      </c>
      <c r="C78" s="5"/>
      <c r="D78" s="5"/>
      <c r="E78" s="35">
        <v>1</v>
      </c>
      <c r="F78" s="29"/>
      <c r="G78" s="10">
        <v>25000</v>
      </c>
      <c r="H78" s="137">
        <f t="shared" si="109"/>
        <v>25000</v>
      </c>
      <c r="I78" s="56">
        <f t="shared" si="110"/>
        <v>25</v>
      </c>
      <c r="J78" s="26">
        <v>20</v>
      </c>
      <c r="L78" s="25">
        <v>1</v>
      </c>
      <c r="M78" s="35"/>
      <c r="N78" s="35"/>
      <c r="O78" s="35"/>
      <c r="P78" s="35"/>
      <c r="Q78" s="35"/>
      <c r="S78" s="10">
        <f t="shared" si="98"/>
        <v>25</v>
      </c>
      <c r="T78" s="10">
        <f t="shared" si="99"/>
        <v>0</v>
      </c>
      <c r="U78" s="10">
        <f t="shared" si="100"/>
        <v>0</v>
      </c>
      <c r="V78" s="10">
        <f t="shared" si="101"/>
        <v>0</v>
      </c>
      <c r="W78" s="10">
        <f t="shared" si="102"/>
        <v>0</v>
      </c>
      <c r="X78" s="10">
        <f t="shared" si="103"/>
        <v>0</v>
      </c>
      <c r="Z78" s="10">
        <f t="shared" si="104"/>
        <v>1.25</v>
      </c>
      <c r="AA78" s="37">
        <f t="shared" si="105"/>
        <v>1.25</v>
      </c>
      <c r="AB78" s="37">
        <f t="shared" si="106"/>
        <v>1.25</v>
      </c>
      <c r="AC78" s="37">
        <f t="shared" si="107"/>
        <v>1.25</v>
      </c>
      <c r="AD78" s="37">
        <f t="shared" si="108"/>
        <v>1.25</v>
      </c>
      <c r="AE78" s="37">
        <f t="shared" si="111"/>
        <v>1.25</v>
      </c>
    </row>
    <row r="79" spans="1:31" x14ac:dyDescent="0.2">
      <c r="A79" s="140"/>
      <c r="B79" s="5" t="s">
        <v>70</v>
      </c>
      <c r="C79" s="5"/>
      <c r="D79" s="5"/>
      <c r="E79" s="35">
        <v>1</v>
      </c>
      <c r="F79" s="29"/>
      <c r="G79" s="10">
        <v>187500</v>
      </c>
      <c r="H79" s="137">
        <f t="shared" si="109"/>
        <v>187500</v>
      </c>
      <c r="I79" s="56">
        <f t="shared" si="110"/>
        <v>187.5</v>
      </c>
      <c r="J79" s="26">
        <v>20</v>
      </c>
      <c r="L79" s="25">
        <v>1</v>
      </c>
      <c r="M79" s="35"/>
      <c r="N79" s="35"/>
      <c r="O79" s="35"/>
      <c r="P79" s="35"/>
      <c r="Q79" s="35"/>
      <c r="S79" s="10">
        <f t="shared" si="98"/>
        <v>187.5</v>
      </c>
      <c r="T79" s="10">
        <f t="shared" si="99"/>
        <v>0</v>
      </c>
      <c r="U79" s="10">
        <f t="shared" si="100"/>
        <v>0</v>
      </c>
      <c r="V79" s="10">
        <f t="shared" si="101"/>
        <v>0</v>
      </c>
      <c r="W79" s="10">
        <f t="shared" si="102"/>
        <v>0</v>
      </c>
      <c r="X79" s="10">
        <f t="shared" si="103"/>
        <v>0</v>
      </c>
      <c r="Z79" s="10">
        <f t="shared" si="104"/>
        <v>9.375</v>
      </c>
      <c r="AA79" s="37">
        <f t="shared" si="105"/>
        <v>9.375</v>
      </c>
      <c r="AB79" s="37">
        <f t="shared" si="106"/>
        <v>9.375</v>
      </c>
      <c r="AC79" s="37">
        <f t="shared" si="107"/>
        <v>9.375</v>
      </c>
      <c r="AD79" s="37">
        <f t="shared" ref="AD79:AD85" si="112">AC79+W79/$J79</f>
        <v>9.375</v>
      </c>
      <c r="AE79" s="37">
        <f t="shared" si="111"/>
        <v>9.375</v>
      </c>
    </row>
    <row r="80" spans="1:31" x14ac:dyDescent="0.2">
      <c r="A80" s="140"/>
      <c r="B80" s="5" t="s">
        <v>71</v>
      </c>
      <c r="C80" s="5"/>
      <c r="D80" s="5"/>
      <c r="E80" s="35">
        <v>2</v>
      </c>
      <c r="F80" s="29"/>
      <c r="G80" s="10">
        <v>31250</v>
      </c>
      <c r="H80" s="137">
        <f t="shared" si="109"/>
        <v>31250</v>
      </c>
      <c r="I80" s="56">
        <f t="shared" si="110"/>
        <v>62.5</v>
      </c>
      <c r="J80" s="26">
        <v>20</v>
      </c>
      <c r="L80" s="25">
        <v>2</v>
      </c>
      <c r="M80" s="35"/>
      <c r="N80" s="35"/>
      <c r="O80" s="35"/>
      <c r="P80" s="35"/>
      <c r="Q80" s="35"/>
      <c r="S80" s="10">
        <f t="shared" si="98"/>
        <v>62.5</v>
      </c>
      <c r="T80" s="10">
        <f t="shared" si="99"/>
        <v>0</v>
      </c>
      <c r="U80" s="10">
        <f t="shared" si="100"/>
        <v>0</v>
      </c>
      <c r="V80" s="10">
        <f t="shared" si="101"/>
        <v>0</v>
      </c>
      <c r="W80" s="10">
        <f t="shared" si="102"/>
        <v>0</v>
      </c>
      <c r="X80" s="10">
        <f t="shared" si="103"/>
        <v>0</v>
      </c>
      <c r="Z80" s="10">
        <f t="shared" si="104"/>
        <v>3.125</v>
      </c>
      <c r="AA80" s="37">
        <f t="shared" si="105"/>
        <v>3.125</v>
      </c>
      <c r="AB80" s="37">
        <f t="shared" si="106"/>
        <v>3.125</v>
      </c>
      <c r="AC80" s="37">
        <f t="shared" si="107"/>
        <v>3.125</v>
      </c>
      <c r="AD80" s="37">
        <f t="shared" si="112"/>
        <v>3.125</v>
      </c>
      <c r="AE80" s="37">
        <f t="shared" si="111"/>
        <v>3.125</v>
      </c>
    </row>
    <row r="81" spans="1:31" x14ac:dyDescent="0.2">
      <c r="A81" s="140"/>
      <c r="B81" s="5" t="s">
        <v>72</v>
      </c>
      <c r="C81" s="5"/>
      <c r="D81" s="5"/>
      <c r="E81" s="35">
        <v>1</v>
      </c>
      <c r="F81" s="29"/>
      <c r="G81" s="10">
        <v>3750</v>
      </c>
      <c r="H81" s="137">
        <f t="shared" si="109"/>
        <v>3750</v>
      </c>
      <c r="I81" s="56">
        <f t="shared" si="110"/>
        <v>3.75</v>
      </c>
      <c r="J81" s="26">
        <v>20</v>
      </c>
      <c r="L81" s="25">
        <v>1</v>
      </c>
      <c r="M81" s="35"/>
      <c r="N81" s="35"/>
      <c r="O81" s="35"/>
      <c r="P81" s="35"/>
      <c r="Q81" s="35"/>
      <c r="S81" s="10">
        <f t="shared" si="98"/>
        <v>3.75</v>
      </c>
      <c r="T81" s="10">
        <f t="shared" si="99"/>
        <v>0</v>
      </c>
      <c r="U81" s="10">
        <f t="shared" si="100"/>
        <v>0</v>
      </c>
      <c r="V81" s="10">
        <f t="shared" si="101"/>
        <v>0</v>
      </c>
      <c r="W81" s="10">
        <f t="shared" si="102"/>
        <v>0</v>
      </c>
      <c r="X81" s="10">
        <f t="shared" si="103"/>
        <v>0</v>
      </c>
      <c r="Z81" s="10">
        <f t="shared" si="104"/>
        <v>0.1875</v>
      </c>
      <c r="AA81" s="37">
        <f t="shared" si="105"/>
        <v>0.1875</v>
      </c>
      <c r="AB81" s="37">
        <f t="shared" si="106"/>
        <v>0.1875</v>
      </c>
      <c r="AC81" s="37">
        <f t="shared" si="107"/>
        <v>0.1875</v>
      </c>
      <c r="AD81" s="37">
        <f t="shared" si="112"/>
        <v>0.1875</v>
      </c>
      <c r="AE81" s="37">
        <f t="shared" si="111"/>
        <v>0.1875</v>
      </c>
    </row>
    <row r="82" spans="1:31" x14ac:dyDescent="0.2">
      <c r="A82" s="140"/>
      <c r="B82" s="5" t="s">
        <v>73</v>
      </c>
      <c r="C82" s="5"/>
      <c r="D82" s="5"/>
      <c r="E82" s="35">
        <v>1</v>
      </c>
      <c r="F82" s="29"/>
      <c r="G82" s="10">
        <v>400000</v>
      </c>
      <c r="H82" s="137">
        <f t="shared" si="109"/>
        <v>400000</v>
      </c>
      <c r="I82" s="56">
        <f t="shared" si="110"/>
        <v>400</v>
      </c>
      <c r="J82" s="26">
        <v>20</v>
      </c>
      <c r="L82" s="25">
        <v>1</v>
      </c>
      <c r="M82" s="35"/>
      <c r="N82" s="35"/>
      <c r="O82" s="35"/>
      <c r="P82" s="35"/>
      <c r="Q82" s="35"/>
      <c r="S82" s="10">
        <f t="shared" si="98"/>
        <v>400</v>
      </c>
      <c r="T82" s="10">
        <f t="shared" si="99"/>
        <v>0</v>
      </c>
      <c r="U82" s="10">
        <f t="shared" si="100"/>
        <v>0</v>
      </c>
      <c r="V82" s="10">
        <f t="shared" si="101"/>
        <v>0</v>
      </c>
      <c r="W82" s="10">
        <f t="shared" si="102"/>
        <v>0</v>
      </c>
      <c r="X82" s="10">
        <f t="shared" si="103"/>
        <v>0</v>
      </c>
      <c r="Z82" s="10">
        <f t="shared" si="104"/>
        <v>20</v>
      </c>
      <c r="AA82" s="37">
        <f t="shared" si="105"/>
        <v>20</v>
      </c>
      <c r="AB82" s="37">
        <f t="shared" si="106"/>
        <v>20</v>
      </c>
      <c r="AC82" s="37">
        <f t="shared" si="107"/>
        <v>20</v>
      </c>
      <c r="AD82" s="37">
        <f t="shared" si="112"/>
        <v>20</v>
      </c>
      <c r="AE82" s="37">
        <f t="shared" si="111"/>
        <v>20</v>
      </c>
    </row>
    <row r="83" spans="1:31" x14ac:dyDescent="0.2">
      <c r="A83" s="140"/>
      <c r="B83" s="5" t="s">
        <v>74</v>
      </c>
      <c r="C83" s="5"/>
      <c r="D83" s="5"/>
      <c r="E83" s="35">
        <v>1</v>
      </c>
      <c r="F83" s="29"/>
      <c r="G83" s="10">
        <v>125000</v>
      </c>
      <c r="H83" s="137">
        <f t="shared" si="109"/>
        <v>125000</v>
      </c>
      <c r="I83" s="56">
        <f t="shared" si="110"/>
        <v>125</v>
      </c>
      <c r="J83" s="26">
        <v>20</v>
      </c>
      <c r="L83" s="25">
        <v>1</v>
      </c>
      <c r="M83" s="35"/>
      <c r="N83" s="35"/>
      <c r="O83" s="35"/>
      <c r="P83" s="35"/>
      <c r="Q83" s="35"/>
      <c r="S83" s="10">
        <f t="shared" si="98"/>
        <v>125</v>
      </c>
      <c r="T83" s="10">
        <f t="shared" si="99"/>
        <v>0</v>
      </c>
      <c r="U83" s="10">
        <f t="shared" si="100"/>
        <v>0</v>
      </c>
      <c r="V83" s="10">
        <f t="shared" si="101"/>
        <v>0</v>
      </c>
      <c r="W83" s="10">
        <f t="shared" si="102"/>
        <v>0</v>
      </c>
      <c r="X83" s="10">
        <f t="shared" si="103"/>
        <v>0</v>
      </c>
      <c r="Z83" s="10">
        <f t="shared" si="104"/>
        <v>6.25</v>
      </c>
      <c r="AA83" s="37">
        <f t="shared" si="105"/>
        <v>6.25</v>
      </c>
      <c r="AB83" s="37">
        <f t="shared" si="106"/>
        <v>6.25</v>
      </c>
      <c r="AC83" s="37">
        <f t="shared" si="107"/>
        <v>6.25</v>
      </c>
      <c r="AD83" s="37">
        <f t="shared" si="112"/>
        <v>6.25</v>
      </c>
      <c r="AE83" s="37">
        <f t="shared" si="111"/>
        <v>6.25</v>
      </c>
    </row>
    <row r="84" spans="1:31" x14ac:dyDescent="0.2">
      <c r="A84" s="140"/>
      <c r="B84" s="5" t="s">
        <v>121</v>
      </c>
      <c r="C84" s="5"/>
      <c r="D84" s="5"/>
      <c r="E84" s="35">
        <v>1</v>
      </c>
      <c r="F84" s="29"/>
      <c r="G84" s="10">
        <v>62500</v>
      </c>
      <c r="H84" s="137">
        <f t="shared" si="109"/>
        <v>62500</v>
      </c>
      <c r="I84" s="56">
        <f>E84*H84/10^3</f>
        <v>62.5</v>
      </c>
      <c r="J84" s="26">
        <v>20</v>
      </c>
      <c r="L84" s="25">
        <v>1</v>
      </c>
      <c r="M84" s="35"/>
      <c r="N84" s="35"/>
      <c r="O84" s="35"/>
      <c r="P84" s="35"/>
      <c r="Q84" s="35"/>
      <c r="S84" s="10">
        <f t="shared" si="98"/>
        <v>62.5</v>
      </c>
      <c r="T84" s="10">
        <f t="shared" si="99"/>
        <v>0</v>
      </c>
      <c r="U84" s="10">
        <f t="shared" si="100"/>
        <v>0</v>
      </c>
      <c r="V84" s="10">
        <f t="shared" si="101"/>
        <v>0</v>
      </c>
      <c r="W84" s="10">
        <f t="shared" si="102"/>
        <v>0</v>
      </c>
      <c r="X84" s="10">
        <f t="shared" si="103"/>
        <v>0</v>
      </c>
      <c r="Z84" s="10">
        <f t="shared" si="104"/>
        <v>3.125</v>
      </c>
      <c r="AA84" s="37">
        <f t="shared" si="105"/>
        <v>3.125</v>
      </c>
      <c r="AB84" s="37">
        <f t="shared" si="106"/>
        <v>3.125</v>
      </c>
      <c r="AC84" s="37">
        <f t="shared" si="107"/>
        <v>3.125</v>
      </c>
      <c r="AD84" s="37">
        <f t="shared" si="112"/>
        <v>3.125</v>
      </c>
      <c r="AE84" s="37">
        <f t="shared" si="111"/>
        <v>3.125</v>
      </c>
    </row>
    <row r="85" spans="1:31" x14ac:dyDescent="0.2">
      <c r="A85" s="140"/>
      <c r="B85" s="5" t="s">
        <v>75</v>
      </c>
      <c r="C85" s="5"/>
      <c r="D85" s="5"/>
      <c r="E85" s="35">
        <v>1</v>
      </c>
      <c r="F85" s="29"/>
      <c r="G85" s="10">
        <v>187500</v>
      </c>
      <c r="H85" s="137">
        <f t="shared" si="109"/>
        <v>187500</v>
      </c>
      <c r="I85" s="56">
        <f t="shared" si="110"/>
        <v>187.5</v>
      </c>
      <c r="J85" s="26">
        <v>20</v>
      </c>
      <c r="L85" s="25">
        <v>1</v>
      </c>
      <c r="M85" s="35"/>
      <c r="N85" s="35"/>
      <c r="O85" s="35"/>
      <c r="P85" s="35"/>
      <c r="Q85" s="35"/>
      <c r="S85" s="10">
        <f t="shared" si="98"/>
        <v>187.5</v>
      </c>
      <c r="T85" s="10">
        <f t="shared" si="99"/>
        <v>0</v>
      </c>
      <c r="U85" s="10">
        <f t="shared" si="100"/>
        <v>0</v>
      </c>
      <c r="V85" s="10">
        <f t="shared" si="101"/>
        <v>0</v>
      </c>
      <c r="W85" s="10">
        <f t="shared" si="102"/>
        <v>0</v>
      </c>
      <c r="X85" s="10">
        <f t="shared" si="103"/>
        <v>0</v>
      </c>
      <c r="Z85" s="10">
        <f t="shared" si="104"/>
        <v>9.375</v>
      </c>
      <c r="AA85" s="37">
        <f t="shared" si="105"/>
        <v>9.375</v>
      </c>
      <c r="AB85" s="37">
        <f t="shared" si="106"/>
        <v>9.375</v>
      </c>
      <c r="AC85" s="37">
        <f t="shared" si="107"/>
        <v>9.375</v>
      </c>
      <c r="AD85" s="37">
        <f t="shared" si="112"/>
        <v>9.375</v>
      </c>
      <c r="AE85" s="37">
        <f t="shared" si="111"/>
        <v>9.375</v>
      </c>
    </row>
    <row r="86" spans="1:31" s="112" customFormat="1" x14ac:dyDescent="0.2">
      <c r="B86" s="103" t="s">
        <v>12</v>
      </c>
      <c r="C86" s="103"/>
      <c r="D86" s="103"/>
      <c r="E86" s="104"/>
      <c r="F86" s="133"/>
      <c r="G86" s="106"/>
      <c r="H86" s="134"/>
      <c r="I86" s="108">
        <f>SUM(I62:I85)</f>
        <v>4147.5</v>
      </c>
      <c r="J86" s="109"/>
      <c r="K86" s="110"/>
      <c r="L86" s="111"/>
      <c r="M86" s="111"/>
      <c r="N86" s="111"/>
      <c r="O86" s="111"/>
      <c r="P86" s="111"/>
      <c r="Q86" s="111"/>
      <c r="R86" s="110"/>
      <c r="S86" s="109">
        <f t="shared" ref="S86:X86" si="113">SUM(S62:S85)</f>
        <v>3947.5</v>
      </c>
      <c r="T86" s="109">
        <f t="shared" si="113"/>
        <v>200</v>
      </c>
      <c r="U86" s="109">
        <f t="shared" si="113"/>
        <v>0</v>
      </c>
      <c r="V86" s="109">
        <f t="shared" si="113"/>
        <v>0</v>
      </c>
      <c r="W86" s="109">
        <f t="shared" si="113"/>
        <v>0</v>
      </c>
      <c r="X86" s="109">
        <f t="shared" si="113"/>
        <v>0</v>
      </c>
      <c r="Y86" s="110"/>
      <c r="Z86" s="109">
        <f t="shared" ref="Z86:AE86" si="114">SUM(Z62:Z85)</f>
        <v>197.375</v>
      </c>
      <c r="AA86" s="109">
        <f t="shared" si="114"/>
        <v>207.375</v>
      </c>
      <c r="AB86" s="109">
        <f t="shared" si="114"/>
        <v>207.375</v>
      </c>
      <c r="AC86" s="109">
        <f t="shared" si="114"/>
        <v>207.375</v>
      </c>
      <c r="AD86" s="109">
        <f t="shared" si="114"/>
        <v>207.375</v>
      </c>
      <c r="AE86" s="109">
        <f t="shared" si="114"/>
        <v>207.375</v>
      </c>
    </row>
    <row r="87" spans="1:31" ht="13.5" thickBot="1" x14ac:dyDescent="0.25">
      <c r="G87" s="114"/>
      <c r="I87" s="93"/>
    </row>
    <row r="88" spans="1:31" s="8" customFormat="1" ht="15.95" customHeight="1" thickBot="1" x14ac:dyDescent="0.25">
      <c r="B88" s="73" t="s">
        <v>88</v>
      </c>
      <c r="C88" s="73"/>
      <c r="D88" s="73"/>
      <c r="E88" s="74"/>
      <c r="F88" s="75"/>
      <c r="G88" s="115"/>
      <c r="H88" s="77"/>
      <c r="I88" s="116"/>
      <c r="J88" s="78"/>
      <c r="K88" s="7"/>
      <c r="L88" s="79"/>
      <c r="M88" s="79"/>
      <c r="N88" s="79"/>
      <c r="O88" s="79"/>
      <c r="P88" s="79"/>
      <c r="Q88" s="79"/>
      <c r="R88" s="7"/>
      <c r="S88" s="80"/>
      <c r="T88" s="80"/>
      <c r="U88" s="80"/>
      <c r="V88" s="80"/>
      <c r="W88" s="80"/>
      <c r="X88" s="80"/>
      <c r="Y88" s="7"/>
      <c r="Z88" s="80"/>
      <c r="AA88" s="80"/>
      <c r="AB88" s="80"/>
      <c r="AC88" s="80"/>
      <c r="AD88" s="80"/>
      <c r="AE88" s="80"/>
    </row>
    <row r="89" spans="1:31" s="112" customFormat="1" x14ac:dyDescent="0.2">
      <c r="B89" s="103" t="s">
        <v>12</v>
      </c>
      <c r="C89" s="103"/>
      <c r="D89" s="103"/>
      <c r="E89" s="104"/>
      <c r="F89" s="133"/>
      <c r="G89" s="106"/>
      <c r="H89" s="134"/>
      <c r="I89" s="108">
        <v>800</v>
      </c>
      <c r="J89" s="109">
        <v>10</v>
      </c>
      <c r="K89" s="110"/>
      <c r="L89" s="111"/>
      <c r="M89" s="111"/>
      <c r="N89" s="111"/>
      <c r="O89" s="111"/>
      <c r="P89" s="111"/>
      <c r="Q89" s="111"/>
      <c r="R89" s="110"/>
      <c r="S89" s="109">
        <v>800</v>
      </c>
      <c r="T89" s="109">
        <v>0</v>
      </c>
      <c r="U89" s="109">
        <v>0</v>
      </c>
      <c r="V89" s="109">
        <v>0</v>
      </c>
      <c r="W89" s="109">
        <v>0</v>
      </c>
      <c r="X89" s="109">
        <v>0</v>
      </c>
      <c r="Y89" s="110"/>
      <c r="Z89" s="109">
        <f>$S$89/$J89</f>
        <v>80</v>
      </c>
      <c r="AA89" s="109">
        <f t="shared" ref="AA89:AE89" si="115">$S$89/$J89</f>
        <v>80</v>
      </c>
      <c r="AB89" s="109">
        <f t="shared" si="115"/>
        <v>80</v>
      </c>
      <c r="AC89" s="109">
        <f t="shared" si="115"/>
        <v>80</v>
      </c>
      <c r="AD89" s="109">
        <f t="shared" si="115"/>
        <v>80</v>
      </c>
      <c r="AE89" s="109">
        <f t="shared" si="115"/>
        <v>80</v>
      </c>
    </row>
    <row r="90" spans="1:31" x14ac:dyDescent="0.2">
      <c r="G90" s="114"/>
      <c r="I90" s="93"/>
    </row>
    <row r="91" spans="1:31" s="112" customFormat="1" x14ac:dyDescent="0.2">
      <c r="B91" s="103" t="s">
        <v>93</v>
      </c>
      <c r="C91" s="103"/>
      <c r="D91" s="103"/>
      <c r="E91" s="104"/>
      <c r="F91" s="133"/>
      <c r="G91" s="106"/>
      <c r="H91" s="134"/>
      <c r="I91" s="108">
        <f>SUM(S91:X91)</f>
        <v>25520.866666666665</v>
      </c>
      <c r="J91" s="109"/>
      <c r="K91" s="110"/>
      <c r="L91" s="111"/>
      <c r="M91" s="111"/>
      <c r="N91" s="111"/>
      <c r="O91" s="111"/>
      <c r="P91" s="111"/>
      <c r="Q91" s="111"/>
      <c r="R91" s="110"/>
      <c r="S91" s="109">
        <f t="shared" ref="S91:X91" si="116">S11+S39+S59+S86+S89</f>
        <v>9438.5166666666664</v>
      </c>
      <c r="T91" s="109">
        <f t="shared" si="116"/>
        <v>8650.6833333333343</v>
      </c>
      <c r="U91" s="109">
        <f t="shared" si="116"/>
        <v>2494.6666666666656</v>
      </c>
      <c r="V91" s="109">
        <f t="shared" si="116"/>
        <v>2814.0000000000005</v>
      </c>
      <c r="W91" s="109">
        <f t="shared" si="116"/>
        <v>2123</v>
      </c>
      <c r="X91" s="109">
        <f t="shared" si="116"/>
        <v>0</v>
      </c>
      <c r="Y91" s="110"/>
      <c r="Z91" s="109">
        <f t="shared" ref="Z91:AE91" si="117">Z11+Z39+Z59+Z86+Z89</f>
        <v>815.6449206349206</v>
      </c>
      <c r="AA91" s="109">
        <f t="shared" si="117"/>
        <v>1931.9772222222223</v>
      </c>
      <c r="AB91" s="109">
        <f t="shared" si="117"/>
        <v>2256.0407142857143</v>
      </c>
      <c r="AC91" s="109">
        <f t="shared" si="117"/>
        <v>2658.0407142857143</v>
      </c>
      <c r="AD91" s="109">
        <f t="shared" si="117"/>
        <v>2961.3264285714281</v>
      </c>
      <c r="AE91" s="109">
        <f t="shared" si="117"/>
        <v>2961.3264285714281</v>
      </c>
    </row>
    <row r="94" spans="1:31" x14ac:dyDescent="0.2">
      <c r="I94" s="140"/>
    </row>
    <row r="96" spans="1:31" x14ac:dyDescent="0.2">
      <c r="E96" s="178"/>
    </row>
  </sheetData>
  <mergeCells count="3">
    <mergeCell ref="L2:Q2"/>
    <mergeCell ref="S2:X2"/>
    <mergeCell ref="Z2:AE2"/>
  </mergeCells>
  <pageMargins left="0.7" right="0.7" top="0.75" bottom="0.75" header="0.3" footer="0.3"/>
  <pageSetup paperSize="9" orientation="portrait" r:id="rId1"/>
  <ignoredErrors>
    <ignoredError sqref="S30:X30 Z30:AE30 I30 Y16:AE16 I16 S46:X46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91"/>
  <sheetViews>
    <sheetView showGridLines="0" zoomScale="80" zoomScaleNormal="80" workbookViewId="0">
      <pane ySplit="3" topLeftCell="A79" activePane="bottomLeft" state="frozen"/>
      <selection pane="bottomLeft" activeCell="M101" sqref="M101"/>
    </sheetView>
  </sheetViews>
  <sheetFormatPr defaultRowHeight="12.75" outlineLevelRow="1" x14ac:dyDescent="0.2"/>
  <cols>
    <col min="1" max="1" width="3.7109375" style="354" customWidth="1"/>
    <col min="2" max="2" width="39" style="354" customWidth="1"/>
    <col min="3" max="3" width="7" style="355" customWidth="1"/>
    <col min="4" max="4" width="7.140625" style="355" bestFit="1" customWidth="1"/>
    <col min="5" max="5" width="6" style="361" bestFit="1" customWidth="1"/>
    <col min="6" max="6" width="11.7109375" style="354" bestFit="1" customWidth="1"/>
    <col min="7" max="7" width="10.7109375" style="355" bestFit="1" customWidth="1"/>
    <col min="8" max="8" width="1.7109375" style="354" customWidth="1"/>
    <col min="9" max="14" width="7.5703125" style="359" customWidth="1"/>
    <col min="15" max="15" width="1.7109375" style="354" customWidth="1"/>
    <col min="16" max="21" width="10.28515625" style="354" customWidth="1"/>
    <col min="22" max="22" width="1.7109375" style="354" customWidth="1"/>
    <col min="23" max="16384" width="9.140625" style="354"/>
  </cols>
  <sheetData>
    <row r="1" spans="2:22" x14ac:dyDescent="0.2">
      <c r="E1" s="356" t="s">
        <v>11</v>
      </c>
      <c r="F1" s="357">
        <f>CAPEX!I1</f>
        <v>1</v>
      </c>
      <c r="G1" s="358"/>
    </row>
    <row r="2" spans="2:22" s="362" customFormat="1" ht="12" customHeight="1" thickBot="1" x14ac:dyDescent="0.25">
      <c r="B2" s="360"/>
      <c r="C2" s="355"/>
      <c r="D2" s="355"/>
      <c r="E2" s="361"/>
      <c r="G2" s="355"/>
      <c r="H2" s="354"/>
      <c r="I2" s="441" t="s">
        <v>141</v>
      </c>
      <c r="J2" s="441"/>
      <c r="K2" s="441"/>
      <c r="L2" s="441"/>
      <c r="M2" s="441"/>
      <c r="N2" s="441"/>
      <c r="O2" s="354"/>
      <c r="P2" s="442" t="s">
        <v>142</v>
      </c>
      <c r="Q2" s="442"/>
      <c r="R2" s="442"/>
      <c r="S2" s="442"/>
      <c r="T2" s="442"/>
      <c r="U2" s="442"/>
      <c r="V2" s="354"/>
    </row>
    <row r="3" spans="2:22" s="368" customFormat="1" ht="27" customHeight="1" thickBot="1" x14ac:dyDescent="0.25">
      <c r="B3" s="363"/>
      <c r="C3" s="364" t="s">
        <v>144</v>
      </c>
      <c r="D3" s="364" t="s">
        <v>33</v>
      </c>
      <c r="E3" s="364" t="s">
        <v>9</v>
      </c>
      <c r="F3" s="364" t="s">
        <v>10</v>
      </c>
      <c r="G3" s="364" t="s">
        <v>168</v>
      </c>
      <c r="H3" s="365"/>
      <c r="I3" s="366">
        <v>1</v>
      </c>
      <c r="J3" s="366">
        <v>2</v>
      </c>
      <c r="K3" s="366">
        <v>3</v>
      </c>
      <c r="L3" s="366">
        <v>4</v>
      </c>
      <c r="M3" s="366">
        <v>5</v>
      </c>
      <c r="N3" s="366">
        <v>6</v>
      </c>
      <c r="O3" s="365"/>
      <c r="P3" s="367">
        <v>1</v>
      </c>
      <c r="Q3" s="367">
        <v>2</v>
      </c>
      <c r="R3" s="367">
        <v>3</v>
      </c>
      <c r="S3" s="367">
        <v>4</v>
      </c>
      <c r="T3" s="367">
        <v>5</v>
      </c>
      <c r="U3" s="367">
        <v>6</v>
      </c>
      <c r="V3" s="365"/>
    </row>
    <row r="4" spans="2:22" s="362" customFormat="1" ht="15.95" customHeight="1" thickBot="1" x14ac:dyDescent="0.25">
      <c r="B4" s="369" t="s">
        <v>0</v>
      </c>
      <c r="C4" s="370"/>
      <c r="D4" s="370"/>
      <c r="E4" s="371"/>
      <c r="F4" s="372"/>
      <c r="G4" s="370"/>
      <c r="H4" s="354"/>
      <c r="I4" s="373"/>
      <c r="J4" s="373"/>
      <c r="K4" s="373"/>
      <c r="L4" s="373"/>
      <c r="M4" s="373"/>
      <c r="N4" s="373"/>
      <c r="O4" s="354"/>
      <c r="P4" s="374"/>
      <c r="Q4" s="374"/>
      <c r="R4" s="374"/>
      <c r="S4" s="374"/>
      <c r="T4" s="374"/>
      <c r="U4" s="374"/>
      <c r="V4" s="354"/>
    </row>
    <row r="5" spans="2:22" s="362" customFormat="1" ht="15.95" customHeight="1" x14ac:dyDescent="0.2">
      <c r="B5" s="375" t="s">
        <v>49</v>
      </c>
      <c r="C5" s="376"/>
      <c r="D5" s="376">
        <f>parameters!M4</f>
        <v>8700</v>
      </c>
      <c r="E5" s="377"/>
      <c r="F5" s="378">
        <f>3.5*12</f>
        <v>42</v>
      </c>
      <c r="G5" s="376">
        <f>F5*$F$1*D5</f>
        <v>365400</v>
      </c>
      <c r="H5" s="354"/>
      <c r="I5" s="379">
        <v>1</v>
      </c>
      <c r="J5" s="379">
        <v>1</v>
      </c>
      <c r="K5" s="379">
        <v>1</v>
      </c>
      <c r="L5" s="379">
        <v>1</v>
      </c>
      <c r="M5" s="379">
        <v>1</v>
      </c>
      <c r="N5" s="379">
        <v>1</v>
      </c>
      <c r="O5" s="354"/>
      <c r="P5" s="380">
        <f t="shared" ref="P5:U5" si="0">$G$5/1000</f>
        <v>365.4</v>
      </c>
      <c r="Q5" s="380">
        <f t="shared" si="0"/>
        <v>365.4</v>
      </c>
      <c r="R5" s="380">
        <f t="shared" si="0"/>
        <v>365.4</v>
      </c>
      <c r="S5" s="380">
        <f t="shared" si="0"/>
        <v>365.4</v>
      </c>
      <c r="T5" s="380">
        <f t="shared" si="0"/>
        <v>365.4</v>
      </c>
      <c r="U5" s="380">
        <f t="shared" si="0"/>
        <v>365.4</v>
      </c>
      <c r="V5" s="354"/>
    </row>
    <row r="6" spans="2:22" s="387" customFormat="1" ht="15.95" customHeight="1" x14ac:dyDescent="0.2">
      <c r="B6" s="381" t="s">
        <v>37</v>
      </c>
      <c r="C6" s="382"/>
      <c r="D6" s="382"/>
      <c r="E6" s="383"/>
      <c r="F6" s="384"/>
      <c r="G6" s="382"/>
      <c r="H6" s="354"/>
      <c r="I6" s="385"/>
      <c r="J6" s="385"/>
      <c r="K6" s="385"/>
      <c r="L6" s="385"/>
      <c r="M6" s="385"/>
      <c r="N6" s="385"/>
      <c r="O6" s="354"/>
      <c r="P6" s="386">
        <f t="shared" ref="P6:U6" si="1">SUM(P5)</f>
        <v>365.4</v>
      </c>
      <c r="Q6" s="386">
        <f t="shared" si="1"/>
        <v>365.4</v>
      </c>
      <c r="R6" s="386">
        <f t="shared" si="1"/>
        <v>365.4</v>
      </c>
      <c r="S6" s="386">
        <f t="shared" si="1"/>
        <v>365.4</v>
      </c>
      <c r="T6" s="386">
        <f t="shared" si="1"/>
        <v>365.4</v>
      </c>
      <c r="U6" s="386">
        <f t="shared" si="1"/>
        <v>365.4</v>
      </c>
      <c r="V6" s="354"/>
    </row>
    <row r="7" spans="2:22" ht="15.95" customHeight="1" thickBot="1" x14ac:dyDescent="0.25">
      <c r="C7" s="354"/>
      <c r="D7" s="354"/>
      <c r="E7" s="354"/>
      <c r="G7" s="388"/>
      <c r="P7" s="389"/>
      <c r="Q7" s="389"/>
      <c r="R7" s="389"/>
      <c r="S7" s="389"/>
      <c r="T7" s="389"/>
      <c r="U7" s="389"/>
    </row>
    <row r="8" spans="2:22" s="362" customFormat="1" ht="15.95" customHeight="1" thickBot="1" x14ac:dyDescent="0.25">
      <c r="B8" s="369" t="s">
        <v>1</v>
      </c>
      <c r="C8" s="370"/>
      <c r="D8" s="370"/>
      <c r="E8" s="371"/>
      <c r="F8" s="372"/>
      <c r="G8" s="370"/>
      <c r="H8" s="354"/>
      <c r="I8" s="373"/>
      <c r="J8" s="373"/>
      <c r="K8" s="373"/>
      <c r="L8" s="373"/>
      <c r="M8" s="373"/>
      <c r="N8" s="373"/>
      <c r="O8" s="354"/>
      <c r="P8" s="390"/>
      <c r="Q8" s="390"/>
      <c r="R8" s="390"/>
      <c r="S8" s="390"/>
      <c r="T8" s="390"/>
      <c r="U8" s="390"/>
      <c r="V8" s="354"/>
    </row>
    <row r="9" spans="2:22" s="362" customFormat="1" ht="15.95" customHeight="1" x14ac:dyDescent="0.2">
      <c r="B9" s="375" t="s">
        <v>162</v>
      </c>
      <c r="C9" s="391"/>
      <c r="D9" s="391"/>
      <c r="E9" s="392"/>
      <c r="F9" s="393"/>
      <c r="G9" s="394"/>
      <c r="H9" s="354"/>
      <c r="I9" s="395"/>
      <c r="J9" s="395"/>
      <c r="K9" s="395"/>
      <c r="L9" s="395"/>
      <c r="M9" s="395"/>
      <c r="N9" s="395"/>
      <c r="O9" s="354"/>
      <c r="P9" s="396">
        <f t="shared" ref="P9:U9" si="2">SUM(P10:P14)</f>
        <v>159.08571428571426</v>
      </c>
      <c r="Q9" s="396">
        <f t="shared" si="2"/>
        <v>59.035714285714285</v>
      </c>
      <c r="R9" s="396">
        <f t="shared" si="2"/>
        <v>159.08571428571426</v>
      </c>
      <c r="S9" s="396">
        <f t="shared" si="2"/>
        <v>59.035714285714285</v>
      </c>
      <c r="T9" s="396">
        <f t="shared" si="2"/>
        <v>159.08571428571426</v>
      </c>
      <c r="U9" s="396">
        <f t="shared" si="2"/>
        <v>59.035714285714285</v>
      </c>
      <c r="V9" s="354"/>
    </row>
    <row r="10" spans="2:22" s="387" customFormat="1" outlineLevel="1" x14ac:dyDescent="0.2">
      <c r="B10" s="397" t="s">
        <v>124</v>
      </c>
      <c r="C10" s="398">
        <v>20</v>
      </c>
      <c r="D10" s="399">
        <f>parameters!$M$4</f>
        <v>8700</v>
      </c>
      <c r="E10" s="361"/>
      <c r="F10" s="400">
        <v>0.4</v>
      </c>
      <c r="G10" s="401">
        <f>F10*$F$1</f>
        <v>0.4</v>
      </c>
      <c r="H10" s="354"/>
      <c r="I10" s="359">
        <v>1</v>
      </c>
      <c r="J10" s="402"/>
      <c r="K10" s="402">
        <v>1</v>
      </c>
      <c r="L10" s="402"/>
      <c r="M10" s="402">
        <v>1</v>
      </c>
      <c r="N10" s="402"/>
      <c r="O10" s="354"/>
      <c r="P10" s="403">
        <f>$G10*$C10*$D10*I10/1000</f>
        <v>69.599999999999994</v>
      </c>
      <c r="Q10" s="403">
        <f t="shared" ref="P10:U12" si="3">$G10*$C10*$D10*J10/1000</f>
        <v>0</v>
      </c>
      <c r="R10" s="403">
        <f t="shared" si="3"/>
        <v>69.599999999999994</v>
      </c>
      <c r="S10" s="403">
        <f t="shared" si="3"/>
        <v>0</v>
      </c>
      <c r="T10" s="403">
        <f t="shared" si="3"/>
        <v>69.599999999999994</v>
      </c>
      <c r="U10" s="403">
        <f t="shared" si="3"/>
        <v>0</v>
      </c>
      <c r="V10" s="354"/>
    </row>
    <row r="11" spans="2:22" s="387" customFormat="1" outlineLevel="1" x14ac:dyDescent="0.2">
      <c r="B11" s="397" t="s">
        <v>125</v>
      </c>
      <c r="C11" s="398">
        <v>8.5714285714285712</v>
      </c>
      <c r="D11" s="399">
        <f>parameters!$M$4</f>
        <v>8700</v>
      </c>
      <c r="E11" s="361"/>
      <c r="F11" s="400">
        <v>0.5</v>
      </c>
      <c r="G11" s="401">
        <f>F11*$F$1</f>
        <v>0.5</v>
      </c>
      <c r="H11" s="354"/>
      <c r="I11" s="359">
        <v>1</v>
      </c>
      <c r="J11" s="402">
        <v>1</v>
      </c>
      <c r="K11" s="402">
        <v>1</v>
      </c>
      <c r="L11" s="402">
        <v>1</v>
      </c>
      <c r="M11" s="402">
        <v>1</v>
      </c>
      <c r="N11" s="402">
        <v>1</v>
      </c>
      <c r="O11" s="354"/>
      <c r="P11" s="403">
        <f t="shared" si="3"/>
        <v>37.285714285714285</v>
      </c>
      <c r="Q11" s="403">
        <f t="shared" si="3"/>
        <v>37.285714285714285</v>
      </c>
      <c r="R11" s="403">
        <f t="shared" si="3"/>
        <v>37.285714285714285</v>
      </c>
      <c r="S11" s="403">
        <f t="shared" si="3"/>
        <v>37.285714285714285</v>
      </c>
      <c r="T11" s="403">
        <f t="shared" si="3"/>
        <v>37.285714285714285</v>
      </c>
      <c r="U11" s="403">
        <f t="shared" si="3"/>
        <v>37.285714285714285</v>
      </c>
      <c r="V11" s="354"/>
    </row>
    <row r="12" spans="2:22" s="387" customFormat="1" outlineLevel="1" x14ac:dyDescent="0.2">
      <c r="B12" s="397" t="s">
        <v>126</v>
      </c>
      <c r="C12" s="398">
        <v>5</v>
      </c>
      <c r="D12" s="399">
        <f>parameters!$M$4</f>
        <v>8700</v>
      </c>
      <c r="E12" s="361"/>
      <c r="F12" s="400">
        <v>0.5</v>
      </c>
      <c r="G12" s="401">
        <f>F12*$F$1</f>
        <v>0.5</v>
      </c>
      <c r="H12" s="354"/>
      <c r="I12" s="359">
        <v>1</v>
      </c>
      <c r="J12" s="402">
        <v>1</v>
      </c>
      <c r="K12" s="402">
        <v>1</v>
      </c>
      <c r="L12" s="402">
        <v>1</v>
      </c>
      <c r="M12" s="402">
        <v>1</v>
      </c>
      <c r="N12" s="402">
        <v>1</v>
      </c>
      <c r="O12" s="354"/>
      <c r="P12" s="403">
        <f t="shared" si="3"/>
        <v>21.75</v>
      </c>
      <c r="Q12" s="403">
        <f t="shared" si="3"/>
        <v>21.75</v>
      </c>
      <c r="R12" s="403">
        <f t="shared" si="3"/>
        <v>21.75</v>
      </c>
      <c r="S12" s="403">
        <f t="shared" si="3"/>
        <v>21.75</v>
      </c>
      <c r="T12" s="403">
        <f t="shared" si="3"/>
        <v>21.75</v>
      </c>
      <c r="U12" s="403">
        <f t="shared" si="3"/>
        <v>21.75</v>
      </c>
      <c r="V12" s="354"/>
    </row>
    <row r="13" spans="2:22" s="387" customFormat="1" outlineLevel="1" x14ac:dyDescent="0.2">
      <c r="B13" s="397" t="s">
        <v>127</v>
      </c>
      <c r="C13" s="355"/>
      <c r="D13" s="399">
        <f>parameters!$M$4</f>
        <v>8700</v>
      </c>
      <c r="E13" s="361"/>
      <c r="F13" s="400">
        <v>3.5</v>
      </c>
      <c r="G13" s="401">
        <f>F13*$F$1</f>
        <v>3.5</v>
      </c>
      <c r="H13" s="354"/>
      <c r="I13" s="359">
        <v>1</v>
      </c>
      <c r="J13" s="402"/>
      <c r="K13" s="402">
        <v>1</v>
      </c>
      <c r="L13" s="402"/>
      <c r="M13" s="402">
        <v>1</v>
      </c>
      <c r="N13" s="402"/>
      <c r="O13" s="354"/>
      <c r="P13" s="403">
        <f t="shared" ref="P13:U13" si="4">$G13*$D13*I13/1000</f>
        <v>30.45</v>
      </c>
      <c r="Q13" s="403">
        <f t="shared" si="4"/>
        <v>0</v>
      </c>
      <c r="R13" s="403">
        <f t="shared" si="4"/>
        <v>30.45</v>
      </c>
      <c r="S13" s="403">
        <f t="shared" si="4"/>
        <v>0</v>
      </c>
      <c r="T13" s="403">
        <f t="shared" si="4"/>
        <v>30.45</v>
      </c>
      <c r="U13" s="403">
        <f t="shared" si="4"/>
        <v>0</v>
      </c>
      <c r="V13" s="354"/>
    </row>
    <row r="14" spans="2:22" s="387" customFormat="1" outlineLevel="1" x14ac:dyDescent="0.2">
      <c r="B14" s="355"/>
      <c r="C14" s="355"/>
      <c r="D14" s="355"/>
      <c r="E14" s="361"/>
      <c r="F14" s="400"/>
      <c r="G14" s="401"/>
      <c r="H14" s="354"/>
      <c r="I14" s="359"/>
      <c r="J14" s="402"/>
      <c r="K14" s="402"/>
      <c r="L14" s="402"/>
      <c r="M14" s="402"/>
      <c r="N14" s="402"/>
      <c r="O14" s="354"/>
      <c r="P14" s="403"/>
      <c r="Q14" s="403"/>
      <c r="R14" s="403"/>
      <c r="S14" s="403"/>
      <c r="T14" s="403"/>
      <c r="U14" s="403"/>
      <c r="V14" s="354"/>
    </row>
    <row r="15" spans="2:22" s="362" customFormat="1" ht="15.95" customHeight="1" x14ac:dyDescent="0.2">
      <c r="B15" s="375" t="s">
        <v>128</v>
      </c>
      <c r="C15" s="391"/>
      <c r="D15" s="391"/>
      <c r="E15" s="392"/>
      <c r="F15" s="393"/>
      <c r="G15" s="404"/>
      <c r="H15" s="354"/>
      <c r="I15" s="395"/>
      <c r="J15" s="395"/>
      <c r="K15" s="395"/>
      <c r="L15" s="395"/>
      <c r="M15" s="395"/>
      <c r="N15" s="395"/>
      <c r="O15" s="354"/>
      <c r="P15" s="405">
        <f t="shared" ref="P15:U15" si="5">SUM(P16:P17)</f>
        <v>4.5674999999999999</v>
      </c>
      <c r="Q15" s="405">
        <f t="shared" si="5"/>
        <v>4.5674999999999999</v>
      </c>
      <c r="R15" s="405">
        <f t="shared" si="5"/>
        <v>4.5674999999999999</v>
      </c>
      <c r="S15" s="405">
        <f t="shared" si="5"/>
        <v>4.5674999999999999</v>
      </c>
      <c r="T15" s="405">
        <f t="shared" si="5"/>
        <v>4.5674999999999999</v>
      </c>
      <c r="U15" s="405">
        <f t="shared" si="5"/>
        <v>4.5674999999999999</v>
      </c>
      <c r="V15" s="354"/>
    </row>
    <row r="16" spans="2:22" outlineLevel="1" x14ac:dyDescent="0.2">
      <c r="B16" s="397" t="s">
        <v>13</v>
      </c>
      <c r="C16" s="406">
        <v>0.6</v>
      </c>
      <c r="D16" s="399">
        <f>parameters!$M$4</f>
        <v>8700</v>
      </c>
      <c r="E16" s="354"/>
      <c r="F16" s="400">
        <v>0.5</v>
      </c>
      <c r="G16" s="401">
        <f>F16*$F$1</f>
        <v>0.5</v>
      </c>
      <c r="I16" s="402">
        <v>1</v>
      </c>
      <c r="J16" s="402">
        <v>1</v>
      </c>
      <c r="K16" s="402">
        <v>1</v>
      </c>
      <c r="L16" s="402">
        <v>1</v>
      </c>
      <c r="M16" s="402">
        <v>1</v>
      </c>
      <c r="N16" s="402">
        <v>1</v>
      </c>
      <c r="P16" s="403">
        <f>$C16*$D16*$G16/1000</f>
        <v>2.61</v>
      </c>
      <c r="Q16" s="403">
        <f t="shared" ref="Q16:U17" si="6">$C16*$D16*$G16/1000</f>
        <v>2.61</v>
      </c>
      <c r="R16" s="403">
        <f t="shared" si="6"/>
        <v>2.61</v>
      </c>
      <c r="S16" s="403">
        <f t="shared" si="6"/>
        <v>2.61</v>
      </c>
      <c r="T16" s="403">
        <f t="shared" si="6"/>
        <v>2.61</v>
      </c>
      <c r="U16" s="403">
        <f t="shared" si="6"/>
        <v>2.61</v>
      </c>
    </row>
    <row r="17" spans="2:24" outlineLevel="1" x14ac:dyDescent="0.2">
      <c r="B17" s="397" t="s">
        <v>14</v>
      </c>
      <c r="C17" s="406">
        <v>0.45</v>
      </c>
      <c r="D17" s="399">
        <f>parameters!$M$4</f>
        <v>8700</v>
      </c>
      <c r="E17" s="354"/>
      <c r="F17" s="400">
        <v>0.5</v>
      </c>
      <c r="G17" s="401">
        <f>F17*$F$1</f>
        <v>0.5</v>
      </c>
      <c r="I17" s="402">
        <v>1</v>
      </c>
      <c r="J17" s="402">
        <v>1</v>
      </c>
      <c r="K17" s="402">
        <v>1</v>
      </c>
      <c r="L17" s="402">
        <v>1</v>
      </c>
      <c r="M17" s="402">
        <v>1</v>
      </c>
      <c r="N17" s="402">
        <v>1</v>
      </c>
      <c r="P17" s="403">
        <f>$C17*$D17*$G17/1000</f>
        <v>1.9575</v>
      </c>
      <c r="Q17" s="403">
        <f t="shared" si="6"/>
        <v>1.9575</v>
      </c>
      <c r="R17" s="403">
        <f t="shared" si="6"/>
        <v>1.9575</v>
      </c>
      <c r="S17" s="403">
        <f t="shared" si="6"/>
        <v>1.9575</v>
      </c>
      <c r="T17" s="403">
        <f t="shared" si="6"/>
        <v>1.9575</v>
      </c>
      <c r="U17" s="403">
        <f t="shared" si="6"/>
        <v>1.9575</v>
      </c>
    </row>
    <row r="18" spans="2:24" s="362" customFormat="1" ht="15.95" customHeight="1" x14ac:dyDescent="0.2">
      <c r="B18" s="375" t="s">
        <v>129</v>
      </c>
      <c r="C18" s="391">
        <v>5</v>
      </c>
      <c r="D18" s="391">
        <f>parameters!M4</f>
        <v>8700</v>
      </c>
      <c r="E18" s="392"/>
      <c r="F18" s="407">
        <v>3.5</v>
      </c>
      <c r="G18" s="404">
        <f>F18*$F$1</f>
        <v>3.5</v>
      </c>
      <c r="H18" s="354"/>
      <c r="I18" s="379">
        <v>1</v>
      </c>
      <c r="J18" s="379">
        <v>1</v>
      </c>
      <c r="K18" s="379">
        <v>1</v>
      </c>
      <c r="L18" s="379">
        <v>1</v>
      </c>
      <c r="M18" s="379">
        <v>1</v>
      </c>
      <c r="N18" s="379">
        <v>1</v>
      </c>
      <c r="O18" s="354"/>
      <c r="P18" s="405">
        <f t="shared" ref="P18:U18" si="7">$D18*$G18/1000</f>
        <v>30.45</v>
      </c>
      <c r="Q18" s="405">
        <f t="shared" si="7"/>
        <v>30.45</v>
      </c>
      <c r="R18" s="405">
        <f t="shared" si="7"/>
        <v>30.45</v>
      </c>
      <c r="S18" s="405">
        <f t="shared" si="7"/>
        <v>30.45</v>
      </c>
      <c r="T18" s="405">
        <f t="shared" si="7"/>
        <v>30.45</v>
      </c>
      <c r="U18" s="405">
        <f t="shared" si="7"/>
        <v>30.45</v>
      </c>
      <c r="V18" s="354"/>
    </row>
    <row r="19" spans="2:24" s="362" customFormat="1" ht="15.95" customHeight="1" x14ac:dyDescent="0.2">
      <c r="B19" s="375" t="s">
        <v>161</v>
      </c>
      <c r="C19" s="391"/>
      <c r="D19" s="391"/>
      <c r="E19" s="392"/>
      <c r="F19" s="407">
        <v>3</v>
      </c>
      <c r="G19" s="404">
        <f>F19*F1</f>
        <v>3</v>
      </c>
      <c r="H19" s="354"/>
      <c r="I19" s="379">
        <f>Production!C4</f>
        <v>0</v>
      </c>
      <c r="J19" s="379">
        <f>Production!D4</f>
        <v>12333.333333333334</v>
      </c>
      <c r="K19" s="379">
        <f>Production!E4</f>
        <v>17333.333333333332</v>
      </c>
      <c r="L19" s="379">
        <f>Production!F4</f>
        <v>24000</v>
      </c>
      <c r="M19" s="379">
        <f>Production!G4</f>
        <v>29000</v>
      </c>
      <c r="N19" s="379">
        <f>Production!H4</f>
        <v>29000</v>
      </c>
      <c r="O19" s="354"/>
      <c r="P19" s="405">
        <f t="shared" ref="P19:U19" si="8">I19*$G19/1000</f>
        <v>0</v>
      </c>
      <c r="Q19" s="405">
        <f>J19*$G19/1000</f>
        <v>37</v>
      </c>
      <c r="R19" s="405">
        <f t="shared" si="8"/>
        <v>52</v>
      </c>
      <c r="S19" s="405">
        <f t="shared" si="8"/>
        <v>72</v>
      </c>
      <c r="T19" s="405">
        <f t="shared" si="8"/>
        <v>87</v>
      </c>
      <c r="U19" s="405">
        <f t="shared" si="8"/>
        <v>87</v>
      </c>
      <c r="V19" s="354"/>
    </row>
    <row r="20" spans="2:24" s="362" customFormat="1" ht="15.95" customHeight="1" x14ac:dyDescent="0.2">
      <c r="B20" s="408" t="s">
        <v>131</v>
      </c>
      <c r="C20" s="409"/>
      <c r="D20" s="409"/>
      <c r="E20" s="410"/>
      <c r="F20" s="411"/>
      <c r="G20" s="412"/>
      <c r="H20" s="413"/>
      <c r="I20" s="414"/>
      <c r="J20" s="414"/>
      <c r="K20" s="414"/>
      <c r="L20" s="414"/>
      <c r="M20" s="414"/>
      <c r="N20" s="414"/>
      <c r="O20" s="413"/>
      <c r="P20" s="405">
        <f t="shared" ref="P20:U20" si="9">3000*$F$1/1000</f>
        <v>3</v>
      </c>
      <c r="Q20" s="405">
        <f t="shared" si="9"/>
        <v>3</v>
      </c>
      <c r="R20" s="405">
        <f t="shared" si="9"/>
        <v>3</v>
      </c>
      <c r="S20" s="405">
        <f t="shared" si="9"/>
        <v>3</v>
      </c>
      <c r="T20" s="405">
        <f t="shared" si="9"/>
        <v>3</v>
      </c>
      <c r="U20" s="405">
        <f t="shared" si="9"/>
        <v>3</v>
      </c>
      <c r="V20" s="354"/>
    </row>
    <row r="21" spans="2:24" s="362" customFormat="1" ht="15.95" customHeight="1" x14ac:dyDescent="0.2">
      <c r="B21" s="408" t="s">
        <v>26</v>
      </c>
      <c r="C21" s="409"/>
      <c r="D21" s="409"/>
      <c r="E21" s="410"/>
      <c r="F21" s="411"/>
      <c r="G21" s="412"/>
      <c r="H21" s="413"/>
      <c r="I21" s="414"/>
      <c r="J21" s="414"/>
      <c r="K21" s="414"/>
      <c r="L21" s="414"/>
      <c r="M21" s="414"/>
      <c r="N21" s="414"/>
      <c r="O21" s="413"/>
      <c r="P21" s="405">
        <f t="shared" ref="P21:U21" si="10">20000*$F$1/1000</f>
        <v>20</v>
      </c>
      <c r="Q21" s="405">
        <f t="shared" si="10"/>
        <v>20</v>
      </c>
      <c r="R21" s="405">
        <f t="shared" si="10"/>
        <v>20</v>
      </c>
      <c r="S21" s="405">
        <f t="shared" si="10"/>
        <v>20</v>
      </c>
      <c r="T21" s="405">
        <f t="shared" si="10"/>
        <v>20</v>
      </c>
      <c r="U21" s="405">
        <f t="shared" si="10"/>
        <v>20</v>
      </c>
      <c r="V21" s="354"/>
    </row>
    <row r="22" spans="2:24" s="362" customFormat="1" ht="15.95" customHeight="1" x14ac:dyDescent="0.2">
      <c r="B22" s="408" t="s">
        <v>132</v>
      </c>
      <c r="C22" s="409"/>
      <c r="D22" s="409"/>
      <c r="E22" s="410"/>
      <c r="F22" s="411"/>
      <c r="G22" s="412"/>
      <c r="H22" s="413"/>
      <c r="I22" s="414"/>
      <c r="J22" s="414"/>
      <c r="K22" s="414"/>
      <c r="L22" s="414"/>
      <c r="M22" s="414"/>
      <c r="N22" s="414"/>
      <c r="O22" s="413"/>
      <c r="P22" s="405">
        <f t="shared" ref="P22:U22" si="11">18000*$F$1/1000</f>
        <v>18</v>
      </c>
      <c r="Q22" s="405">
        <f t="shared" si="11"/>
        <v>18</v>
      </c>
      <c r="R22" s="405">
        <f t="shared" si="11"/>
        <v>18</v>
      </c>
      <c r="S22" s="405">
        <f t="shared" si="11"/>
        <v>18</v>
      </c>
      <c r="T22" s="405">
        <f t="shared" si="11"/>
        <v>18</v>
      </c>
      <c r="U22" s="405">
        <f t="shared" si="11"/>
        <v>18</v>
      </c>
      <c r="V22" s="354"/>
    </row>
    <row r="23" spans="2:24" s="362" customFormat="1" ht="15.95" customHeight="1" x14ac:dyDescent="0.2">
      <c r="B23" s="375" t="s">
        <v>135</v>
      </c>
      <c r="C23" s="391"/>
      <c r="D23" s="391"/>
      <c r="E23" s="392" t="s">
        <v>35</v>
      </c>
      <c r="F23" s="393"/>
      <c r="G23" s="394"/>
      <c r="H23" s="354"/>
      <c r="I23" s="379">
        <f t="shared" ref="I23:N23" si="12">SUM(I24:I31)</f>
        <v>12</v>
      </c>
      <c r="J23" s="379">
        <f t="shared" si="12"/>
        <v>15</v>
      </c>
      <c r="K23" s="379">
        <f t="shared" si="12"/>
        <v>16</v>
      </c>
      <c r="L23" s="379">
        <f t="shared" si="12"/>
        <v>16</v>
      </c>
      <c r="M23" s="379">
        <f t="shared" si="12"/>
        <v>16</v>
      </c>
      <c r="N23" s="379">
        <f t="shared" si="12"/>
        <v>16</v>
      </c>
      <c r="O23" s="354"/>
      <c r="P23" s="396">
        <f t="shared" ref="P23:U23" si="13">SUM(P24:P31)</f>
        <v>73.800000000000011</v>
      </c>
      <c r="Q23" s="396">
        <f t="shared" si="13"/>
        <v>90.600000000000009</v>
      </c>
      <c r="R23" s="396">
        <f t="shared" si="13"/>
        <v>97.8</v>
      </c>
      <c r="S23" s="396">
        <f t="shared" si="13"/>
        <v>97.8</v>
      </c>
      <c r="T23" s="396">
        <f t="shared" si="13"/>
        <v>97.8</v>
      </c>
      <c r="U23" s="396">
        <f t="shared" si="13"/>
        <v>97.8</v>
      </c>
      <c r="V23" s="354"/>
    </row>
    <row r="24" spans="2:24" s="387" customFormat="1" outlineLevel="1" x14ac:dyDescent="0.2">
      <c r="B24" s="397" t="s">
        <v>27</v>
      </c>
      <c r="C24" s="415"/>
      <c r="D24" s="355">
        <v>6</v>
      </c>
      <c r="E24" s="361" t="s">
        <v>34</v>
      </c>
      <c r="F24" s="415">
        <v>800</v>
      </c>
      <c r="G24" s="416">
        <f>F24*$F$1</f>
        <v>800</v>
      </c>
      <c r="H24" s="354"/>
      <c r="I24" s="359">
        <v>3</v>
      </c>
      <c r="J24" s="402">
        <v>5</v>
      </c>
      <c r="K24" s="402">
        <v>5</v>
      </c>
      <c r="L24" s="402">
        <v>5</v>
      </c>
      <c r="M24" s="402">
        <v>5</v>
      </c>
      <c r="N24" s="402">
        <v>5</v>
      </c>
      <c r="O24" s="354"/>
      <c r="P24" s="389">
        <f>$D24*I24*$G24/1000</f>
        <v>14.4</v>
      </c>
      <c r="Q24" s="389">
        <f t="shared" ref="P24:U31" si="14">$D24*J24*$G24/1000</f>
        <v>24</v>
      </c>
      <c r="R24" s="389">
        <f t="shared" si="14"/>
        <v>24</v>
      </c>
      <c r="S24" s="389">
        <f t="shared" si="14"/>
        <v>24</v>
      </c>
      <c r="T24" s="389">
        <f t="shared" si="14"/>
        <v>24</v>
      </c>
      <c r="U24" s="389">
        <f t="shared" si="14"/>
        <v>24</v>
      </c>
      <c r="V24" s="354"/>
      <c r="X24" s="417"/>
    </row>
    <row r="25" spans="2:24" s="387" customFormat="1" outlineLevel="1" x14ac:dyDescent="0.2">
      <c r="B25" s="397" t="s">
        <v>28</v>
      </c>
      <c r="C25" s="415"/>
      <c r="D25" s="355">
        <v>6</v>
      </c>
      <c r="E25" s="361" t="s">
        <v>34</v>
      </c>
      <c r="F25" s="415">
        <v>1200</v>
      </c>
      <c r="G25" s="416">
        <f t="shared" ref="G25:G31" si="15">F25*$F$1</f>
        <v>1200</v>
      </c>
      <c r="H25" s="354"/>
      <c r="I25" s="359">
        <v>1</v>
      </c>
      <c r="J25" s="402">
        <v>1</v>
      </c>
      <c r="K25" s="402">
        <v>1</v>
      </c>
      <c r="L25" s="402">
        <v>1</v>
      </c>
      <c r="M25" s="402">
        <v>1</v>
      </c>
      <c r="N25" s="402">
        <v>1</v>
      </c>
      <c r="O25" s="354"/>
      <c r="P25" s="389">
        <f t="shared" si="14"/>
        <v>7.2</v>
      </c>
      <c r="Q25" s="389">
        <f t="shared" si="14"/>
        <v>7.2</v>
      </c>
      <c r="R25" s="389">
        <f t="shared" si="14"/>
        <v>7.2</v>
      </c>
      <c r="S25" s="389">
        <f t="shared" si="14"/>
        <v>7.2</v>
      </c>
      <c r="T25" s="389">
        <f t="shared" si="14"/>
        <v>7.2</v>
      </c>
      <c r="U25" s="389">
        <f t="shared" si="14"/>
        <v>7.2</v>
      </c>
      <c r="V25" s="354"/>
      <c r="X25" s="417"/>
    </row>
    <row r="26" spans="2:24" s="387" customFormat="1" outlineLevel="1" x14ac:dyDescent="0.2">
      <c r="B26" s="397" t="s">
        <v>29</v>
      </c>
      <c r="C26" s="415"/>
      <c r="D26" s="355">
        <v>9</v>
      </c>
      <c r="E26" s="361" t="s">
        <v>34</v>
      </c>
      <c r="F26" s="415">
        <v>1200</v>
      </c>
      <c r="G26" s="416">
        <f t="shared" si="15"/>
        <v>1200</v>
      </c>
      <c r="H26" s="354"/>
      <c r="I26" s="359">
        <v>1</v>
      </c>
      <c r="J26" s="402">
        <v>1</v>
      </c>
      <c r="K26" s="402">
        <v>1</v>
      </c>
      <c r="L26" s="402">
        <v>1</v>
      </c>
      <c r="M26" s="402">
        <v>1</v>
      </c>
      <c r="N26" s="402">
        <v>1</v>
      </c>
      <c r="O26" s="354"/>
      <c r="P26" s="389">
        <f t="shared" si="14"/>
        <v>10.8</v>
      </c>
      <c r="Q26" s="389">
        <f t="shared" si="14"/>
        <v>10.8</v>
      </c>
      <c r="R26" s="389">
        <f t="shared" si="14"/>
        <v>10.8</v>
      </c>
      <c r="S26" s="389">
        <f t="shared" si="14"/>
        <v>10.8</v>
      </c>
      <c r="T26" s="389">
        <f t="shared" si="14"/>
        <v>10.8</v>
      </c>
      <c r="U26" s="389">
        <f t="shared" si="14"/>
        <v>10.8</v>
      </c>
      <c r="V26" s="354"/>
      <c r="X26" s="417"/>
    </row>
    <row r="27" spans="2:24" s="387" customFormat="1" outlineLevel="1" x14ac:dyDescent="0.2">
      <c r="B27" s="397" t="s">
        <v>133</v>
      </c>
      <c r="C27" s="415"/>
      <c r="D27" s="355">
        <v>9</v>
      </c>
      <c r="E27" s="361" t="s">
        <v>34</v>
      </c>
      <c r="F27" s="415">
        <v>700</v>
      </c>
      <c r="G27" s="416">
        <f t="shared" si="15"/>
        <v>700</v>
      </c>
      <c r="H27" s="354"/>
      <c r="I27" s="359">
        <v>1</v>
      </c>
      <c r="J27" s="402">
        <v>1</v>
      </c>
      <c r="K27" s="402">
        <v>1</v>
      </c>
      <c r="L27" s="402">
        <v>1</v>
      </c>
      <c r="M27" s="402">
        <v>1</v>
      </c>
      <c r="N27" s="402">
        <v>1</v>
      </c>
      <c r="O27" s="354"/>
      <c r="P27" s="389">
        <f t="shared" si="14"/>
        <v>6.3</v>
      </c>
      <c r="Q27" s="389">
        <f t="shared" si="14"/>
        <v>6.3</v>
      </c>
      <c r="R27" s="389">
        <f t="shared" si="14"/>
        <v>6.3</v>
      </c>
      <c r="S27" s="389">
        <f t="shared" si="14"/>
        <v>6.3</v>
      </c>
      <c r="T27" s="389">
        <f t="shared" si="14"/>
        <v>6.3</v>
      </c>
      <c r="U27" s="389">
        <f t="shared" si="14"/>
        <v>6.3</v>
      </c>
      <c r="V27" s="354"/>
      <c r="X27" s="417"/>
    </row>
    <row r="28" spans="2:24" s="387" customFormat="1" outlineLevel="1" x14ac:dyDescent="0.2">
      <c r="B28" s="397" t="s">
        <v>30</v>
      </c>
      <c r="C28" s="415"/>
      <c r="D28" s="355">
        <v>9</v>
      </c>
      <c r="E28" s="361" t="s">
        <v>34</v>
      </c>
      <c r="F28" s="415">
        <v>700</v>
      </c>
      <c r="G28" s="416">
        <f t="shared" si="15"/>
        <v>700</v>
      </c>
      <c r="H28" s="354"/>
      <c r="I28" s="359">
        <v>1</v>
      </c>
      <c r="J28" s="402">
        <v>1</v>
      </c>
      <c r="K28" s="402">
        <v>1</v>
      </c>
      <c r="L28" s="402">
        <v>1</v>
      </c>
      <c r="M28" s="402">
        <v>1</v>
      </c>
      <c r="N28" s="402">
        <v>1</v>
      </c>
      <c r="O28" s="354"/>
      <c r="P28" s="389">
        <f t="shared" si="14"/>
        <v>6.3</v>
      </c>
      <c r="Q28" s="389">
        <f t="shared" si="14"/>
        <v>6.3</v>
      </c>
      <c r="R28" s="389">
        <f t="shared" si="14"/>
        <v>6.3</v>
      </c>
      <c r="S28" s="389">
        <f t="shared" si="14"/>
        <v>6.3</v>
      </c>
      <c r="T28" s="389">
        <f t="shared" si="14"/>
        <v>6.3</v>
      </c>
      <c r="U28" s="389">
        <f t="shared" si="14"/>
        <v>6.3</v>
      </c>
      <c r="V28" s="354"/>
      <c r="X28" s="417"/>
    </row>
    <row r="29" spans="2:24" s="387" customFormat="1" outlineLevel="1" x14ac:dyDescent="0.2">
      <c r="B29" s="397" t="s">
        <v>31</v>
      </c>
      <c r="C29" s="415"/>
      <c r="D29" s="355">
        <v>12</v>
      </c>
      <c r="E29" s="361" t="s">
        <v>34</v>
      </c>
      <c r="F29" s="415">
        <v>600</v>
      </c>
      <c r="G29" s="416">
        <f t="shared" si="15"/>
        <v>600</v>
      </c>
      <c r="H29" s="354"/>
      <c r="I29" s="359">
        <v>1</v>
      </c>
      <c r="J29" s="402">
        <v>2</v>
      </c>
      <c r="K29" s="402">
        <v>3</v>
      </c>
      <c r="L29" s="402">
        <v>3</v>
      </c>
      <c r="M29" s="402">
        <v>3</v>
      </c>
      <c r="N29" s="402">
        <v>3</v>
      </c>
      <c r="O29" s="354"/>
      <c r="P29" s="389">
        <f t="shared" si="14"/>
        <v>7.2</v>
      </c>
      <c r="Q29" s="389">
        <f t="shared" si="14"/>
        <v>14.4</v>
      </c>
      <c r="R29" s="389">
        <f t="shared" si="14"/>
        <v>21.6</v>
      </c>
      <c r="S29" s="389">
        <f t="shared" si="14"/>
        <v>21.6</v>
      </c>
      <c r="T29" s="389">
        <f t="shared" si="14"/>
        <v>21.6</v>
      </c>
      <c r="U29" s="389">
        <f t="shared" si="14"/>
        <v>21.6</v>
      </c>
      <c r="V29" s="354"/>
      <c r="X29" s="417"/>
    </row>
    <row r="30" spans="2:24" s="387" customFormat="1" outlineLevel="1" x14ac:dyDescent="0.2">
      <c r="B30" s="397" t="s">
        <v>32</v>
      </c>
      <c r="C30" s="415"/>
      <c r="D30" s="355">
        <v>6</v>
      </c>
      <c r="E30" s="361" t="s">
        <v>34</v>
      </c>
      <c r="F30" s="415">
        <v>600</v>
      </c>
      <c r="G30" s="416">
        <f t="shared" si="15"/>
        <v>600</v>
      </c>
      <c r="H30" s="354"/>
      <c r="I30" s="359">
        <v>2</v>
      </c>
      <c r="J30" s="402">
        <v>2</v>
      </c>
      <c r="K30" s="402">
        <v>2</v>
      </c>
      <c r="L30" s="402">
        <v>2</v>
      </c>
      <c r="M30" s="402">
        <v>2</v>
      </c>
      <c r="N30" s="402">
        <v>2</v>
      </c>
      <c r="O30" s="354"/>
      <c r="P30" s="389">
        <f t="shared" si="14"/>
        <v>7.2</v>
      </c>
      <c r="Q30" s="389">
        <f t="shared" si="14"/>
        <v>7.2</v>
      </c>
      <c r="R30" s="389">
        <f t="shared" si="14"/>
        <v>7.2</v>
      </c>
      <c r="S30" s="389">
        <f t="shared" si="14"/>
        <v>7.2</v>
      </c>
      <c r="T30" s="389">
        <f t="shared" si="14"/>
        <v>7.2</v>
      </c>
      <c r="U30" s="389">
        <f t="shared" si="14"/>
        <v>7.2</v>
      </c>
      <c r="V30" s="354"/>
      <c r="X30" s="417"/>
    </row>
    <row r="31" spans="2:24" s="387" customFormat="1" outlineLevel="1" x14ac:dyDescent="0.2">
      <c r="B31" s="397" t="s">
        <v>134</v>
      </c>
      <c r="C31" s="415"/>
      <c r="D31" s="355">
        <v>12</v>
      </c>
      <c r="E31" s="361" t="s">
        <v>34</v>
      </c>
      <c r="F31" s="415">
        <v>600</v>
      </c>
      <c r="G31" s="416">
        <f t="shared" si="15"/>
        <v>600</v>
      </c>
      <c r="H31" s="354"/>
      <c r="I31" s="359">
        <v>2</v>
      </c>
      <c r="J31" s="402">
        <v>2</v>
      </c>
      <c r="K31" s="402">
        <v>2</v>
      </c>
      <c r="L31" s="402">
        <v>2</v>
      </c>
      <c r="M31" s="402">
        <v>2</v>
      </c>
      <c r="N31" s="402">
        <v>2</v>
      </c>
      <c r="O31" s="354"/>
      <c r="P31" s="389">
        <f t="shared" si="14"/>
        <v>14.4</v>
      </c>
      <c r="Q31" s="389">
        <f t="shared" si="14"/>
        <v>14.4</v>
      </c>
      <c r="R31" s="389">
        <f t="shared" si="14"/>
        <v>14.4</v>
      </c>
      <c r="S31" s="389">
        <f t="shared" si="14"/>
        <v>14.4</v>
      </c>
      <c r="T31" s="389">
        <f t="shared" si="14"/>
        <v>14.4</v>
      </c>
      <c r="U31" s="389">
        <f t="shared" si="14"/>
        <v>14.4</v>
      </c>
      <c r="V31" s="354"/>
      <c r="X31" s="417"/>
    </row>
    <row r="32" spans="2:24" s="362" customFormat="1" ht="15.95" customHeight="1" x14ac:dyDescent="0.2">
      <c r="B32" s="375" t="s">
        <v>36</v>
      </c>
      <c r="C32" s="391"/>
      <c r="D32" s="391"/>
      <c r="E32" s="392"/>
      <c r="F32" s="418">
        <v>0.3</v>
      </c>
      <c r="G32" s="394"/>
      <c r="H32" s="354"/>
      <c r="I32" s="379"/>
      <c r="J32" s="379"/>
      <c r="K32" s="379"/>
      <c r="L32" s="379"/>
      <c r="M32" s="379"/>
      <c r="N32" s="379"/>
      <c r="O32" s="354"/>
      <c r="P32" s="396">
        <f t="shared" ref="P32:U32" si="16">P23*$F$32</f>
        <v>22.140000000000004</v>
      </c>
      <c r="Q32" s="396">
        <f t="shared" si="16"/>
        <v>27.180000000000003</v>
      </c>
      <c r="R32" s="396">
        <f t="shared" si="16"/>
        <v>29.339999999999996</v>
      </c>
      <c r="S32" s="396">
        <f t="shared" si="16"/>
        <v>29.339999999999996</v>
      </c>
      <c r="T32" s="396">
        <f t="shared" si="16"/>
        <v>29.339999999999996</v>
      </c>
      <c r="U32" s="396">
        <f t="shared" si="16"/>
        <v>29.339999999999996</v>
      </c>
      <c r="V32" s="354"/>
    </row>
    <row r="33" spans="2:22" s="362" customFormat="1" ht="15.95" customHeight="1" x14ac:dyDescent="0.2">
      <c r="B33" s="375" t="s">
        <v>38</v>
      </c>
      <c r="C33" s="391"/>
      <c r="D33" s="391"/>
      <c r="E33" s="392"/>
      <c r="F33" s="418"/>
      <c r="G33" s="394"/>
      <c r="H33" s="354"/>
      <c r="I33" s="379"/>
      <c r="J33" s="379"/>
      <c r="K33" s="379"/>
      <c r="L33" s="379"/>
      <c r="M33" s="379"/>
      <c r="N33" s="379"/>
      <c r="O33" s="354"/>
      <c r="P33" s="396"/>
      <c r="Q33" s="396"/>
      <c r="R33" s="396"/>
      <c r="S33" s="396"/>
      <c r="T33" s="396"/>
      <c r="U33" s="396"/>
      <c r="V33" s="354"/>
    </row>
    <row r="34" spans="2:22" s="387" customFormat="1" ht="15.95" customHeight="1" x14ac:dyDescent="0.2">
      <c r="B34" s="381" t="s">
        <v>37</v>
      </c>
      <c r="C34" s="382"/>
      <c r="D34" s="382"/>
      <c r="E34" s="383"/>
      <c r="F34" s="384"/>
      <c r="G34" s="382"/>
      <c r="H34" s="354"/>
      <c r="I34" s="385"/>
      <c r="J34" s="385"/>
      <c r="K34" s="385"/>
      <c r="L34" s="385"/>
      <c r="M34" s="385"/>
      <c r="N34" s="385"/>
      <c r="O34" s="354"/>
      <c r="P34" s="386">
        <f t="shared" ref="P34:U34" si="17">SUM(P9,P15,P18,P19:P23,P32:P33)</f>
        <v>331.04321428571427</v>
      </c>
      <c r="Q34" s="386">
        <f t="shared" si="17"/>
        <v>289.83321428571429</v>
      </c>
      <c r="R34" s="386">
        <f t="shared" si="17"/>
        <v>414.2432142857142</v>
      </c>
      <c r="S34" s="386">
        <f t="shared" si="17"/>
        <v>334.19321428571425</v>
      </c>
      <c r="T34" s="386">
        <f t="shared" si="17"/>
        <v>449.2432142857142</v>
      </c>
      <c r="U34" s="386">
        <f t="shared" si="17"/>
        <v>349.19321428571425</v>
      </c>
      <c r="V34" s="354"/>
    </row>
    <row r="35" spans="2:22" ht="13.5" thickBot="1" x14ac:dyDescent="0.25">
      <c r="B35" s="397"/>
      <c r="G35" s="416"/>
      <c r="P35" s="389"/>
      <c r="Q35" s="389"/>
      <c r="R35" s="389"/>
      <c r="S35" s="389"/>
      <c r="T35" s="389"/>
      <c r="U35" s="389"/>
    </row>
    <row r="36" spans="2:22" s="362" customFormat="1" ht="15.95" customHeight="1" thickBot="1" x14ac:dyDescent="0.25">
      <c r="B36" s="369" t="s">
        <v>2</v>
      </c>
      <c r="C36" s="370"/>
      <c r="D36" s="370"/>
      <c r="E36" s="371"/>
      <c r="F36" s="372"/>
      <c r="G36" s="370"/>
      <c r="H36" s="354"/>
      <c r="I36" s="373"/>
      <c r="J36" s="373"/>
      <c r="K36" s="373"/>
      <c r="L36" s="373"/>
      <c r="M36" s="373"/>
      <c r="N36" s="373"/>
      <c r="O36" s="354"/>
      <c r="P36" s="390"/>
      <c r="Q36" s="390"/>
      <c r="R36" s="390"/>
      <c r="S36" s="390"/>
      <c r="T36" s="390"/>
      <c r="U36" s="390"/>
      <c r="V36" s="354"/>
    </row>
    <row r="37" spans="2:22" s="387" customFormat="1" x14ac:dyDescent="0.2">
      <c r="B37" s="375" t="s">
        <v>46</v>
      </c>
      <c r="C37" s="391"/>
      <c r="D37" s="391"/>
      <c r="E37" s="392"/>
      <c r="F37" s="393">
        <v>5</v>
      </c>
      <c r="G37" s="394">
        <f>F37*F1</f>
        <v>5</v>
      </c>
      <c r="H37" s="354"/>
      <c r="I37" s="379">
        <f>Production!C4</f>
        <v>0</v>
      </c>
      <c r="J37" s="379">
        <f>Production!D4</f>
        <v>12333.333333333334</v>
      </c>
      <c r="K37" s="379">
        <f>Production!E4</f>
        <v>17333.333333333332</v>
      </c>
      <c r="L37" s="379">
        <f>Production!F4</f>
        <v>24000</v>
      </c>
      <c r="M37" s="379">
        <f>Production!G4</f>
        <v>29000</v>
      </c>
      <c r="N37" s="379">
        <f>Production!H4</f>
        <v>29000</v>
      </c>
      <c r="O37" s="354"/>
      <c r="P37" s="396">
        <f t="shared" ref="P37:U37" si="18">$G37*I37/1000</f>
        <v>0</v>
      </c>
      <c r="Q37" s="396">
        <f t="shared" si="18"/>
        <v>61.666666666666671</v>
      </c>
      <c r="R37" s="396">
        <f t="shared" si="18"/>
        <v>86.666666666666657</v>
      </c>
      <c r="S37" s="396">
        <f t="shared" si="18"/>
        <v>120</v>
      </c>
      <c r="T37" s="396">
        <f t="shared" si="18"/>
        <v>145</v>
      </c>
      <c r="U37" s="396">
        <f t="shared" si="18"/>
        <v>145</v>
      </c>
      <c r="V37" s="354"/>
    </row>
    <row r="38" spans="2:22" s="387" customFormat="1" x14ac:dyDescent="0.2">
      <c r="B38" s="375" t="s">
        <v>25</v>
      </c>
      <c r="C38" s="391"/>
      <c r="D38" s="391"/>
      <c r="E38" s="392"/>
      <c r="F38" s="393"/>
      <c r="G38" s="394"/>
      <c r="H38" s="354"/>
      <c r="I38" s="379"/>
      <c r="J38" s="379"/>
      <c r="K38" s="379"/>
      <c r="L38" s="379"/>
      <c r="M38" s="379"/>
      <c r="N38" s="379"/>
      <c r="O38" s="354"/>
      <c r="P38" s="396">
        <f>5000*$F$1/1000</f>
        <v>5</v>
      </c>
      <c r="Q38" s="396">
        <f>7000*$F$1/1000</f>
        <v>7</v>
      </c>
      <c r="R38" s="396">
        <f>8000*$F$1/1000</f>
        <v>8</v>
      </c>
      <c r="S38" s="396">
        <f t="shared" ref="S38:U39" si="19">8000*$F$1/1000</f>
        <v>8</v>
      </c>
      <c r="T38" s="396">
        <f t="shared" si="19"/>
        <v>8</v>
      </c>
      <c r="U38" s="396">
        <f t="shared" si="19"/>
        <v>8</v>
      </c>
      <c r="V38" s="354"/>
    </row>
    <row r="39" spans="2:22" s="387" customFormat="1" x14ac:dyDescent="0.2">
      <c r="B39" s="375" t="s">
        <v>26</v>
      </c>
      <c r="C39" s="391"/>
      <c r="D39" s="391"/>
      <c r="E39" s="392"/>
      <c r="F39" s="393"/>
      <c r="G39" s="394"/>
      <c r="H39" s="354"/>
      <c r="I39" s="379"/>
      <c r="J39" s="379"/>
      <c r="K39" s="379"/>
      <c r="L39" s="379"/>
      <c r="M39" s="379"/>
      <c r="N39" s="379"/>
      <c r="O39" s="354"/>
      <c r="P39" s="396">
        <f>5000*$F$1/1000</f>
        <v>5</v>
      </c>
      <c r="Q39" s="396">
        <f>7000*$F$1/1000</f>
        <v>7</v>
      </c>
      <c r="R39" s="396">
        <f>8000*$F$1/1000</f>
        <v>8</v>
      </c>
      <c r="S39" s="396">
        <f t="shared" si="19"/>
        <v>8</v>
      </c>
      <c r="T39" s="396">
        <f t="shared" si="19"/>
        <v>8</v>
      </c>
      <c r="U39" s="396">
        <f t="shared" si="19"/>
        <v>8</v>
      </c>
      <c r="V39" s="354"/>
    </row>
    <row r="40" spans="2:22" s="387" customFormat="1" x14ac:dyDescent="0.2">
      <c r="B40" s="375" t="s">
        <v>132</v>
      </c>
      <c r="C40" s="391"/>
      <c r="D40" s="391"/>
      <c r="E40" s="392"/>
      <c r="F40" s="393"/>
      <c r="G40" s="394"/>
      <c r="H40" s="354"/>
      <c r="I40" s="379"/>
      <c r="J40" s="379"/>
      <c r="K40" s="379"/>
      <c r="L40" s="379"/>
      <c r="M40" s="379"/>
      <c r="N40" s="379"/>
      <c r="O40" s="354"/>
      <c r="P40" s="396">
        <f>18000*$F$1/1000</f>
        <v>18</v>
      </c>
      <c r="Q40" s="396">
        <f>P40*(J41/I41)</f>
        <v>24</v>
      </c>
      <c r="R40" s="396">
        <f>Q40*(K41/J41)</f>
        <v>30</v>
      </c>
      <c r="S40" s="396">
        <f>R40*(L41/K41)</f>
        <v>30</v>
      </c>
      <c r="T40" s="396">
        <f>S40*(M41/L41)</f>
        <v>36</v>
      </c>
      <c r="U40" s="396">
        <f>T40*(N41/M41)</f>
        <v>42</v>
      </c>
      <c r="V40" s="354"/>
    </row>
    <row r="41" spans="2:22" s="387" customFormat="1" x14ac:dyDescent="0.2">
      <c r="B41" s="375" t="s">
        <v>80</v>
      </c>
      <c r="C41" s="391"/>
      <c r="D41" s="391"/>
      <c r="E41" s="392" t="s">
        <v>35</v>
      </c>
      <c r="F41" s="393"/>
      <c r="G41" s="394"/>
      <c r="H41" s="354"/>
      <c r="I41" s="379">
        <f t="shared" ref="I41:N41" si="20">SUM(I42:I48)</f>
        <v>30</v>
      </c>
      <c r="J41" s="379">
        <f t="shared" si="20"/>
        <v>40</v>
      </c>
      <c r="K41" s="379">
        <f t="shared" si="20"/>
        <v>50</v>
      </c>
      <c r="L41" s="379">
        <f t="shared" si="20"/>
        <v>50</v>
      </c>
      <c r="M41" s="379">
        <f t="shared" si="20"/>
        <v>60</v>
      </c>
      <c r="N41" s="379">
        <f t="shared" si="20"/>
        <v>70</v>
      </c>
      <c r="O41" s="354"/>
      <c r="P41" s="396">
        <f t="shared" ref="P41:U41" si="21">SUM(P42:P48)</f>
        <v>302.40000000000003</v>
      </c>
      <c r="Q41" s="396">
        <f t="shared" si="21"/>
        <v>416.40000000000003</v>
      </c>
      <c r="R41" s="396">
        <f t="shared" si="21"/>
        <v>530.4</v>
      </c>
      <c r="S41" s="396">
        <f t="shared" si="21"/>
        <v>530.4</v>
      </c>
      <c r="T41" s="396">
        <f t="shared" si="21"/>
        <v>644.4</v>
      </c>
      <c r="U41" s="396">
        <f t="shared" si="21"/>
        <v>758.4</v>
      </c>
      <c r="V41" s="354"/>
    </row>
    <row r="42" spans="2:22" s="387" customFormat="1" outlineLevel="1" x14ac:dyDescent="0.2">
      <c r="B42" s="397" t="s">
        <v>51</v>
      </c>
      <c r="C42" s="355"/>
      <c r="D42" s="355">
        <v>12</v>
      </c>
      <c r="E42" s="361" t="s">
        <v>34</v>
      </c>
      <c r="F42" s="415">
        <v>1400</v>
      </c>
      <c r="G42" s="416">
        <f>F42*$F$1</f>
        <v>1400</v>
      </c>
      <c r="H42" s="354"/>
      <c r="I42" s="359">
        <v>10</v>
      </c>
      <c r="J42" s="402">
        <v>15</v>
      </c>
      <c r="K42" s="402">
        <v>20</v>
      </c>
      <c r="L42" s="402">
        <v>20</v>
      </c>
      <c r="M42" s="402">
        <v>25</v>
      </c>
      <c r="N42" s="402">
        <v>30</v>
      </c>
      <c r="O42" s="354"/>
      <c r="P42" s="389">
        <f t="shared" ref="P42:U42" si="22">$D42*I42*$G42/1000</f>
        <v>168</v>
      </c>
      <c r="Q42" s="389">
        <f t="shared" si="22"/>
        <v>252</v>
      </c>
      <c r="R42" s="389">
        <f t="shared" si="22"/>
        <v>336</v>
      </c>
      <c r="S42" s="389">
        <f t="shared" si="22"/>
        <v>336</v>
      </c>
      <c r="T42" s="389">
        <f t="shared" si="22"/>
        <v>420</v>
      </c>
      <c r="U42" s="389">
        <f t="shared" si="22"/>
        <v>504</v>
      </c>
      <c r="V42" s="354"/>
    </row>
    <row r="43" spans="2:22" s="387" customFormat="1" outlineLevel="1" x14ac:dyDescent="0.2">
      <c r="B43" s="397" t="s">
        <v>52</v>
      </c>
      <c r="C43" s="355"/>
      <c r="D43" s="355">
        <v>6</v>
      </c>
      <c r="E43" s="361" t="s">
        <v>34</v>
      </c>
      <c r="F43" s="415">
        <v>1000</v>
      </c>
      <c r="G43" s="416">
        <f t="shared" ref="G43:G48" si="23">F43*$F$1</f>
        <v>1000</v>
      </c>
      <c r="H43" s="354"/>
      <c r="I43" s="359">
        <v>10</v>
      </c>
      <c r="J43" s="402">
        <v>15</v>
      </c>
      <c r="K43" s="402">
        <v>20</v>
      </c>
      <c r="L43" s="402">
        <v>20</v>
      </c>
      <c r="M43" s="402">
        <v>25</v>
      </c>
      <c r="N43" s="402">
        <v>30</v>
      </c>
      <c r="O43" s="354"/>
      <c r="P43" s="389">
        <f t="shared" ref="P43:P48" si="24">$D43*I43*$G43/1000</f>
        <v>60</v>
      </c>
      <c r="Q43" s="389">
        <f t="shared" ref="Q43:Q48" si="25">$D43*J43*$G43/1000</f>
        <v>90</v>
      </c>
      <c r="R43" s="389">
        <f t="shared" ref="R43:R48" si="26">$D43*K43*$G43/1000</f>
        <v>120</v>
      </c>
      <c r="S43" s="389">
        <f t="shared" ref="S43:S48" si="27">$D43*L43*$G43/1000</f>
        <v>120</v>
      </c>
      <c r="T43" s="389">
        <f t="shared" ref="T43:T48" si="28">$D43*M43*$G43/1000</f>
        <v>150</v>
      </c>
      <c r="U43" s="389">
        <f t="shared" ref="U43:U48" si="29">$D43*N43*$G43/1000</f>
        <v>180</v>
      </c>
      <c r="V43" s="354"/>
    </row>
    <row r="44" spans="2:22" s="387" customFormat="1" outlineLevel="1" x14ac:dyDescent="0.2">
      <c r="B44" s="397" t="s">
        <v>29</v>
      </c>
      <c r="C44" s="355"/>
      <c r="D44" s="355">
        <v>12</v>
      </c>
      <c r="E44" s="361" t="s">
        <v>34</v>
      </c>
      <c r="F44" s="415">
        <v>1200</v>
      </c>
      <c r="G44" s="416">
        <f t="shared" si="23"/>
        <v>1200</v>
      </c>
      <c r="H44" s="354"/>
      <c r="I44" s="359">
        <v>2</v>
      </c>
      <c r="J44" s="402">
        <v>2</v>
      </c>
      <c r="K44" s="402">
        <v>2</v>
      </c>
      <c r="L44" s="402">
        <v>2</v>
      </c>
      <c r="M44" s="402">
        <v>2</v>
      </c>
      <c r="N44" s="402">
        <v>2</v>
      </c>
      <c r="O44" s="354"/>
      <c r="P44" s="389">
        <f t="shared" si="24"/>
        <v>28.8</v>
      </c>
      <c r="Q44" s="389">
        <f t="shared" si="25"/>
        <v>28.8</v>
      </c>
      <c r="R44" s="389">
        <f t="shared" si="26"/>
        <v>28.8</v>
      </c>
      <c r="S44" s="389">
        <f t="shared" si="27"/>
        <v>28.8</v>
      </c>
      <c r="T44" s="389">
        <f t="shared" si="28"/>
        <v>28.8</v>
      </c>
      <c r="U44" s="389">
        <f t="shared" si="29"/>
        <v>28.8</v>
      </c>
      <c r="V44" s="354"/>
    </row>
    <row r="45" spans="2:22" s="387" customFormat="1" outlineLevel="1" x14ac:dyDescent="0.2">
      <c r="B45" s="397" t="s">
        <v>53</v>
      </c>
      <c r="C45" s="355"/>
      <c r="D45" s="355">
        <v>6</v>
      </c>
      <c r="E45" s="361" t="s">
        <v>34</v>
      </c>
      <c r="F45" s="415">
        <v>800</v>
      </c>
      <c r="G45" s="416">
        <f t="shared" si="23"/>
        <v>800</v>
      </c>
      <c r="H45" s="354"/>
      <c r="I45" s="359">
        <v>5</v>
      </c>
      <c r="J45" s="402">
        <v>5</v>
      </c>
      <c r="K45" s="402">
        <v>5</v>
      </c>
      <c r="L45" s="402">
        <v>5</v>
      </c>
      <c r="M45" s="402">
        <v>5</v>
      </c>
      <c r="N45" s="402">
        <v>5</v>
      </c>
      <c r="O45" s="354"/>
      <c r="P45" s="389">
        <f t="shared" si="24"/>
        <v>24</v>
      </c>
      <c r="Q45" s="389">
        <f t="shared" si="25"/>
        <v>24</v>
      </c>
      <c r="R45" s="389">
        <f t="shared" si="26"/>
        <v>24</v>
      </c>
      <c r="S45" s="389">
        <f t="shared" si="27"/>
        <v>24</v>
      </c>
      <c r="T45" s="389">
        <f t="shared" si="28"/>
        <v>24</v>
      </c>
      <c r="U45" s="389">
        <f t="shared" si="29"/>
        <v>24</v>
      </c>
      <c r="V45" s="354"/>
    </row>
    <row r="46" spans="2:22" s="387" customFormat="1" outlineLevel="1" x14ac:dyDescent="0.2">
      <c r="B46" s="397" t="s">
        <v>31</v>
      </c>
      <c r="C46" s="355"/>
      <c r="D46" s="355">
        <v>12</v>
      </c>
      <c r="E46" s="361" t="s">
        <v>34</v>
      </c>
      <c r="F46" s="415">
        <v>800</v>
      </c>
      <c r="G46" s="416">
        <f t="shared" si="23"/>
        <v>800</v>
      </c>
      <c r="H46" s="354"/>
      <c r="I46" s="359">
        <v>1</v>
      </c>
      <c r="J46" s="402">
        <v>1</v>
      </c>
      <c r="K46" s="402">
        <v>1</v>
      </c>
      <c r="L46" s="402">
        <v>1</v>
      </c>
      <c r="M46" s="402">
        <v>1</v>
      </c>
      <c r="N46" s="402">
        <v>1</v>
      </c>
      <c r="O46" s="354"/>
      <c r="P46" s="389">
        <f t="shared" si="24"/>
        <v>9.6</v>
      </c>
      <c r="Q46" s="389">
        <f t="shared" si="25"/>
        <v>9.6</v>
      </c>
      <c r="R46" s="389">
        <f t="shared" si="26"/>
        <v>9.6</v>
      </c>
      <c r="S46" s="389">
        <f t="shared" si="27"/>
        <v>9.6</v>
      </c>
      <c r="T46" s="389">
        <f t="shared" si="28"/>
        <v>9.6</v>
      </c>
      <c r="U46" s="389">
        <f t="shared" si="29"/>
        <v>9.6</v>
      </c>
      <c r="V46" s="354"/>
    </row>
    <row r="47" spans="2:22" s="387" customFormat="1" outlineLevel="1" x14ac:dyDescent="0.2">
      <c r="B47" s="397" t="s">
        <v>54</v>
      </c>
      <c r="C47" s="355"/>
      <c r="D47" s="355">
        <v>12</v>
      </c>
      <c r="E47" s="361" t="s">
        <v>34</v>
      </c>
      <c r="F47" s="415">
        <v>800</v>
      </c>
      <c r="G47" s="416">
        <f t="shared" si="23"/>
        <v>800</v>
      </c>
      <c r="H47" s="354"/>
      <c r="I47" s="359">
        <v>1</v>
      </c>
      <c r="J47" s="402">
        <v>1</v>
      </c>
      <c r="K47" s="402">
        <v>1</v>
      </c>
      <c r="L47" s="402">
        <v>1</v>
      </c>
      <c r="M47" s="402">
        <v>1</v>
      </c>
      <c r="N47" s="402">
        <v>1</v>
      </c>
      <c r="O47" s="354"/>
      <c r="P47" s="389">
        <f t="shared" si="24"/>
        <v>9.6</v>
      </c>
      <c r="Q47" s="389">
        <f t="shared" si="25"/>
        <v>9.6</v>
      </c>
      <c r="R47" s="389">
        <f t="shared" si="26"/>
        <v>9.6</v>
      </c>
      <c r="S47" s="389">
        <f t="shared" si="27"/>
        <v>9.6</v>
      </c>
      <c r="T47" s="389">
        <f t="shared" si="28"/>
        <v>9.6</v>
      </c>
      <c r="U47" s="389">
        <f t="shared" si="29"/>
        <v>9.6</v>
      </c>
      <c r="V47" s="354"/>
    </row>
    <row r="48" spans="2:22" s="387" customFormat="1" outlineLevel="1" x14ac:dyDescent="0.2">
      <c r="B48" s="397" t="s">
        <v>55</v>
      </c>
      <c r="C48" s="355"/>
      <c r="D48" s="355">
        <v>3</v>
      </c>
      <c r="E48" s="361" t="s">
        <v>34</v>
      </c>
      <c r="F48" s="415">
        <v>800</v>
      </c>
      <c r="G48" s="416">
        <f t="shared" si="23"/>
        <v>800</v>
      </c>
      <c r="H48" s="354"/>
      <c r="I48" s="359">
        <v>1</v>
      </c>
      <c r="J48" s="402">
        <v>1</v>
      </c>
      <c r="K48" s="402">
        <v>1</v>
      </c>
      <c r="L48" s="402">
        <v>1</v>
      </c>
      <c r="M48" s="402">
        <v>1</v>
      </c>
      <c r="N48" s="402">
        <v>1</v>
      </c>
      <c r="O48" s="354"/>
      <c r="P48" s="389">
        <f t="shared" si="24"/>
        <v>2.4</v>
      </c>
      <c r="Q48" s="389">
        <f t="shared" si="25"/>
        <v>2.4</v>
      </c>
      <c r="R48" s="389">
        <f t="shared" si="26"/>
        <v>2.4</v>
      </c>
      <c r="S48" s="389">
        <f t="shared" si="27"/>
        <v>2.4</v>
      </c>
      <c r="T48" s="389">
        <f t="shared" si="28"/>
        <v>2.4</v>
      </c>
      <c r="U48" s="389">
        <f t="shared" si="29"/>
        <v>2.4</v>
      </c>
      <c r="V48" s="354"/>
    </row>
    <row r="49" spans="2:22" x14ac:dyDescent="0.2">
      <c r="B49" s="375" t="s">
        <v>36</v>
      </c>
      <c r="C49" s="391"/>
      <c r="D49" s="391"/>
      <c r="E49" s="392"/>
      <c r="F49" s="418">
        <v>0.3</v>
      </c>
      <c r="G49" s="394"/>
      <c r="I49" s="379"/>
      <c r="J49" s="379"/>
      <c r="K49" s="379"/>
      <c r="L49" s="379"/>
      <c r="M49" s="379"/>
      <c r="N49" s="379"/>
      <c r="P49" s="396">
        <f t="shared" ref="P49:U49" si="30">P41*$F$32</f>
        <v>90.720000000000013</v>
      </c>
      <c r="Q49" s="396">
        <f t="shared" si="30"/>
        <v>124.92</v>
      </c>
      <c r="R49" s="396">
        <f t="shared" si="30"/>
        <v>159.11999999999998</v>
      </c>
      <c r="S49" s="396">
        <f t="shared" si="30"/>
        <v>159.11999999999998</v>
      </c>
      <c r="T49" s="396">
        <f t="shared" si="30"/>
        <v>193.32</v>
      </c>
      <c r="U49" s="396">
        <f t="shared" si="30"/>
        <v>227.51999999999998</v>
      </c>
    </row>
    <row r="50" spans="2:22" x14ac:dyDescent="0.2">
      <c r="B50" s="375" t="s">
        <v>38</v>
      </c>
      <c r="C50" s="391"/>
      <c r="D50" s="391"/>
      <c r="E50" s="392"/>
      <c r="F50" s="418"/>
      <c r="G50" s="394"/>
      <c r="I50" s="379"/>
      <c r="J50" s="379"/>
      <c r="K50" s="379"/>
      <c r="L50" s="379"/>
      <c r="M50" s="379"/>
      <c r="N50" s="379"/>
      <c r="P50" s="396"/>
      <c r="Q50" s="396"/>
      <c r="R50" s="396"/>
      <c r="S50" s="396"/>
      <c r="T50" s="396"/>
      <c r="U50" s="396"/>
    </row>
    <row r="51" spans="2:22" x14ac:dyDescent="0.2">
      <c r="B51" s="381" t="s">
        <v>37</v>
      </c>
      <c r="C51" s="382"/>
      <c r="D51" s="382"/>
      <c r="E51" s="383"/>
      <c r="F51" s="384"/>
      <c r="G51" s="382"/>
      <c r="I51" s="385"/>
      <c r="J51" s="385"/>
      <c r="K51" s="385"/>
      <c r="L51" s="385"/>
      <c r="M51" s="385"/>
      <c r="N51" s="385"/>
      <c r="P51" s="386">
        <f t="shared" ref="P51:U51" si="31">SUM(P37:P41,P49:P50)</f>
        <v>421.12000000000006</v>
      </c>
      <c r="Q51" s="386">
        <f t="shared" si="31"/>
        <v>640.98666666666668</v>
      </c>
      <c r="R51" s="386">
        <f t="shared" si="31"/>
        <v>822.18666666666661</v>
      </c>
      <c r="S51" s="386">
        <f t="shared" si="31"/>
        <v>855.52</v>
      </c>
      <c r="T51" s="386">
        <f t="shared" si="31"/>
        <v>1034.72</v>
      </c>
      <c r="U51" s="386">
        <f t="shared" si="31"/>
        <v>1188.92</v>
      </c>
    </row>
    <row r="52" spans="2:22" ht="13.5" thickBot="1" x14ac:dyDescent="0.25">
      <c r="P52" s="389"/>
      <c r="Q52" s="389"/>
      <c r="R52" s="389"/>
      <c r="S52" s="389"/>
      <c r="T52" s="389"/>
      <c r="U52" s="389"/>
    </row>
    <row r="53" spans="2:22" s="362" customFormat="1" ht="15.95" customHeight="1" thickBot="1" x14ac:dyDescent="0.25">
      <c r="B53" s="369" t="s">
        <v>56</v>
      </c>
      <c r="C53" s="370"/>
      <c r="D53" s="370"/>
      <c r="E53" s="371"/>
      <c r="F53" s="372"/>
      <c r="G53" s="370"/>
      <c r="H53" s="354"/>
      <c r="I53" s="373"/>
      <c r="J53" s="373"/>
      <c r="K53" s="373"/>
      <c r="L53" s="373"/>
      <c r="M53" s="373"/>
      <c r="N53" s="373"/>
      <c r="O53" s="354"/>
      <c r="P53" s="390"/>
      <c r="Q53" s="390"/>
      <c r="R53" s="390"/>
      <c r="S53" s="390"/>
      <c r="T53" s="390"/>
      <c r="U53" s="390"/>
      <c r="V53" s="354"/>
    </row>
    <row r="54" spans="2:22" s="387" customFormat="1" x14ac:dyDescent="0.2">
      <c r="B54" s="375" t="s">
        <v>79</v>
      </c>
      <c r="C54" s="391"/>
      <c r="D54" s="391"/>
      <c r="E54" s="392"/>
      <c r="F54" s="393"/>
      <c r="G54" s="394"/>
      <c r="H54" s="354"/>
      <c r="I54" s="395"/>
      <c r="J54" s="395"/>
      <c r="K54" s="395"/>
      <c r="L54" s="395"/>
      <c r="M54" s="395"/>
      <c r="N54" s="395"/>
      <c r="O54" s="354"/>
      <c r="P54" s="396">
        <f t="shared" ref="P54:U54" si="32">SUM(P55:P59)</f>
        <v>63.2</v>
      </c>
      <c r="Q54" s="396">
        <f t="shared" si="32"/>
        <v>63.2</v>
      </c>
      <c r="R54" s="396">
        <f t="shared" si="32"/>
        <v>63.2</v>
      </c>
      <c r="S54" s="396">
        <f t="shared" si="32"/>
        <v>63.2</v>
      </c>
      <c r="T54" s="396">
        <f t="shared" si="32"/>
        <v>63.2</v>
      </c>
      <c r="U54" s="396">
        <f t="shared" si="32"/>
        <v>63.2</v>
      </c>
      <c r="V54" s="354"/>
    </row>
    <row r="55" spans="2:22" s="387" customFormat="1" outlineLevel="1" x14ac:dyDescent="0.2">
      <c r="B55" s="397" t="s">
        <v>25</v>
      </c>
      <c r="C55" s="355"/>
      <c r="D55" s="355">
        <v>12</v>
      </c>
      <c r="E55" s="361" t="s">
        <v>34</v>
      </c>
      <c r="F55" s="415">
        <v>300</v>
      </c>
      <c r="G55" s="416">
        <f>F55*$F$1</f>
        <v>300</v>
      </c>
      <c r="H55" s="354"/>
      <c r="I55" s="402">
        <v>12</v>
      </c>
      <c r="J55" s="402">
        <v>12</v>
      </c>
      <c r="K55" s="402">
        <v>12</v>
      </c>
      <c r="L55" s="402">
        <v>12</v>
      </c>
      <c r="M55" s="402">
        <v>12</v>
      </c>
      <c r="N55" s="402">
        <v>12</v>
      </c>
      <c r="O55" s="354"/>
      <c r="P55" s="419">
        <f t="shared" ref="P55:U59" si="33">$G55*I55/1000</f>
        <v>3.6</v>
      </c>
      <c r="Q55" s="419">
        <f t="shared" si="33"/>
        <v>3.6</v>
      </c>
      <c r="R55" s="419">
        <f t="shared" si="33"/>
        <v>3.6</v>
      </c>
      <c r="S55" s="419">
        <f t="shared" si="33"/>
        <v>3.6</v>
      </c>
      <c r="T55" s="419">
        <f t="shared" si="33"/>
        <v>3.6</v>
      </c>
      <c r="U55" s="419">
        <f t="shared" si="33"/>
        <v>3.6</v>
      </c>
      <c r="V55" s="354"/>
    </row>
    <row r="56" spans="2:22" s="387" customFormat="1" outlineLevel="1" x14ac:dyDescent="0.2">
      <c r="B56" s="397" t="s">
        <v>26</v>
      </c>
      <c r="C56" s="355"/>
      <c r="D56" s="355">
        <v>12</v>
      </c>
      <c r="E56" s="361" t="s">
        <v>34</v>
      </c>
      <c r="F56" s="415">
        <v>300</v>
      </c>
      <c r="G56" s="416">
        <f>F56*$F$1</f>
        <v>300</v>
      </c>
      <c r="H56" s="354"/>
      <c r="I56" s="402">
        <v>12</v>
      </c>
      <c r="J56" s="402">
        <v>12</v>
      </c>
      <c r="K56" s="402">
        <v>12</v>
      </c>
      <c r="L56" s="402">
        <v>12</v>
      </c>
      <c r="M56" s="402">
        <v>12</v>
      </c>
      <c r="N56" s="402">
        <v>12</v>
      </c>
      <c r="O56" s="354"/>
      <c r="P56" s="419">
        <f t="shared" si="33"/>
        <v>3.6</v>
      </c>
      <c r="Q56" s="419">
        <f t="shared" si="33"/>
        <v>3.6</v>
      </c>
      <c r="R56" s="419">
        <f t="shared" si="33"/>
        <v>3.6</v>
      </c>
      <c r="S56" s="419">
        <f t="shared" si="33"/>
        <v>3.6</v>
      </c>
      <c r="T56" s="419">
        <f t="shared" si="33"/>
        <v>3.6</v>
      </c>
      <c r="U56" s="419">
        <f t="shared" si="33"/>
        <v>3.6</v>
      </c>
      <c r="V56" s="354"/>
    </row>
    <row r="57" spans="2:22" s="387" customFormat="1" outlineLevel="1" x14ac:dyDescent="0.2">
      <c r="B57" s="397" t="s">
        <v>76</v>
      </c>
      <c r="C57" s="355"/>
      <c r="D57" s="355">
        <v>4</v>
      </c>
      <c r="E57" s="361" t="s">
        <v>34</v>
      </c>
      <c r="F57" s="415">
        <v>2000</v>
      </c>
      <c r="G57" s="416">
        <f>F57*$F$1</f>
        <v>2000</v>
      </c>
      <c r="H57" s="354"/>
      <c r="I57" s="361">
        <v>4</v>
      </c>
      <c r="J57" s="361">
        <v>4</v>
      </c>
      <c r="K57" s="361">
        <v>4</v>
      </c>
      <c r="L57" s="361">
        <v>4</v>
      </c>
      <c r="M57" s="361">
        <v>4</v>
      </c>
      <c r="N57" s="361">
        <v>4</v>
      </c>
      <c r="O57" s="354"/>
      <c r="P57" s="419">
        <f t="shared" si="33"/>
        <v>8</v>
      </c>
      <c r="Q57" s="419">
        <f t="shared" si="33"/>
        <v>8</v>
      </c>
      <c r="R57" s="419">
        <f t="shared" si="33"/>
        <v>8</v>
      </c>
      <c r="S57" s="419">
        <f t="shared" si="33"/>
        <v>8</v>
      </c>
      <c r="T57" s="419">
        <f t="shared" si="33"/>
        <v>8</v>
      </c>
      <c r="U57" s="419">
        <f t="shared" si="33"/>
        <v>8</v>
      </c>
      <c r="V57" s="354"/>
    </row>
    <row r="58" spans="2:22" s="387" customFormat="1" outlineLevel="1" x14ac:dyDescent="0.2">
      <c r="B58" s="397" t="s">
        <v>77</v>
      </c>
      <c r="C58" s="355"/>
      <c r="D58" s="355">
        <v>12</v>
      </c>
      <c r="E58" s="361" t="s">
        <v>34</v>
      </c>
      <c r="F58" s="415">
        <v>3000</v>
      </c>
      <c r="G58" s="416">
        <f>F58*$F$1</f>
        <v>3000</v>
      </c>
      <c r="H58" s="354"/>
      <c r="I58" s="361">
        <v>12</v>
      </c>
      <c r="J58" s="361">
        <v>12</v>
      </c>
      <c r="K58" s="361">
        <v>12</v>
      </c>
      <c r="L58" s="361">
        <v>12</v>
      </c>
      <c r="M58" s="361">
        <v>12</v>
      </c>
      <c r="N58" s="361">
        <v>12</v>
      </c>
      <c r="O58" s="354"/>
      <c r="P58" s="419">
        <f t="shared" si="33"/>
        <v>36</v>
      </c>
      <c r="Q58" s="419">
        <f t="shared" si="33"/>
        <v>36</v>
      </c>
      <c r="R58" s="419">
        <f t="shared" si="33"/>
        <v>36</v>
      </c>
      <c r="S58" s="419">
        <f t="shared" si="33"/>
        <v>36</v>
      </c>
      <c r="T58" s="419">
        <f t="shared" si="33"/>
        <v>36</v>
      </c>
      <c r="U58" s="419">
        <f t="shared" si="33"/>
        <v>36</v>
      </c>
      <c r="V58" s="354"/>
    </row>
    <row r="59" spans="2:22" s="387" customFormat="1" outlineLevel="1" x14ac:dyDescent="0.2">
      <c r="B59" s="397" t="s">
        <v>78</v>
      </c>
      <c r="C59" s="355"/>
      <c r="D59" s="355">
        <v>6</v>
      </c>
      <c r="E59" s="361" t="s">
        <v>34</v>
      </c>
      <c r="F59" s="415">
        <v>2000</v>
      </c>
      <c r="G59" s="416">
        <f>F59*$F$1</f>
        <v>2000</v>
      </c>
      <c r="H59" s="354"/>
      <c r="I59" s="361">
        <v>6</v>
      </c>
      <c r="J59" s="361">
        <v>6</v>
      </c>
      <c r="K59" s="361">
        <v>6</v>
      </c>
      <c r="L59" s="361">
        <v>6</v>
      </c>
      <c r="M59" s="361">
        <v>6</v>
      </c>
      <c r="N59" s="361">
        <v>6</v>
      </c>
      <c r="O59" s="354"/>
      <c r="P59" s="419">
        <f t="shared" si="33"/>
        <v>12</v>
      </c>
      <c r="Q59" s="419">
        <f t="shared" si="33"/>
        <v>12</v>
      </c>
      <c r="R59" s="419">
        <f t="shared" si="33"/>
        <v>12</v>
      </c>
      <c r="S59" s="419">
        <f t="shared" si="33"/>
        <v>12</v>
      </c>
      <c r="T59" s="419">
        <f t="shared" si="33"/>
        <v>12</v>
      </c>
      <c r="U59" s="419">
        <f t="shared" si="33"/>
        <v>12</v>
      </c>
      <c r="V59" s="354"/>
    </row>
    <row r="60" spans="2:22" s="387" customFormat="1" x14ac:dyDescent="0.2">
      <c r="B60" s="375" t="s">
        <v>80</v>
      </c>
      <c r="C60" s="391"/>
      <c r="D60" s="391"/>
      <c r="E60" s="392"/>
      <c r="F60" s="393"/>
      <c r="G60" s="394"/>
      <c r="H60" s="354"/>
      <c r="I60" s="395">
        <f t="shared" ref="I60:N60" si="34">SUM(I61:I72)</f>
        <v>27</v>
      </c>
      <c r="J60" s="395">
        <f t="shared" si="34"/>
        <v>27</v>
      </c>
      <c r="K60" s="395">
        <f t="shared" si="34"/>
        <v>30</v>
      </c>
      <c r="L60" s="395">
        <f t="shared" si="34"/>
        <v>30</v>
      </c>
      <c r="M60" s="395">
        <f t="shared" si="34"/>
        <v>30</v>
      </c>
      <c r="N60" s="395">
        <f t="shared" si="34"/>
        <v>30</v>
      </c>
      <c r="O60" s="354"/>
      <c r="P60" s="396">
        <f t="shared" ref="P60:U60" si="35">SUM(P61:P72)</f>
        <v>199.8</v>
      </c>
      <c r="Q60" s="396">
        <f t="shared" si="35"/>
        <v>199.8</v>
      </c>
      <c r="R60" s="396">
        <f t="shared" si="35"/>
        <v>210.90000000000003</v>
      </c>
      <c r="S60" s="396">
        <f t="shared" si="35"/>
        <v>210.90000000000003</v>
      </c>
      <c r="T60" s="396">
        <f t="shared" si="35"/>
        <v>210.90000000000003</v>
      </c>
      <c r="U60" s="396">
        <f t="shared" si="35"/>
        <v>210.90000000000003</v>
      </c>
      <c r="V60" s="354"/>
    </row>
    <row r="61" spans="2:22" s="387" customFormat="1" outlineLevel="1" x14ac:dyDescent="0.2">
      <c r="B61" s="397" t="s">
        <v>136</v>
      </c>
      <c r="C61" s="355"/>
      <c r="D61" s="355">
        <v>12</v>
      </c>
      <c r="E61" s="361" t="s">
        <v>34</v>
      </c>
      <c r="F61" s="415">
        <v>1800</v>
      </c>
      <c r="G61" s="416">
        <f>F61*$F$1</f>
        <v>1800</v>
      </c>
      <c r="H61" s="354"/>
      <c r="I61" s="359">
        <v>1</v>
      </c>
      <c r="J61" s="402">
        <v>1</v>
      </c>
      <c r="K61" s="402">
        <v>1</v>
      </c>
      <c r="L61" s="402">
        <v>1</v>
      </c>
      <c r="M61" s="402">
        <v>1</v>
      </c>
      <c r="N61" s="402">
        <v>1</v>
      </c>
      <c r="O61" s="354"/>
      <c r="P61" s="403">
        <f t="shared" ref="P61:U61" si="36">$D61*I61*$G61/1000</f>
        <v>21.6</v>
      </c>
      <c r="Q61" s="403">
        <f t="shared" si="36"/>
        <v>21.6</v>
      </c>
      <c r="R61" s="403">
        <f t="shared" si="36"/>
        <v>21.6</v>
      </c>
      <c r="S61" s="403">
        <f t="shared" si="36"/>
        <v>21.6</v>
      </c>
      <c r="T61" s="403">
        <f t="shared" si="36"/>
        <v>21.6</v>
      </c>
      <c r="U61" s="403">
        <f t="shared" si="36"/>
        <v>21.6</v>
      </c>
      <c r="V61" s="354"/>
    </row>
    <row r="62" spans="2:22" s="387" customFormat="1" outlineLevel="1" x14ac:dyDescent="0.2">
      <c r="B62" s="397" t="s">
        <v>137</v>
      </c>
      <c r="C62" s="355"/>
      <c r="D62" s="355">
        <v>12</v>
      </c>
      <c r="E62" s="361" t="s">
        <v>34</v>
      </c>
      <c r="F62" s="415">
        <v>1500</v>
      </c>
      <c r="G62" s="416">
        <f t="shared" ref="G62:G72" si="37">F62*$F$1</f>
        <v>1500</v>
      </c>
      <c r="H62" s="354"/>
      <c r="I62" s="359">
        <v>1</v>
      </c>
      <c r="J62" s="402">
        <v>1</v>
      </c>
      <c r="K62" s="402">
        <v>1</v>
      </c>
      <c r="L62" s="402">
        <v>1</v>
      </c>
      <c r="M62" s="402">
        <v>1</v>
      </c>
      <c r="N62" s="402">
        <v>1</v>
      </c>
      <c r="O62" s="354"/>
      <c r="P62" s="403">
        <f t="shared" ref="P62:P72" si="38">$D62*I62*$G62/1000</f>
        <v>18</v>
      </c>
      <c r="Q62" s="403">
        <f t="shared" ref="Q62:Q72" si="39">$D62*J62*$G62/1000</f>
        <v>18</v>
      </c>
      <c r="R62" s="403">
        <f t="shared" ref="R62:R72" si="40">$D62*K62*$G62/1000</f>
        <v>18</v>
      </c>
      <c r="S62" s="403">
        <f t="shared" ref="S62:S72" si="41">$D62*L62*$G62/1000</f>
        <v>18</v>
      </c>
      <c r="T62" s="403">
        <f t="shared" ref="T62:T72" si="42">$D62*M62*$G62/1000</f>
        <v>18</v>
      </c>
      <c r="U62" s="403">
        <f t="shared" ref="U62:U72" si="43">$D62*N62*$G62/1000</f>
        <v>18</v>
      </c>
      <c r="V62" s="354"/>
    </row>
    <row r="63" spans="2:22" s="387" customFormat="1" outlineLevel="1" x14ac:dyDescent="0.2">
      <c r="B63" s="397" t="s">
        <v>81</v>
      </c>
      <c r="C63" s="355"/>
      <c r="D63" s="355">
        <v>12</v>
      </c>
      <c r="E63" s="361" t="s">
        <v>34</v>
      </c>
      <c r="F63" s="415">
        <v>1000</v>
      </c>
      <c r="G63" s="416">
        <f t="shared" si="37"/>
        <v>1000</v>
      </c>
      <c r="H63" s="354"/>
      <c r="I63" s="359">
        <v>1</v>
      </c>
      <c r="J63" s="402">
        <v>1</v>
      </c>
      <c r="K63" s="402">
        <v>1</v>
      </c>
      <c r="L63" s="402">
        <v>1</v>
      </c>
      <c r="M63" s="402">
        <v>1</v>
      </c>
      <c r="N63" s="402">
        <v>1</v>
      </c>
      <c r="O63" s="354"/>
      <c r="P63" s="403">
        <f t="shared" si="38"/>
        <v>12</v>
      </c>
      <c r="Q63" s="403">
        <f t="shared" si="39"/>
        <v>12</v>
      </c>
      <c r="R63" s="403">
        <f t="shared" si="40"/>
        <v>12</v>
      </c>
      <c r="S63" s="403">
        <f t="shared" si="41"/>
        <v>12</v>
      </c>
      <c r="T63" s="403">
        <f t="shared" si="42"/>
        <v>12</v>
      </c>
      <c r="U63" s="403">
        <f t="shared" si="43"/>
        <v>12</v>
      </c>
      <c r="V63" s="354"/>
    </row>
    <row r="64" spans="2:22" s="387" customFormat="1" outlineLevel="1" x14ac:dyDescent="0.2">
      <c r="B64" s="397" t="s">
        <v>82</v>
      </c>
      <c r="C64" s="355"/>
      <c r="D64" s="355">
        <v>12</v>
      </c>
      <c r="E64" s="361" t="s">
        <v>34</v>
      </c>
      <c r="F64" s="415">
        <v>800</v>
      </c>
      <c r="G64" s="416">
        <f t="shared" si="37"/>
        <v>800</v>
      </c>
      <c r="H64" s="354"/>
      <c r="I64" s="359">
        <v>1</v>
      </c>
      <c r="J64" s="402">
        <v>1</v>
      </c>
      <c r="K64" s="402">
        <v>1</v>
      </c>
      <c r="L64" s="402">
        <v>1</v>
      </c>
      <c r="M64" s="402">
        <v>1</v>
      </c>
      <c r="N64" s="402">
        <v>1</v>
      </c>
      <c r="O64" s="354"/>
      <c r="P64" s="403">
        <f t="shared" si="38"/>
        <v>9.6</v>
      </c>
      <c r="Q64" s="403">
        <f t="shared" si="39"/>
        <v>9.6</v>
      </c>
      <c r="R64" s="403">
        <f t="shared" si="40"/>
        <v>9.6</v>
      </c>
      <c r="S64" s="403">
        <f t="shared" si="41"/>
        <v>9.6</v>
      </c>
      <c r="T64" s="403">
        <f t="shared" si="42"/>
        <v>9.6</v>
      </c>
      <c r="U64" s="403">
        <f t="shared" si="43"/>
        <v>9.6</v>
      </c>
      <c r="V64" s="354"/>
    </row>
    <row r="65" spans="2:22" s="387" customFormat="1" outlineLevel="1" x14ac:dyDescent="0.2">
      <c r="B65" s="397" t="s">
        <v>138</v>
      </c>
      <c r="C65" s="355"/>
      <c r="D65" s="355">
        <v>12</v>
      </c>
      <c r="E65" s="361" t="s">
        <v>34</v>
      </c>
      <c r="F65" s="415">
        <v>800</v>
      </c>
      <c r="G65" s="416">
        <f t="shared" si="37"/>
        <v>800</v>
      </c>
      <c r="H65" s="354"/>
      <c r="I65" s="359">
        <v>2</v>
      </c>
      <c r="J65" s="402">
        <v>2</v>
      </c>
      <c r="K65" s="402">
        <v>2</v>
      </c>
      <c r="L65" s="402">
        <v>2</v>
      </c>
      <c r="M65" s="402">
        <v>2</v>
      </c>
      <c r="N65" s="402">
        <v>2</v>
      </c>
      <c r="O65" s="354"/>
      <c r="P65" s="403">
        <f t="shared" si="38"/>
        <v>19.2</v>
      </c>
      <c r="Q65" s="403">
        <f t="shared" si="39"/>
        <v>19.2</v>
      </c>
      <c r="R65" s="403">
        <f t="shared" si="40"/>
        <v>19.2</v>
      </c>
      <c r="S65" s="403">
        <f t="shared" si="41"/>
        <v>19.2</v>
      </c>
      <c r="T65" s="403">
        <f t="shared" si="42"/>
        <v>19.2</v>
      </c>
      <c r="U65" s="403">
        <f t="shared" si="43"/>
        <v>19.2</v>
      </c>
      <c r="V65" s="354"/>
    </row>
    <row r="66" spans="2:22" s="387" customFormat="1" outlineLevel="1" x14ac:dyDescent="0.2">
      <c r="B66" s="397" t="s">
        <v>83</v>
      </c>
      <c r="C66" s="355"/>
      <c r="D66" s="355">
        <v>3</v>
      </c>
      <c r="E66" s="361" t="s">
        <v>34</v>
      </c>
      <c r="F66" s="415">
        <v>800</v>
      </c>
      <c r="G66" s="416">
        <f t="shared" si="37"/>
        <v>800</v>
      </c>
      <c r="H66" s="354"/>
      <c r="I66" s="359">
        <v>8</v>
      </c>
      <c r="J66" s="402">
        <v>8</v>
      </c>
      <c r="K66" s="402">
        <v>10</v>
      </c>
      <c r="L66" s="402">
        <v>10</v>
      </c>
      <c r="M66" s="402">
        <v>10</v>
      </c>
      <c r="N66" s="402">
        <v>10</v>
      </c>
      <c r="O66" s="354"/>
      <c r="P66" s="403">
        <f t="shared" si="38"/>
        <v>19.2</v>
      </c>
      <c r="Q66" s="403">
        <f t="shared" si="39"/>
        <v>19.2</v>
      </c>
      <c r="R66" s="403">
        <f t="shared" si="40"/>
        <v>24</v>
      </c>
      <c r="S66" s="403">
        <f t="shared" si="41"/>
        <v>24</v>
      </c>
      <c r="T66" s="403">
        <f t="shared" si="42"/>
        <v>24</v>
      </c>
      <c r="U66" s="403">
        <f t="shared" si="43"/>
        <v>24</v>
      </c>
      <c r="V66" s="354"/>
    </row>
    <row r="67" spans="2:22" s="387" customFormat="1" outlineLevel="1" x14ac:dyDescent="0.2">
      <c r="B67" s="397" t="s">
        <v>84</v>
      </c>
      <c r="C67" s="355"/>
      <c r="D67" s="355">
        <v>12</v>
      </c>
      <c r="E67" s="361" t="s">
        <v>34</v>
      </c>
      <c r="F67" s="415">
        <v>800</v>
      </c>
      <c r="G67" s="416">
        <f t="shared" si="37"/>
        <v>800</v>
      </c>
      <c r="H67" s="354"/>
      <c r="I67" s="359">
        <v>3</v>
      </c>
      <c r="J67" s="402">
        <v>3</v>
      </c>
      <c r="K67" s="402">
        <v>3</v>
      </c>
      <c r="L67" s="402">
        <v>3</v>
      </c>
      <c r="M67" s="402">
        <v>3</v>
      </c>
      <c r="N67" s="402">
        <v>3</v>
      </c>
      <c r="O67" s="354"/>
      <c r="P67" s="403">
        <f t="shared" si="38"/>
        <v>28.8</v>
      </c>
      <c r="Q67" s="403">
        <f t="shared" si="39"/>
        <v>28.8</v>
      </c>
      <c r="R67" s="403">
        <f t="shared" si="40"/>
        <v>28.8</v>
      </c>
      <c r="S67" s="403">
        <f t="shared" si="41"/>
        <v>28.8</v>
      </c>
      <c r="T67" s="403">
        <f t="shared" si="42"/>
        <v>28.8</v>
      </c>
      <c r="U67" s="403">
        <f t="shared" si="43"/>
        <v>28.8</v>
      </c>
      <c r="V67" s="354"/>
    </row>
    <row r="68" spans="2:22" s="387" customFormat="1" outlineLevel="1" x14ac:dyDescent="0.2">
      <c r="B68" s="397" t="s">
        <v>85</v>
      </c>
      <c r="C68" s="355"/>
      <c r="D68" s="355">
        <v>12</v>
      </c>
      <c r="E68" s="361" t="s">
        <v>34</v>
      </c>
      <c r="F68" s="415">
        <v>700</v>
      </c>
      <c r="G68" s="416">
        <f t="shared" si="37"/>
        <v>700</v>
      </c>
      <c r="H68" s="354"/>
      <c r="I68" s="359">
        <v>1</v>
      </c>
      <c r="J68" s="402">
        <v>1</v>
      </c>
      <c r="K68" s="402">
        <v>1</v>
      </c>
      <c r="L68" s="402">
        <v>1</v>
      </c>
      <c r="M68" s="402">
        <v>1</v>
      </c>
      <c r="N68" s="402">
        <v>1</v>
      </c>
      <c r="O68" s="354"/>
      <c r="P68" s="403">
        <f t="shared" si="38"/>
        <v>8.4</v>
      </c>
      <c r="Q68" s="403">
        <f t="shared" si="39"/>
        <v>8.4</v>
      </c>
      <c r="R68" s="403">
        <f t="shared" si="40"/>
        <v>8.4</v>
      </c>
      <c r="S68" s="403">
        <f t="shared" si="41"/>
        <v>8.4</v>
      </c>
      <c r="T68" s="403">
        <f t="shared" si="42"/>
        <v>8.4</v>
      </c>
      <c r="U68" s="403">
        <f t="shared" si="43"/>
        <v>8.4</v>
      </c>
      <c r="V68" s="354"/>
    </row>
    <row r="69" spans="2:22" s="387" customFormat="1" outlineLevel="1" x14ac:dyDescent="0.2">
      <c r="B69" s="397" t="s">
        <v>86</v>
      </c>
      <c r="C69" s="355"/>
      <c r="D69" s="355">
        <v>9</v>
      </c>
      <c r="E69" s="361" t="s">
        <v>34</v>
      </c>
      <c r="F69" s="415">
        <v>700</v>
      </c>
      <c r="G69" s="416">
        <f t="shared" si="37"/>
        <v>700</v>
      </c>
      <c r="H69" s="354"/>
      <c r="I69" s="359">
        <v>2</v>
      </c>
      <c r="J69" s="402">
        <v>2</v>
      </c>
      <c r="K69" s="402">
        <v>3</v>
      </c>
      <c r="L69" s="402">
        <v>3</v>
      </c>
      <c r="M69" s="402">
        <v>3</v>
      </c>
      <c r="N69" s="402">
        <v>3</v>
      </c>
      <c r="O69" s="354"/>
      <c r="P69" s="403">
        <f t="shared" si="38"/>
        <v>12.6</v>
      </c>
      <c r="Q69" s="403">
        <f t="shared" si="39"/>
        <v>12.6</v>
      </c>
      <c r="R69" s="403">
        <f t="shared" si="40"/>
        <v>18.899999999999999</v>
      </c>
      <c r="S69" s="403">
        <f t="shared" si="41"/>
        <v>18.899999999999999</v>
      </c>
      <c r="T69" s="403">
        <f t="shared" si="42"/>
        <v>18.899999999999999</v>
      </c>
      <c r="U69" s="403">
        <f t="shared" si="43"/>
        <v>18.899999999999999</v>
      </c>
      <c r="V69" s="354"/>
    </row>
    <row r="70" spans="2:22" s="387" customFormat="1" outlineLevel="1" x14ac:dyDescent="0.2">
      <c r="B70" s="397" t="s">
        <v>139</v>
      </c>
      <c r="C70" s="355"/>
      <c r="D70" s="355">
        <v>12</v>
      </c>
      <c r="E70" s="361" t="s">
        <v>34</v>
      </c>
      <c r="F70" s="415">
        <v>700</v>
      </c>
      <c r="G70" s="416">
        <f t="shared" si="37"/>
        <v>700</v>
      </c>
      <c r="H70" s="354"/>
      <c r="I70" s="359">
        <v>1</v>
      </c>
      <c r="J70" s="402">
        <v>1</v>
      </c>
      <c r="K70" s="402">
        <v>1</v>
      </c>
      <c r="L70" s="402">
        <v>1</v>
      </c>
      <c r="M70" s="402">
        <v>1</v>
      </c>
      <c r="N70" s="402">
        <v>1</v>
      </c>
      <c r="O70" s="354"/>
      <c r="P70" s="403">
        <f t="shared" si="38"/>
        <v>8.4</v>
      </c>
      <c r="Q70" s="403">
        <f t="shared" si="39"/>
        <v>8.4</v>
      </c>
      <c r="R70" s="403">
        <f t="shared" si="40"/>
        <v>8.4</v>
      </c>
      <c r="S70" s="403">
        <f t="shared" si="41"/>
        <v>8.4</v>
      </c>
      <c r="T70" s="403">
        <f t="shared" si="42"/>
        <v>8.4</v>
      </c>
      <c r="U70" s="403">
        <f t="shared" si="43"/>
        <v>8.4</v>
      </c>
      <c r="V70" s="354"/>
    </row>
    <row r="71" spans="2:22" s="387" customFormat="1" outlineLevel="1" x14ac:dyDescent="0.2">
      <c r="B71" s="397" t="s">
        <v>53</v>
      </c>
      <c r="C71" s="355"/>
      <c r="D71" s="355">
        <v>12</v>
      </c>
      <c r="E71" s="361" t="s">
        <v>34</v>
      </c>
      <c r="F71" s="415">
        <v>700</v>
      </c>
      <c r="G71" s="416">
        <f t="shared" si="37"/>
        <v>700</v>
      </c>
      <c r="H71" s="354"/>
      <c r="I71" s="359">
        <v>2</v>
      </c>
      <c r="J71" s="402">
        <v>2</v>
      </c>
      <c r="K71" s="402">
        <v>2</v>
      </c>
      <c r="L71" s="402">
        <v>2</v>
      </c>
      <c r="M71" s="402">
        <v>2</v>
      </c>
      <c r="N71" s="402">
        <v>2</v>
      </c>
      <c r="O71" s="354"/>
      <c r="P71" s="403">
        <f t="shared" si="38"/>
        <v>16.8</v>
      </c>
      <c r="Q71" s="403">
        <f t="shared" si="39"/>
        <v>16.8</v>
      </c>
      <c r="R71" s="403">
        <f t="shared" si="40"/>
        <v>16.8</v>
      </c>
      <c r="S71" s="403">
        <f t="shared" si="41"/>
        <v>16.8</v>
      </c>
      <c r="T71" s="403">
        <f t="shared" si="42"/>
        <v>16.8</v>
      </c>
      <c r="U71" s="403">
        <f t="shared" si="43"/>
        <v>16.8</v>
      </c>
      <c r="V71" s="354"/>
    </row>
    <row r="72" spans="2:22" s="387" customFormat="1" outlineLevel="1" x14ac:dyDescent="0.2">
      <c r="B72" s="397" t="s">
        <v>87</v>
      </c>
      <c r="C72" s="355"/>
      <c r="D72" s="355">
        <v>9</v>
      </c>
      <c r="E72" s="361" t="s">
        <v>34</v>
      </c>
      <c r="F72" s="415">
        <v>700</v>
      </c>
      <c r="G72" s="416">
        <f t="shared" si="37"/>
        <v>700</v>
      </c>
      <c r="H72" s="354"/>
      <c r="I72" s="359">
        <v>4</v>
      </c>
      <c r="J72" s="402">
        <v>4</v>
      </c>
      <c r="K72" s="402">
        <v>4</v>
      </c>
      <c r="L72" s="402">
        <v>4</v>
      </c>
      <c r="M72" s="402">
        <v>4</v>
      </c>
      <c r="N72" s="402">
        <v>4</v>
      </c>
      <c r="O72" s="354"/>
      <c r="P72" s="403">
        <f t="shared" si="38"/>
        <v>25.2</v>
      </c>
      <c r="Q72" s="403">
        <f t="shared" si="39"/>
        <v>25.2</v>
      </c>
      <c r="R72" s="403">
        <f t="shared" si="40"/>
        <v>25.2</v>
      </c>
      <c r="S72" s="403">
        <f t="shared" si="41"/>
        <v>25.2</v>
      </c>
      <c r="T72" s="403">
        <f t="shared" si="42"/>
        <v>25.2</v>
      </c>
      <c r="U72" s="403">
        <f t="shared" si="43"/>
        <v>25.2</v>
      </c>
      <c r="V72" s="354"/>
    </row>
    <row r="73" spans="2:22" x14ac:dyDescent="0.2">
      <c r="B73" s="375" t="s">
        <v>36</v>
      </c>
      <c r="C73" s="391"/>
      <c r="D73" s="391"/>
      <c r="E73" s="392"/>
      <c r="F73" s="418">
        <v>0.3</v>
      </c>
      <c r="G73" s="394"/>
      <c r="I73" s="395"/>
      <c r="J73" s="395"/>
      <c r="K73" s="395"/>
      <c r="L73" s="395"/>
      <c r="M73" s="395"/>
      <c r="N73" s="395"/>
      <c r="P73" s="405">
        <f t="shared" ref="P73:U73" si="44">P60*$F$73</f>
        <v>59.94</v>
      </c>
      <c r="Q73" s="405">
        <f t="shared" si="44"/>
        <v>59.94</v>
      </c>
      <c r="R73" s="405">
        <f t="shared" si="44"/>
        <v>63.27000000000001</v>
      </c>
      <c r="S73" s="405">
        <f t="shared" si="44"/>
        <v>63.27000000000001</v>
      </c>
      <c r="T73" s="405">
        <f t="shared" si="44"/>
        <v>63.27000000000001</v>
      </c>
      <c r="U73" s="405">
        <f t="shared" si="44"/>
        <v>63.27000000000001</v>
      </c>
    </row>
    <row r="74" spans="2:22" x14ac:dyDescent="0.2">
      <c r="B74" s="381" t="s">
        <v>37</v>
      </c>
      <c r="C74" s="382"/>
      <c r="D74" s="382"/>
      <c r="E74" s="383"/>
      <c r="F74" s="384"/>
      <c r="G74" s="382"/>
      <c r="I74" s="385"/>
      <c r="J74" s="385"/>
      <c r="K74" s="385"/>
      <c r="L74" s="385"/>
      <c r="M74" s="385"/>
      <c r="N74" s="385"/>
      <c r="P74" s="386">
        <f t="shared" ref="P74:U74" si="45">SUM(P54,P60,P73:P73)</f>
        <v>322.94</v>
      </c>
      <c r="Q74" s="386">
        <f t="shared" si="45"/>
        <v>322.94</v>
      </c>
      <c r="R74" s="386">
        <f t="shared" si="45"/>
        <v>337.37</v>
      </c>
      <c r="S74" s="386">
        <f t="shared" si="45"/>
        <v>337.37</v>
      </c>
      <c r="T74" s="386">
        <f t="shared" si="45"/>
        <v>337.37</v>
      </c>
      <c r="U74" s="386">
        <f t="shared" si="45"/>
        <v>337.37</v>
      </c>
    </row>
    <row r="75" spans="2:22" ht="13.5" thickBot="1" x14ac:dyDescent="0.25">
      <c r="P75" s="389"/>
      <c r="Q75" s="389"/>
      <c r="R75" s="389"/>
      <c r="S75" s="389"/>
      <c r="T75" s="389"/>
      <c r="U75" s="389"/>
    </row>
    <row r="76" spans="2:22" s="362" customFormat="1" ht="15.95" customHeight="1" thickBot="1" x14ac:dyDescent="0.25">
      <c r="B76" s="369" t="s">
        <v>88</v>
      </c>
      <c r="C76" s="370"/>
      <c r="D76" s="370"/>
      <c r="E76" s="371"/>
      <c r="F76" s="372"/>
      <c r="G76" s="370"/>
      <c r="H76" s="354"/>
      <c r="I76" s="373"/>
      <c r="J76" s="373"/>
      <c r="K76" s="373"/>
      <c r="L76" s="373"/>
      <c r="M76" s="373"/>
      <c r="N76" s="373"/>
      <c r="O76" s="354"/>
      <c r="P76" s="390"/>
      <c r="Q76" s="390"/>
      <c r="R76" s="390"/>
      <c r="S76" s="390"/>
      <c r="T76" s="390"/>
      <c r="U76" s="390"/>
      <c r="V76" s="354"/>
    </row>
    <row r="77" spans="2:22" s="387" customFormat="1" x14ac:dyDescent="0.2">
      <c r="B77" s="375" t="s">
        <v>91</v>
      </c>
      <c r="C77" s="391"/>
      <c r="D77" s="391"/>
      <c r="E77" s="392"/>
      <c r="F77" s="393"/>
      <c r="G77" s="394"/>
      <c r="H77" s="354"/>
      <c r="I77" s="395"/>
      <c r="J77" s="395"/>
      <c r="K77" s="395"/>
      <c r="L77" s="395"/>
      <c r="M77" s="395"/>
      <c r="N77" s="395"/>
      <c r="O77" s="354"/>
      <c r="P77" s="405">
        <f t="shared" ref="P77:U77" si="46">10000*$F$1/1000</f>
        <v>10</v>
      </c>
      <c r="Q77" s="405">
        <f t="shared" si="46"/>
        <v>10</v>
      </c>
      <c r="R77" s="405">
        <f t="shared" si="46"/>
        <v>10</v>
      </c>
      <c r="S77" s="405">
        <f t="shared" si="46"/>
        <v>10</v>
      </c>
      <c r="T77" s="405">
        <f t="shared" si="46"/>
        <v>10</v>
      </c>
      <c r="U77" s="405">
        <f t="shared" si="46"/>
        <v>10</v>
      </c>
      <c r="V77" s="354"/>
    </row>
    <row r="78" spans="2:22" s="387" customFormat="1" x14ac:dyDescent="0.2">
      <c r="B78" s="375" t="s">
        <v>80</v>
      </c>
      <c r="C78" s="391"/>
      <c r="D78" s="391"/>
      <c r="E78" s="392" t="s">
        <v>35</v>
      </c>
      <c r="F78" s="393"/>
      <c r="G78" s="394"/>
      <c r="H78" s="354"/>
      <c r="I78" s="395">
        <f t="shared" ref="I78:N78" si="47">SUM(I79:I84)</f>
        <v>5</v>
      </c>
      <c r="J78" s="395">
        <f t="shared" si="47"/>
        <v>5</v>
      </c>
      <c r="K78" s="395">
        <f t="shared" si="47"/>
        <v>5</v>
      </c>
      <c r="L78" s="395">
        <f t="shared" si="47"/>
        <v>5</v>
      </c>
      <c r="M78" s="395">
        <f t="shared" si="47"/>
        <v>5</v>
      </c>
      <c r="N78" s="395">
        <f t="shared" si="47"/>
        <v>5</v>
      </c>
      <c r="O78" s="354"/>
      <c r="P78" s="396">
        <f t="shared" ref="P78:U78" si="48">SUM(P79:P81)</f>
        <v>40.799999999999997</v>
      </c>
      <c r="Q78" s="396">
        <f t="shared" si="48"/>
        <v>40.799999999999997</v>
      </c>
      <c r="R78" s="396">
        <f t="shared" si="48"/>
        <v>40.799999999999997</v>
      </c>
      <c r="S78" s="396">
        <f t="shared" si="48"/>
        <v>40.799999999999997</v>
      </c>
      <c r="T78" s="396">
        <f t="shared" si="48"/>
        <v>40.799999999999997</v>
      </c>
      <c r="U78" s="396">
        <f t="shared" si="48"/>
        <v>40.799999999999997</v>
      </c>
      <c r="V78" s="354"/>
    </row>
    <row r="79" spans="2:22" s="387" customFormat="1" outlineLevel="1" x14ac:dyDescent="0.2">
      <c r="B79" s="397" t="s">
        <v>89</v>
      </c>
      <c r="C79" s="355"/>
      <c r="D79" s="355">
        <v>12</v>
      </c>
      <c r="E79" s="361" t="s">
        <v>34</v>
      </c>
      <c r="F79" s="415">
        <v>800</v>
      </c>
      <c r="G79" s="416">
        <f>F79*$F$1</f>
        <v>800</v>
      </c>
      <c r="H79" s="354"/>
      <c r="I79" s="402">
        <v>1</v>
      </c>
      <c r="J79" s="402">
        <v>1</v>
      </c>
      <c r="K79" s="402">
        <v>1</v>
      </c>
      <c r="L79" s="402">
        <v>1</v>
      </c>
      <c r="M79" s="402">
        <v>1</v>
      </c>
      <c r="N79" s="402">
        <v>1</v>
      </c>
      <c r="O79" s="354"/>
      <c r="P79" s="389">
        <f t="shared" ref="P79:U81" si="49">$D79*I79*$G79/1000</f>
        <v>9.6</v>
      </c>
      <c r="Q79" s="389">
        <f t="shared" si="49"/>
        <v>9.6</v>
      </c>
      <c r="R79" s="389">
        <f t="shared" si="49"/>
        <v>9.6</v>
      </c>
      <c r="S79" s="389">
        <f t="shared" si="49"/>
        <v>9.6</v>
      </c>
      <c r="T79" s="389">
        <f t="shared" si="49"/>
        <v>9.6</v>
      </c>
      <c r="U79" s="389">
        <f t="shared" si="49"/>
        <v>9.6</v>
      </c>
      <c r="V79" s="354"/>
    </row>
    <row r="80" spans="2:22" s="387" customFormat="1" outlineLevel="1" x14ac:dyDescent="0.2">
      <c r="B80" s="397" t="s">
        <v>90</v>
      </c>
      <c r="C80" s="355"/>
      <c r="D80" s="355">
        <v>12</v>
      </c>
      <c r="E80" s="361" t="s">
        <v>34</v>
      </c>
      <c r="F80" s="415">
        <v>700</v>
      </c>
      <c r="G80" s="416">
        <f>F80*$F$1</f>
        <v>700</v>
      </c>
      <c r="H80" s="354"/>
      <c r="I80" s="402">
        <v>3</v>
      </c>
      <c r="J80" s="402">
        <v>3</v>
      </c>
      <c r="K80" s="402">
        <v>3</v>
      </c>
      <c r="L80" s="402">
        <v>3</v>
      </c>
      <c r="M80" s="402">
        <v>3</v>
      </c>
      <c r="N80" s="402">
        <v>3</v>
      </c>
      <c r="O80" s="354"/>
      <c r="P80" s="389">
        <f t="shared" si="49"/>
        <v>25.2</v>
      </c>
      <c r="Q80" s="389">
        <f t="shared" si="49"/>
        <v>25.2</v>
      </c>
      <c r="R80" s="389">
        <f t="shared" si="49"/>
        <v>25.2</v>
      </c>
      <c r="S80" s="389">
        <f t="shared" si="49"/>
        <v>25.2</v>
      </c>
      <c r="T80" s="389">
        <f t="shared" si="49"/>
        <v>25.2</v>
      </c>
      <c r="U80" s="389">
        <f t="shared" si="49"/>
        <v>25.2</v>
      </c>
      <c r="V80" s="354"/>
    </row>
    <row r="81" spans="2:22" s="387" customFormat="1" outlineLevel="1" x14ac:dyDescent="0.2">
      <c r="B81" s="397" t="s">
        <v>140</v>
      </c>
      <c r="C81" s="355"/>
      <c r="D81" s="355">
        <v>12</v>
      </c>
      <c r="E81" s="361" t="s">
        <v>34</v>
      </c>
      <c r="F81" s="415">
        <v>500</v>
      </c>
      <c r="G81" s="416">
        <f>F81*$F$1</f>
        <v>500</v>
      </c>
      <c r="H81" s="354"/>
      <c r="I81" s="402">
        <v>1</v>
      </c>
      <c r="J81" s="402">
        <v>1</v>
      </c>
      <c r="K81" s="402">
        <v>1</v>
      </c>
      <c r="L81" s="402">
        <v>1</v>
      </c>
      <c r="M81" s="402">
        <v>1</v>
      </c>
      <c r="N81" s="402">
        <v>1</v>
      </c>
      <c r="O81" s="354"/>
      <c r="P81" s="389">
        <f t="shared" si="49"/>
        <v>6</v>
      </c>
      <c r="Q81" s="389">
        <f t="shared" si="49"/>
        <v>6</v>
      </c>
      <c r="R81" s="389">
        <f t="shared" si="49"/>
        <v>6</v>
      </c>
      <c r="S81" s="389">
        <f t="shared" si="49"/>
        <v>6</v>
      </c>
      <c r="T81" s="389">
        <f t="shared" si="49"/>
        <v>6</v>
      </c>
      <c r="U81" s="389">
        <f t="shared" si="49"/>
        <v>6</v>
      </c>
      <c r="V81" s="354"/>
    </row>
    <row r="82" spans="2:22" x14ac:dyDescent="0.2">
      <c r="B82" s="375" t="s">
        <v>36</v>
      </c>
      <c r="C82" s="391"/>
      <c r="D82" s="391"/>
      <c r="E82" s="392"/>
      <c r="F82" s="418">
        <v>0.3</v>
      </c>
      <c r="G82" s="394"/>
      <c r="I82" s="395"/>
      <c r="J82" s="395"/>
      <c r="K82" s="395"/>
      <c r="L82" s="395"/>
      <c r="M82" s="395"/>
      <c r="N82" s="395"/>
      <c r="P82" s="396">
        <f t="shared" ref="P82:U82" si="50">P78*$F$82</f>
        <v>12.239999999999998</v>
      </c>
      <c r="Q82" s="396">
        <f t="shared" si="50"/>
        <v>12.239999999999998</v>
      </c>
      <c r="R82" s="396">
        <f t="shared" si="50"/>
        <v>12.239999999999998</v>
      </c>
      <c r="S82" s="396">
        <f t="shared" si="50"/>
        <v>12.239999999999998</v>
      </c>
      <c r="T82" s="396">
        <f t="shared" si="50"/>
        <v>12.239999999999998</v>
      </c>
      <c r="U82" s="396">
        <f t="shared" si="50"/>
        <v>12.239999999999998</v>
      </c>
    </row>
    <row r="83" spans="2:22" x14ac:dyDescent="0.2">
      <c r="B83" s="381" t="s">
        <v>37</v>
      </c>
      <c r="C83" s="382"/>
      <c r="D83" s="382"/>
      <c r="E83" s="383"/>
      <c r="F83" s="384"/>
      <c r="G83" s="382"/>
      <c r="I83" s="385"/>
      <c r="J83" s="385"/>
      <c r="K83" s="385"/>
      <c r="L83" s="385"/>
      <c r="M83" s="385"/>
      <c r="N83" s="385"/>
      <c r="P83" s="386">
        <f t="shared" ref="P83:U83" si="51">P77+P78+P82</f>
        <v>63.039999999999992</v>
      </c>
      <c r="Q83" s="386">
        <f t="shared" si="51"/>
        <v>63.039999999999992</v>
      </c>
      <c r="R83" s="386">
        <f t="shared" si="51"/>
        <v>63.039999999999992</v>
      </c>
      <c r="S83" s="386">
        <f t="shared" si="51"/>
        <v>63.039999999999992</v>
      </c>
      <c r="T83" s="386">
        <f t="shared" si="51"/>
        <v>63.039999999999992</v>
      </c>
      <c r="U83" s="386">
        <f t="shared" si="51"/>
        <v>63.039999999999992</v>
      </c>
    </row>
    <row r="84" spans="2:22" x14ac:dyDescent="0.2">
      <c r="P84" s="389"/>
      <c r="Q84" s="389"/>
      <c r="R84" s="389"/>
      <c r="S84" s="389"/>
      <c r="T84" s="389"/>
      <c r="U84" s="389"/>
    </row>
    <row r="85" spans="2:22" s="387" customFormat="1" x14ac:dyDescent="0.2">
      <c r="B85" s="381" t="s">
        <v>94</v>
      </c>
      <c r="C85" s="420"/>
      <c r="D85" s="420"/>
      <c r="E85" s="421"/>
      <c r="F85" s="381"/>
      <c r="G85" s="420"/>
      <c r="H85" s="354"/>
      <c r="I85" s="385"/>
      <c r="J85" s="385"/>
      <c r="K85" s="385"/>
      <c r="L85" s="385"/>
      <c r="M85" s="385"/>
      <c r="N85" s="385"/>
      <c r="O85" s="354"/>
      <c r="P85" s="386">
        <f t="shared" ref="P85:U85" si="52">P6+P34+P51+P74+P83</f>
        <v>1503.5432142857144</v>
      </c>
      <c r="Q85" s="386">
        <f t="shared" si="52"/>
        <v>1682.1998809523809</v>
      </c>
      <c r="R85" s="386">
        <f t="shared" si="52"/>
        <v>2002.2398809523806</v>
      </c>
      <c r="S85" s="386">
        <f t="shared" si="52"/>
        <v>1955.5232142857139</v>
      </c>
      <c r="T85" s="386">
        <f t="shared" si="52"/>
        <v>2249.7732142857139</v>
      </c>
      <c r="U85" s="386">
        <f t="shared" si="52"/>
        <v>2303.923214285714</v>
      </c>
      <c r="V85" s="354"/>
    </row>
    <row r="87" spans="2:22" x14ac:dyDescent="0.2">
      <c r="B87" s="422" t="s">
        <v>214</v>
      </c>
      <c r="C87" s="423"/>
      <c r="D87" s="423"/>
      <c r="E87" s="424"/>
      <c r="F87" s="422"/>
      <c r="G87" s="423"/>
      <c r="H87" s="422"/>
      <c r="I87" s="425">
        <f>I23+I41+I60+I78</f>
        <v>74</v>
      </c>
      <c r="J87" s="425">
        <f t="shared" ref="J87:N87" si="53">J23+J41+J60+J78</f>
        <v>87</v>
      </c>
      <c r="K87" s="425">
        <f t="shared" si="53"/>
        <v>101</v>
      </c>
      <c r="L87" s="425">
        <f t="shared" si="53"/>
        <v>101</v>
      </c>
      <c r="M87" s="425">
        <f t="shared" si="53"/>
        <v>111</v>
      </c>
      <c r="N87" s="425">
        <f t="shared" si="53"/>
        <v>121</v>
      </c>
      <c r="P87" s="379">
        <f>P23+P32+P41+P49+P60+P73+P78+P82</f>
        <v>801.84000000000015</v>
      </c>
      <c r="Q87" s="379">
        <f t="shared" ref="Q87:U87" si="54">Q23+Q32+Q41+Q49+Q60+Q73+Q78+Q82</f>
        <v>971.88000000000011</v>
      </c>
      <c r="R87" s="379">
        <f>R23+R32+R41+R49+R60+R73+R78+R82</f>
        <v>1143.8699999999999</v>
      </c>
      <c r="S87" s="379">
        <f t="shared" si="54"/>
        <v>1143.8699999999999</v>
      </c>
      <c r="T87" s="379">
        <f t="shared" si="54"/>
        <v>1292.07</v>
      </c>
      <c r="U87" s="379">
        <f t="shared" si="54"/>
        <v>1440.27</v>
      </c>
    </row>
    <row r="88" spans="2:22" x14ac:dyDescent="0.2">
      <c r="B88" s="354" t="s">
        <v>1</v>
      </c>
      <c r="I88" s="359">
        <f>I23</f>
        <v>12</v>
      </c>
      <c r="J88" s="359">
        <f t="shared" ref="J88:N88" si="55">J23</f>
        <v>15</v>
      </c>
      <c r="K88" s="359">
        <f t="shared" si="55"/>
        <v>16</v>
      </c>
      <c r="L88" s="359">
        <f t="shared" si="55"/>
        <v>16</v>
      </c>
      <c r="M88" s="359">
        <f t="shared" si="55"/>
        <v>16</v>
      </c>
      <c r="N88" s="359">
        <f t="shared" si="55"/>
        <v>16</v>
      </c>
      <c r="P88" s="426"/>
      <c r="Q88" s="426"/>
      <c r="R88" s="426"/>
      <c r="S88" s="426"/>
      <c r="T88" s="426"/>
      <c r="U88" s="426"/>
    </row>
    <row r="89" spans="2:22" x14ac:dyDescent="0.2">
      <c r="B89" s="354" t="s">
        <v>2</v>
      </c>
      <c r="I89" s="359">
        <f>I41</f>
        <v>30</v>
      </c>
      <c r="J89" s="359">
        <f t="shared" ref="J89:N89" si="56">J41</f>
        <v>40</v>
      </c>
      <c r="K89" s="359">
        <f t="shared" si="56"/>
        <v>50</v>
      </c>
      <c r="L89" s="359">
        <f t="shared" si="56"/>
        <v>50</v>
      </c>
      <c r="M89" s="359">
        <f t="shared" si="56"/>
        <v>60</v>
      </c>
      <c r="N89" s="359">
        <f t="shared" si="56"/>
        <v>70</v>
      </c>
      <c r="O89" s="427"/>
      <c r="P89" s="428"/>
      <c r="Q89" s="428"/>
      <c r="R89" s="428"/>
      <c r="S89" s="428"/>
      <c r="T89" s="428"/>
      <c r="U89" s="428"/>
    </row>
    <row r="90" spans="2:22" x14ac:dyDescent="0.2">
      <c r="B90" s="354" t="s">
        <v>56</v>
      </c>
      <c r="I90" s="359">
        <f>I60</f>
        <v>27</v>
      </c>
      <c r="J90" s="359">
        <f t="shared" ref="J90:N90" si="57">J60</f>
        <v>27</v>
      </c>
      <c r="K90" s="359">
        <f t="shared" si="57"/>
        <v>30</v>
      </c>
      <c r="L90" s="359">
        <f t="shared" si="57"/>
        <v>30</v>
      </c>
      <c r="M90" s="359">
        <f t="shared" si="57"/>
        <v>30</v>
      </c>
      <c r="N90" s="359">
        <f t="shared" si="57"/>
        <v>30</v>
      </c>
    </row>
    <row r="91" spans="2:22" x14ac:dyDescent="0.2">
      <c r="B91" s="354" t="s">
        <v>88</v>
      </c>
      <c r="I91" s="359">
        <f>I78</f>
        <v>5</v>
      </c>
      <c r="J91" s="359">
        <f t="shared" ref="J91:N91" si="58">J78</f>
        <v>5</v>
      </c>
      <c r="K91" s="359">
        <f t="shared" si="58"/>
        <v>5</v>
      </c>
      <c r="L91" s="359">
        <f t="shared" si="58"/>
        <v>5</v>
      </c>
      <c r="M91" s="359">
        <f t="shared" si="58"/>
        <v>5</v>
      </c>
      <c r="N91" s="359">
        <f t="shared" si="58"/>
        <v>5</v>
      </c>
    </row>
  </sheetData>
  <mergeCells count="2">
    <mergeCell ref="I2:N2"/>
    <mergeCell ref="P2:U2"/>
  </mergeCells>
  <pageMargins left="0.75" right="0.75" top="1" bottom="1" header="0.5" footer="0.5"/>
  <headerFooter alignWithMargins="0"/>
  <ignoredErrors>
    <ignoredError sqref="P13:U13" formula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5"/>
  <sheetViews>
    <sheetView topLeftCell="A22" zoomScale="90" zoomScaleNormal="90" workbookViewId="0">
      <selection activeCell="F16" sqref="F16"/>
    </sheetView>
  </sheetViews>
  <sheetFormatPr defaultRowHeight="12.75" outlineLevelRow="1" x14ac:dyDescent="0.2"/>
  <cols>
    <col min="1" max="1" width="45.28515625" style="12" bestFit="1" customWidth="1"/>
    <col min="2" max="2" width="3.5703125" style="14" bestFit="1" customWidth="1"/>
    <col min="3" max="3" width="10.85546875" style="12" bestFit="1" customWidth="1"/>
    <col min="4" max="8" width="10.28515625" style="12" bestFit="1" customWidth="1"/>
    <col min="9" max="9" width="9.140625" style="12"/>
    <col min="10" max="10" width="5" style="12" bestFit="1" customWidth="1"/>
    <col min="11" max="11" width="5" style="12" customWidth="1"/>
    <col min="12" max="16384" width="9.140625" style="12"/>
  </cols>
  <sheetData>
    <row r="1" spans="1:18" ht="13.5" thickBot="1" x14ac:dyDescent="0.25">
      <c r="F1" s="4" t="s">
        <v>11</v>
      </c>
      <c r="G1" s="2">
        <f>CAPEX!I1</f>
        <v>1</v>
      </c>
      <c r="H1" s="3"/>
    </row>
    <row r="2" spans="1:18" ht="13.5" thickBot="1" x14ac:dyDescent="0.25">
      <c r="C2" s="11">
        <v>1</v>
      </c>
      <c r="D2" s="11">
        <v>2</v>
      </c>
      <c r="E2" s="11">
        <v>3</v>
      </c>
      <c r="F2" s="11">
        <v>4</v>
      </c>
      <c r="G2" s="11">
        <v>5</v>
      </c>
      <c r="H2" s="11">
        <v>6</v>
      </c>
    </row>
    <row r="4" spans="1:18" x14ac:dyDescent="0.2">
      <c r="A4" s="17" t="s">
        <v>103</v>
      </c>
      <c r="B4" s="18" t="s">
        <v>104</v>
      </c>
      <c r="C4" s="19"/>
      <c r="D4" s="19">
        <f>parameters!I8</f>
        <v>12333.333333333334</v>
      </c>
      <c r="E4" s="19">
        <f>parameters!J8</f>
        <v>17333.333333333332</v>
      </c>
      <c r="F4" s="19">
        <f>parameters!K8</f>
        <v>24000</v>
      </c>
      <c r="G4" s="19">
        <f>parameters!L8</f>
        <v>29000</v>
      </c>
      <c r="H4" s="19">
        <f>parameters!M8</f>
        <v>29000</v>
      </c>
    </row>
    <row r="5" spans="1:18" x14ac:dyDescent="0.2">
      <c r="A5" s="17" t="s">
        <v>213</v>
      </c>
      <c r="B5" s="18" t="s">
        <v>95</v>
      </c>
      <c r="C5" s="19">
        <f>C4*parameters!$B$5/1000</f>
        <v>0</v>
      </c>
      <c r="D5" s="19">
        <f>D4*parameters!$B$5/1000</f>
        <v>925</v>
      </c>
      <c r="E5" s="19">
        <f>E4*parameters!$B$5/1000</f>
        <v>1300</v>
      </c>
      <c r="F5" s="19">
        <f>F4*parameters!$B$5/1000</f>
        <v>1800</v>
      </c>
      <c r="G5" s="19">
        <f>G4*parameters!$B$5/1000</f>
        <v>2175</v>
      </c>
      <c r="H5" s="19">
        <f>H4*parameters!$B$5/1000</f>
        <v>2175</v>
      </c>
      <c r="I5" s="16">
        <f>SUM(C5:H5)</f>
        <v>8375</v>
      </c>
    </row>
    <row r="6" spans="1:18" ht="13.5" thickBot="1" x14ac:dyDescent="0.25">
      <c r="A6" s="13"/>
      <c r="B6" s="15"/>
      <c r="C6" s="16"/>
      <c r="D6" s="16"/>
      <c r="E6" s="16"/>
      <c r="F6" s="16"/>
      <c r="G6" s="16"/>
      <c r="H6" s="16"/>
      <c r="I6" s="1"/>
    </row>
    <row r="7" spans="1:18" ht="13.5" thickBot="1" x14ac:dyDescent="0.25">
      <c r="A7" s="46" t="s">
        <v>146</v>
      </c>
      <c r="C7" s="47">
        <f t="shared" ref="C7:H7" si="0">C25+C31+C36+C42</f>
        <v>1051.6832142857143</v>
      </c>
      <c r="D7" s="47">
        <f t="shared" si="0"/>
        <v>1230.339880952381</v>
      </c>
      <c r="E7" s="47">
        <f t="shared" si="0"/>
        <v>1542.1898809523809</v>
      </c>
      <c r="F7" s="47">
        <f t="shared" si="0"/>
        <v>1495.4732142857142</v>
      </c>
      <c r="G7" s="47">
        <f t="shared" si="0"/>
        <v>1789.7232142857142</v>
      </c>
      <c r="H7" s="47">
        <f t="shared" si="0"/>
        <v>1843.8732142857143</v>
      </c>
      <c r="I7" s="16">
        <f>SUM(C7:H7)</f>
        <v>8953.2826190476189</v>
      </c>
      <c r="L7" s="52">
        <v>0.2</v>
      </c>
      <c r="M7" s="152">
        <f>M$9*(1+$L7)</f>
        <v>6</v>
      </c>
      <c r="N7" s="152">
        <f t="shared" ref="N7:Q11" si="1">N$9*(1+$L7)</f>
        <v>6</v>
      </c>
      <c r="O7" s="152">
        <f t="shared" si="1"/>
        <v>6</v>
      </c>
      <c r="P7" s="152">
        <f t="shared" si="1"/>
        <v>6</v>
      </c>
      <c r="Q7" s="152">
        <f t="shared" si="1"/>
        <v>6</v>
      </c>
    </row>
    <row r="8" spans="1:18" s="42" customFormat="1" x14ac:dyDescent="0.2">
      <c r="A8" s="143" t="s">
        <v>287</v>
      </c>
      <c r="B8" s="14"/>
      <c r="C8" s="144"/>
      <c r="D8" s="144">
        <f>D7/D5</f>
        <v>1.3300971685971688</v>
      </c>
      <c r="E8" s="144">
        <f t="shared" ref="E8:H8" si="2">E7/E5</f>
        <v>1.1862999084249084</v>
      </c>
      <c r="F8" s="144">
        <f t="shared" si="2"/>
        <v>0.83081845238095231</v>
      </c>
      <c r="G8" s="144">
        <f t="shared" si="2"/>
        <v>0.82286124794745485</v>
      </c>
      <c r="H8" s="144">
        <f t="shared" si="2"/>
        <v>0.84775779967159282</v>
      </c>
      <c r="I8" s="147">
        <f>I7/I5</f>
        <v>1.0690486709310589</v>
      </c>
      <c r="L8" s="52">
        <v>0.1</v>
      </c>
      <c r="M8" s="152">
        <f>M$9*(1+$L8)</f>
        <v>5.5</v>
      </c>
      <c r="N8" s="152">
        <f t="shared" si="1"/>
        <v>5.5</v>
      </c>
      <c r="O8" s="152">
        <f t="shared" si="1"/>
        <v>5.5</v>
      </c>
      <c r="P8" s="152">
        <f t="shared" si="1"/>
        <v>5.5</v>
      </c>
      <c r="Q8" s="152">
        <f t="shared" si="1"/>
        <v>5.5</v>
      </c>
    </row>
    <row r="9" spans="1:18" s="42" customFormat="1" x14ac:dyDescent="0.2">
      <c r="A9" s="145" t="s">
        <v>155</v>
      </c>
      <c r="B9" s="14"/>
      <c r="C9" s="146"/>
      <c r="D9" s="146">
        <v>5</v>
      </c>
      <c r="E9" s="146">
        <v>5</v>
      </c>
      <c r="F9" s="146">
        <v>5</v>
      </c>
      <c r="G9" s="146">
        <v>5</v>
      </c>
      <c r="H9" s="146">
        <v>5</v>
      </c>
      <c r="I9" s="20">
        <v>5</v>
      </c>
      <c r="L9" s="53">
        <v>0</v>
      </c>
      <c r="M9" s="148">
        <v>5</v>
      </c>
      <c r="N9" s="148">
        <v>5</v>
      </c>
      <c r="O9" s="148">
        <v>5</v>
      </c>
      <c r="P9" s="148">
        <v>5</v>
      </c>
      <c r="Q9" s="148">
        <v>5</v>
      </c>
      <c r="R9" s="148"/>
    </row>
    <row r="10" spans="1:18" s="42" customFormat="1" x14ac:dyDescent="0.2">
      <c r="A10" s="145" t="s">
        <v>168</v>
      </c>
      <c r="B10" s="14"/>
      <c r="C10" s="146"/>
      <c r="D10" s="146">
        <f>D9*CAPEX!$I$1</f>
        <v>5</v>
      </c>
      <c r="E10" s="146">
        <f>E9*CAPEX!$I$1</f>
        <v>5</v>
      </c>
      <c r="F10" s="146">
        <f>F9*CAPEX!$I$1</f>
        <v>5</v>
      </c>
      <c r="G10" s="146">
        <f>G9*CAPEX!$I$1</f>
        <v>5</v>
      </c>
      <c r="H10" s="146">
        <f>H9*CAPEX!$I$1</f>
        <v>5</v>
      </c>
      <c r="I10" s="41">
        <f>I9*$G$1</f>
        <v>5</v>
      </c>
      <c r="L10" s="52">
        <v>-0.1</v>
      </c>
      <c r="M10" s="152">
        <f>M$9*(1+$L10)</f>
        <v>4.5</v>
      </c>
      <c r="N10" s="152">
        <f t="shared" si="1"/>
        <v>4.5</v>
      </c>
      <c r="O10" s="152">
        <f t="shared" si="1"/>
        <v>4.5</v>
      </c>
      <c r="P10" s="152">
        <f t="shared" si="1"/>
        <v>4.5</v>
      </c>
      <c r="Q10" s="152">
        <f t="shared" si="1"/>
        <v>4.5</v>
      </c>
      <c r="R10" s="148"/>
    </row>
    <row r="11" spans="1:18" s="42" customFormat="1" x14ac:dyDescent="0.2">
      <c r="A11" s="45" t="s">
        <v>154</v>
      </c>
      <c r="B11" s="14"/>
      <c r="C11" s="48"/>
      <c r="D11" s="48">
        <f t="shared" ref="D11:I11" si="3">(D10-D8)/D10</f>
        <v>0.73398056628056629</v>
      </c>
      <c r="E11" s="48">
        <f t="shared" si="3"/>
        <v>0.76274001831501825</v>
      </c>
      <c r="F11" s="48">
        <f t="shared" si="3"/>
        <v>0.8338363095238096</v>
      </c>
      <c r="G11" s="48">
        <f t="shared" si="3"/>
        <v>0.83542775041050898</v>
      </c>
      <c r="H11" s="48">
        <f>(H10-H8)/H10</f>
        <v>0.83044844006568153</v>
      </c>
      <c r="I11" s="48">
        <f t="shared" si="3"/>
        <v>0.78619026581378826</v>
      </c>
      <c r="L11" s="52">
        <v>-0.2</v>
      </c>
      <c r="M11" s="152">
        <f>M$9*(1+$L11)</f>
        <v>4</v>
      </c>
      <c r="N11" s="152">
        <f t="shared" si="1"/>
        <v>4</v>
      </c>
      <c r="O11" s="152">
        <f t="shared" si="1"/>
        <v>4</v>
      </c>
      <c r="P11" s="152">
        <f t="shared" si="1"/>
        <v>4</v>
      </c>
      <c r="Q11" s="152">
        <f t="shared" si="1"/>
        <v>4</v>
      </c>
      <c r="R11" s="152"/>
    </row>
    <row r="12" spans="1:18" ht="13.5" thickBot="1" x14ac:dyDescent="0.25">
      <c r="C12" s="23"/>
      <c r="D12" s="23"/>
      <c r="E12" s="23"/>
      <c r="F12" s="23"/>
      <c r="G12" s="23"/>
      <c r="H12" s="23"/>
      <c r="L12" s="150"/>
      <c r="M12" s="148"/>
      <c r="N12" s="148"/>
      <c r="O12" s="148"/>
      <c r="P12" s="148"/>
      <c r="Q12" s="148"/>
      <c r="R12" s="148"/>
    </row>
    <row r="13" spans="1:18" ht="13.5" thickBot="1" x14ac:dyDescent="0.25">
      <c r="A13" s="46" t="s">
        <v>156</v>
      </c>
      <c r="C13" s="47">
        <f t="shared" ref="C13:H13" si="4">SUM(C14:C22)</f>
        <v>1051.6832142857143</v>
      </c>
      <c r="D13" s="47">
        <f t="shared" si="4"/>
        <v>1230.3398809523808</v>
      </c>
      <c r="E13" s="47">
        <f t="shared" si="4"/>
        <v>1542.1898809523809</v>
      </c>
      <c r="F13" s="47">
        <f t="shared" si="4"/>
        <v>1495.4732142857142</v>
      </c>
      <c r="G13" s="47">
        <f t="shared" si="4"/>
        <v>1789.7232142857142</v>
      </c>
      <c r="H13" s="47">
        <f t="shared" si="4"/>
        <v>1843.8732142857141</v>
      </c>
      <c r="L13" s="151"/>
      <c r="M13" s="149"/>
      <c r="N13" s="149"/>
      <c r="O13" s="149"/>
      <c r="P13" s="149"/>
      <c r="Q13" s="149"/>
      <c r="R13" s="149"/>
    </row>
    <row r="14" spans="1:18" x14ac:dyDescent="0.2">
      <c r="A14" s="45" t="s">
        <v>149</v>
      </c>
      <c r="C14" s="142">
        <f t="shared" ref="C14:H14" si="5">C27+C35+C41+C44</f>
        <v>754.38</v>
      </c>
      <c r="D14" s="142">
        <f t="shared" si="5"/>
        <v>930.42</v>
      </c>
      <c r="E14" s="142">
        <f t="shared" si="5"/>
        <v>1100.22</v>
      </c>
      <c r="F14" s="142">
        <f t="shared" si="5"/>
        <v>1100.22</v>
      </c>
      <c r="G14" s="142">
        <f t="shared" si="5"/>
        <v>1254.42</v>
      </c>
      <c r="H14" s="142">
        <f t="shared" si="5"/>
        <v>1408.62</v>
      </c>
      <c r="I14" s="16">
        <f>SUM(C14:H14)</f>
        <v>6548.28</v>
      </c>
      <c r="J14" s="50">
        <f t="shared" ref="J14:J22" si="6">I14/$I$23</f>
        <v>0.73138314500079482</v>
      </c>
      <c r="K14" s="50"/>
    </row>
    <row r="15" spans="1:18" x14ac:dyDescent="0.2">
      <c r="A15" s="45" t="s">
        <v>25</v>
      </c>
      <c r="C15" s="142">
        <f t="shared" ref="C15:H15" si="7">C26+C33+C37</f>
        <v>167.68571428571425</v>
      </c>
      <c r="D15" s="142">
        <f t="shared" si="7"/>
        <v>69.635714285714272</v>
      </c>
      <c r="E15" s="142">
        <f t="shared" si="7"/>
        <v>170.68571428571425</v>
      </c>
      <c r="F15" s="142">
        <f t="shared" si="7"/>
        <v>70.635714285714272</v>
      </c>
      <c r="G15" s="142">
        <f t="shared" si="7"/>
        <v>170.68571428571425</v>
      </c>
      <c r="H15" s="142">
        <f t="shared" si="7"/>
        <v>70.635714285714272</v>
      </c>
      <c r="I15" s="16">
        <f t="shared" ref="I15:I22" si="8">SUM(C15:H15)</f>
        <v>719.96428571428544</v>
      </c>
      <c r="J15" s="50">
        <f t="shared" si="6"/>
        <v>8.0413443465148851E-2</v>
      </c>
      <c r="K15" s="50"/>
    </row>
    <row r="16" spans="1:18" x14ac:dyDescent="0.2">
      <c r="A16" s="45" t="s">
        <v>46</v>
      </c>
      <c r="C16" s="142">
        <f t="shared" ref="C16:H16" si="9">C32</f>
        <v>0</v>
      </c>
      <c r="D16" s="142">
        <f t="shared" si="9"/>
        <v>61.666666666666671</v>
      </c>
      <c r="E16" s="142">
        <f t="shared" si="9"/>
        <v>86.666666666666657</v>
      </c>
      <c r="F16" s="142">
        <f t="shared" si="9"/>
        <v>120</v>
      </c>
      <c r="G16" s="142">
        <f t="shared" si="9"/>
        <v>145</v>
      </c>
      <c r="H16" s="142">
        <f t="shared" si="9"/>
        <v>145</v>
      </c>
      <c r="I16" s="16">
        <f t="shared" si="8"/>
        <v>558.33333333333326</v>
      </c>
      <c r="J16" s="50">
        <f t="shared" si="6"/>
        <v>6.2360740422234606E-2</v>
      </c>
      <c r="K16" s="50"/>
    </row>
    <row r="17" spans="1:11" x14ac:dyDescent="0.2">
      <c r="A17" s="45" t="s">
        <v>161</v>
      </c>
      <c r="C17" s="142">
        <f>C29</f>
        <v>0</v>
      </c>
      <c r="D17" s="142">
        <f t="shared" ref="D17:H17" si="10">D29</f>
        <v>37</v>
      </c>
      <c r="E17" s="142">
        <f t="shared" si="10"/>
        <v>52</v>
      </c>
      <c r="F17" s="142">
        <f t="shared" si="10"/>
        <v>72</v>
      </c>
      <c r="G17" s="142">
        <f t="shared" si="10"/>
        <v>87</v>
      </c>
      <c r="H17" s="142">
        <f t="shared" si="10"/>
        <v>87</v>
      </c>
      <c r="I17" s="16">
        <f>SUM(C17:H17)</f>
        <v>335</v>
      </c>
      <c r="J17" s="50">
        <f t="shared" si="6"/>
        <v>3.7416444253340772E-2</v>
      </c>
      <c r="K17" s="50"/>
    </row>
    <row r="18" spans="1:11" x14ac:dyDescent="0.2">
      <c r="A18" s="45" t="s">
        <v>145</v>
      </c>
      <c r="C18" s="142">
        <f t="shared" ref="C18:H18" si="11">C39</f>
        <v>44</v>
      </c>
      <c r="D18" s="142">
        <f t="shared" si="11"/>
        <v>44</v>
      </c>
      <c r="E18" s="142">
        <f t="shared" si="11"/>
        <v>44</v>
      </c>
      <c r="F18" s="142">
        <f t="shared" si="11"/>
        <v>44</v>
      </c>
      <c r="G18" s="142">
        <f t="shared" si="11"/>
        <v>44</v>
      </c>
      <c r="H18" s="142">
        <f t="shared" si="11"/>
        <v>44</v>
      </c>
      <c r="I18" s="16">
        <f t="shared" si="8"/>
        <v>264</v>
      </c>
      <c r="J18" s="50">
        <f t="shared" si="6"/>
        <v>2.9486391889199888E-2</v>
      </c>
      <c r="K18" s="50"/>
    </row>
    <row r="19" spans="1:11" x14ac:dyDescent="0.2">
      <c r="A19" s="45" t="s">
        <v>150</v>
      </c>
      <c r="C19" s="142">
        <f t="shared" ref="C19:H19" si="12">C28</f>
        <v>35.017499999999998</v>
      </c>
      <c r="D19" s="142">
        <f t="shared" si="12"/>
        <v>35.017499999999998</v>
      </c>
      <c r="E19" s="142">
        <f t="shared" si="12"/>
        <v>35.017499999999998</v>
      </c>
      <c r="F19" s="142">
        <f t="shared" si="12"/>
        <v>35.017499999999998</v>
      </c>
      <c r="G19" s="142">
        <f t="shared" si="12"/>
        <v>35.017499999999998</v>
      </c>
      <c r="H19" s="142">
        <f t="shared" si="12"/>
        <v>35.017499999999998</v>
      </c>
      <c r="I19" s="16">
        <f t="shared" si="8"/>
        <v>210.10499999999996</v>
      </c>
      <c r="J19" s="50">
        <f t="shared" si="6"/>
        <v>2.3466811999546748E-2</v>
      </c>
      <c r="K19" s="50"/>
    </row>
    <row r="20" spans="1:11" x14ac:dyDescent="0.2">
      <c r="A20" s="45" t="s">
        <v>26</v>
      </c>
      <c r="C20" s="142">
        <f t="shared" ref="C20:H20" si="13">C30+C34+C38</f>
        <v>28.6</v>
      </c>
      <c r="D20" s="142">
        <f t="shared" si="13"/>
        <v>30.6</v>
      </c>
      <c r="E20" s="142">
        <f t="shared" si="13"/>
        <v>31.6</v>
      </c>
      <c r="F20" s="142">
        <f t="shared" si="13"/>
        <v>31.6</v>
      </c>
      <c r="G20" s="142">
        <f t="shared" si="13"/>
        <v>31.6</v>
      </c>
      <c r="H20" s="142">
        <f t="shared" si="13"/>
        <v>31.6</v>
      </c>
      <c r="I20" s="16">
        <f t="shared" si="8"/>
        <v>185.6</v>
      </c>
      <c r="J20" s="50">
        <f t="shared" si="6"/>
        <v>2.0729827025134467E-2</v>
      </c>
      <c r="K20" s="50"/>
    </row>
    <row r="21" spans="1:11" x14ac:dyDescent="0.2">
      <c r="A21" s="45" t="s">
        <v>78</v>
      </c>
      <c r="C21" s="142">
        <f t="shared" ref="C21:H21" si="14">C40</f>
        <v>12</v>
      </c>
      <c r="D21" s="142">
        <f t="shared" si="14"/>
        <v>12</v>
      </c>
      <c r="E21" s="142">
        <f t="shared" si="14"/>
        <v>12</v>
      </c>
      <c r="F21" s="142">
        <f t="shared" si="14"/>
        <v>12</v>
      </c>
      <c r="G21" s="142">
        <f t="shared" si="14"/>
        <v>12</v>
      </c>
      <c r="H21" s="142">
        <f t="shared" si="14"/>
        <v>12</v>
      </c>
      <c r="I21" s="16">
        <f t="shared" si="8"/>
        <v>72</v>
      </c>
      <c r="J21" s="50">
        <f t="shared" si="6"/>
        <v>8.0417432425090602E-3</v>
      </c>
      <c r="K21" s="50"/>
    </row>
    <row r="22" spans="1:11" x14ac:dyDescent="0.2">
      <c r="A22" s="45" t="s">
        <v>91</v>
      </c>
      <c r="C22" s="142">
        <f t="shared" ref="C22:H22" si="15">C43</f>
        <v>10</v>
      </c>
      <c r="D22" s="142">
        <f t="shared" si="15"/>
        <v>10</v>
      </c>
      <c r="E22" s="142">
        <f t="shared" si="15"/>
        <v>10</v>
      </c>
      <c r="F22" s="142">
        <f t="shared" si="15"/>
        <v>10</v>
      </c>
      <c r="G22" s="142">
        <f t="shared" si="15"/>
        <v>10</v>
      </c>
      <c r="H22" s="142">
        <f t="shared" si="15"/>
        <v>10</v>
      </c>
      <c r="I22" s="16">
        <f t="shared" si="8"/>
        <v>60</v>
      </c>
      <c r="J22" s="50">
        <f t="shared" si="6"/>
        <v>6.7014527020908838E-3</v>
      </c>
      <c r="K22" s="50"/>
    </row>
    <row r="23" spans="1:11" x14ac:dyDescent="0.2">
      <c r="B23" s="12"/>
      <c r="I23" s="49">
        <f>SUM(I14:I22)</f>
        <v>8953.2826190476171</v>
      </c>
    </row>
    <row r="24" spans="1:11" ht="13.5" thickBot="1" x14ac:dyDescent="0.25">
      <c r="B24" s="12"/>
    </row>
    <row r="25" spans="1:11" ht="13.5" thickBot="1" x14ac:dyDescent="0.25">
      <c r="A25" s="21" t="s">
        <v>1</v>
      </c>
      <c r="C25" s="38">
        <f t="shared" ref="C25:H25" si="16">SUM(C26:C30)</f>
        <v>328.04321428571427</v>
      </c>
      <c r="D25" s="38">
        <f t="shared" si="16"/>
        <v>286.83321428571429</v>
      </c>
      <c r="E25" s="38">
        <f t="shared" si="16"/>
        <v>411.24321428571426</v>
      </c>
      <c r="F25" s="38">
        <f t="shared" si="16"/>
        <v>331.19321428571425</v>
      </c>
      <c r="G25" s="38">
        <f t="shared" si="16"/>
        <v>446.24321428571426</v>
      </c>
      <c r="H25" s="38">
        <f t="shared" si="16"/>
        <v>346.19321428571425</v>
      </c>
      <c r="I25" s="16">
        <f>SUM(C25:H25)</f>
        <v>2149.7492857142852</v>
      </c>
    </row>
    <row r="26" spans="1:11" outlineLevel="1" x14ac:dyDescent="0.2">
      <c r="A26" s="45" t="s">
        <v>147</v>
      </c>
      <c r="B26" s="40"/>
      <c r="C26" s="39">
        <f>OPEX!P9</f>
        <v>159.08571428571426</v>
      </c>
      <c r="D26" s="39">
        <f>OPEX!Q9</f>
        <v>59.035714285714285</v>
      </c>
      <c r="E26" s="39">
        <f>OPEX!R9</f>
        <v>159.08571428571426</v>
      </c>
      <c r="F26" s="39">
        <f>OPEX!S9</f>
        <v>59.035714285714285</v>
      </c>
      <c r="G26" s="39">
        <f>OPEX!T9</f>
        <v>159.08571428571426</v>
      </c>
      <c r="H26" s="39">
        <f>OPEX!U9</f>
        <v>59.035714285714285</v>
      </c>
    </row>
    <row r="27" spans="1:11" s="42" customFormat="1" outlineLevel="1" x14ac:dyDescent="0.2">
      <c r="A27" s="45" t="s">
        <v>149</v>
      </c>
      <c r="B27" s="40"/>
      <c r="C27" s="41">
        <f>OPEX!P22+OPEX!P23+OPEX!P32</f>
        <v>113.94000000000001</v>
      </c>
      <c r="D27" s="41">
        <f>OPEX!Q22+OPEX!Q23+OPEX!Q32</f>
        <v>135.78</v>
      </c>
      <c r="E27" s="41">
        <f>OPEX!R22+OPEX!R23+OPEX!R32</f>
        <v>145.13999999999999</v>
      </c>
      <c r="F27" s="41">
        <f>OPEX!S22+OPEX!S23+OPEX!S32</f>
        <v>145.13999999999999</v>
      </c>
      <c r="G27" s="41">
        <f>OPEX!T22+OPEX!T23+OPEX!T32</f>
        <v>145.13999999999999</v>
      </c>
      <c r="H27" s="41">
        <f>OPEX!U22+OPEX!U23+OPEX!U32</f>
        <v>145.13999999999999</v>
      </c>
    </row>
    <row r="28" spans="1:11" outlineLevel="1" x14ac:dyDescent="0.2">
      <c r="A28" s="45" t="s">
        <v>150</v>
      </c>
      <c r="B28" s="40"/>
      <c r="C28" s="41">
        <f>OPEX!P18+OPEX!P15</f>
        <v>35.017499999999998</v>
      </c>
      <c r="D28" s="41">
        <f>OPEX!Q18+OPEX!Q15</f>
        <v>35.017499999999998</v>
      </c>
      <c r="E28" s="41">
        <f>OPEX!R18+OPEX!R15</f>
        <v>35.017499999999998</v>
      </c>
      <c r="F28" s="41">
        <f>OPEX!S18+OPEX!S15</f>
        <v>35.017499999999998</v>
      </c>
      <c r="G28" s="41">
        <f>OPEX!T18+OPEX!T15</f>
        <v>35.017499999999998</v>
      </c>
      <c r="H28" s="41">
        <f>OPEX!U18+OPEX!U15</f>
        <v>35.017499999999998</v>
      </c>
    </row>
    <row r="29" spans="1:11" outlineLevel="1" x14ac:dyDescent="0.2">
      <c r="A29" s="45" t="s">
        <v>130</v>
      </c>
      <c r="B29" s="40"/>
      <c r="C29" s="41">
        <f>OPEX!P19</f>
        <v>0</v>
      </c>
      <c r="D29" s="41">
        <f>OPEX!Q19</f>
        <v>37</v>
      </c>
      <c r="E29" s="41">
        <f>OPEX!R19</f>
        <v>52</v>
      </c>
      <c r="F29" s="41">
        <f>OPEX!S19</f>
        <v>72</v>
      </c>
      <c r="G29" s="41">
        <f>OPEX!T19</f>
        <v>87</v>
      </c>
      <c r="H29" s="41">
        <f>OPEX!U19</f>
        <v>87</v>
      </c>
    </row>
    <row r="30" spans="1:11" ht="13.5" outlineLevel="1" thickBot="1" x14ac:dyDescent="0.25">
      <c r="A30" s="45" t="s">
        <v>26</v>
      </c>
      <c r="B30" s="40"/>
      <c r="C30" s="41">
        <f>OPEX!P21</f>
        <v>20</v>
      </c>
      <c r="D30" s="41">
        <f>OPEX!Q21</f>
        <v>20</v>
      </c>
      <c r="E30" s="41">
        <f>OPEX!R21</f>
        <v>20</v>
      </c>
      <c r="F30" s="41">
        <f>OPEX!S21</f>
        <v>20</v>
      </c>
      <c r="G30" s="41">
        <f>OPEX!T21</f>
        <v>20</v>
      </c>
      <c r="H30" s="41">
        <f>OPEX!U21</f>
        <v>20</v>
      </c>
    </row>
    <row r="31" spans="1:11" ht="13.5" thickBot="1" x14ac:dyDescent="0.25">
      <c r="A31" s="21" t="s">
        <v>2</v>
      </c>
      <c r="C31" s="38">
        <f t="shared" ref="C31:H31" si="17">SUM(C32:C35)</f>
        <v>421.12000000000006</v>
      </c>
      <c r="D31" s="38">
        <f t="shared" si="17"/>
        <v>640.98666666666668</v>
      </c>
      <c r="E31" s="38">
        <f t="shared" si="17"/>
        <v>822.18666666666661</v>
      </c>
      <c r="F31" s="38">
        <f t="shared" si="17"/>
        <v>855.52</v>
      </c>
      <c r="G31" s="38">
        <f t="shared" si="17"/>
        <v>1034.72</v>
      </c>
      <c r="H31" s="38">
        <f t="shared" si="17"/>
        <v>1188.92</v>
      </c>
      <c r="I31" s="16">
        <f>SUM(C31:H31)</f>
        <v>4963.4533333333338</v>
      </c>
    </row>
    <row r="32" spans="1:11" outlineLevel="1" x14ac:dyDescent="0.2">
      <c r="A32" s="45" t="s">
        <v>46</v>
      </c>
      <c r="C32" s="16">
        <f>OPEX!P37</f>
        <v>0</v>
      </c>
      <c r="D32" s="16">
        <f>OPEX!Q37</f>
        <v>61.666666666666671</v>
      </c>
      <c r="E32" s="16">
        <f>OPEX!R37</f>
        <v>86.666666666666657</v>
      </c>
      <c r="F32" s="16">
        <f>OPEX!S37</f>
        <v>120</v>
      </c>
      <c r="G32" s="16">
        <f>OPEX!T37</f>
        <v>145</v>
      </c>
      <c r="H32" s="16">
        <f>OPEX!U37</f>
        <v>145</v>
      </c>
    </row>
    <row r="33" spans="1:9" outlineLevel="1" x14ac:dyDescent="0.2">
      <c r="A33" s="45" t="s">
        <v>25</v>
      </c>
      <c r="C33" s="16">
        <f>OPEX!P38</f>
        <v>5</v>
      </c>
      <c r="D33" s="16">
        <f>OPEX!Q38</f>
        <v>7</v>
      </c>
      <c r="E33" s="16">
        <f>OPEX!R38</f>
        <v>8</v>
      </c>
      <c r="F33" s="16">
        <f>OPEX!S38</f>
        <v>8</v>
      </c>
      <c r="G33" s="16">
        <f>OPEX!T38</f>
        <v>8</v>
      </c>
      <c r="H33" s="16">
        <f>OPEX!U38</f>
        <v>8</v>
      </c>
    </row>
    <row r="34" spans="1:9" outlineLevel="1" x14ac:dyDescent="0.2">
      <c r="A34" s="45" t="s">
        <v>26</v>
      </c>
      <c r="B34" s="12"/>
      <c r="C34" s="16">
        <f>OPEX!P39</f>
        <v>5</v>
      </c>
      <c r="D34" s="16">
        <f>OPEX!Q39</f>
        <v>7</v>
      </c>
      <c r="E34" s="16">
        <f>OPEX!R39</f>
        <v>8</v>
      </c>
      <c r="F34" s="16">
        <f>OPEX!S39</f>
        <v>8</v>
      </c>
      <c r="G34" s="16">
        <f>OPEX!T39</f>
        <v>8</v>
      </c>
      <c r="H34" s="16">
        <f>OPEX!U39</f>
        <v>8</v>
      </c>
    </row>
    <row r="35" spans="1:9" ht="13.5" outlineLevel="1" thickBot="1" x14ac:dyDescent="0.25">
      <c r="A35" s="45" t="s">
        <v>149</v>
      </c>
      <c r="B35" s="12"/>
      <c r="C35" s="16">
        <f>OPEX!P41+OPEX!P40+OPEX!P49</f>
        <v>411.12000000000006</v>
      </c>
      <c r="D35" s="16">
        <f>OPEX!Q41+OPEX!Q40+OPEX!Q49</f>
        <v>565.32000000000005</v>
      </c>
      <c r="E35" s="16">
        <f>OPEX!R41+OPEX!R40+OPEX!R49</f>
        <v>719.52</v>
      </c>
      <c r="F35" s="16">
        <f>OPEX!S41+OPEX!S40+OPEX!S49</f>
        <v>719.52</v>
      </c>
      <c r="G35" s="16">
        <f>OPEX!T41+OPEX!T40+OPEX!T49</f>
        <v>873.72</v>
      </c>
      <c r="H35" s="16">
        <f>OPEX!U41+OPEX!U40+OPEX!U49</f>
        <v>1027.92</v>
      </c>
    </row>
    <row r="36" spans="1:9" ht="13.5" thickBot="1" x14ac:dyDescent="0.25">
      <c r="A36" s="21" t="s">
        <v>56</v>
      </c>
      <c r="C36" s="38">
        <f t="shared" ref="C36:H36" si="18">SUM(C37:C41)</f>
        <v>239.48000000000002</v>
      </c>
      <c r="D36" s="38">
        <f t="shared" si="18"/>
        <v>239.48000000000002</v>
      </c>
      <c r="E36" s="38">
        <f t="shared" si="18"/>
        <v>245.72000000000003</v>
      </c>
      <c r="F36" s="38">
        <f t="shared" si="18"/>
        <v>245.72000000000003</v>
      </c>
      <c r="G36" s="38">
        <f t="shared" si="18"/>
        <v>245.72000000000003</v>
      </c>
      <c r="H36" s="38">
        <f t="shared" si="18"/>
        <v>245.72000000000003</v>
      </c>
      <c r="I36" s="16">
        <f>SUM(C36:H36)</f>
        <v>1461.8400000000001</v>
      </c>
    </row>
    <row r="37" spans="1:9" outlineLevel="1" x14ac:dyDescent="0.2">
      <c r="A37" s="45" t="s">
        <v>25</v>
      </c>
      <c r="C37" s="16">
        <f>OPEX!P55</f>
        <v>3.6</v>
      </c>
      <c r="D37" s="16">
        <f>OPEX!Q55</f>
        <v>3.6</v>
      </c>
      <c r="E37" s="16">
        <f>OPEX!R55</f>
        <v>3.6</v>
      </c>
      <c r="F37" s="16">
        <f>OPEX!S55</f>
        <v>3.6</v>
      </c>
      <c r="G37" s="16">
        <f>OPEX!T55</f>
        <v>3.6</v>
      </c>
      <c r="H37" s="16">
        <f>OPEX!U55</f>
        <v>3.6</v>
      </c>
    </row>
    <row r="38" spans="1:9" outlineLevel="1" x14ac:dyDescent="0.2">
      <c r="A38" s="45" t="s">
        <v>26</v>
      </c>
      <c r="C38" s="16">
        <f>OPEX!P56</f>
        <v>3.6</v>
      </c>
      <c r="D38" s="16">
        <f>OPEX!Q56</f>
        <v>3.6</v>
      </c>
      <c r="E38" s="16">
        <f>OPEX!R56</f>
        <v>3.6</v>
      </c>
      <c r="F38" s="16">
        <f>OPEX!S56</f>
        <v>3.6</v>
      </c>
      <c r="G38" s="16">
        <f>OPEX!T56</f>
        <v>3.6</v>
      </c>
      <c r="H38" s="16">
        <f>OPEX!U56</f>
        <v>3.6</v>
      </c>
    </row>
    <row r="39" spans="1:9" outlineLevel="1" x14ac:dyDescent="0.2">
      <c r="A39" s="45" t="s">
        <v>145</v>
      </c>
      <c r="C39" s="16">
        <f>OPEX!P57+OPEX!P58</f>
        <v>44</v>
      </c>
      <c r="D39" s="16">
        <f>OPEX!Q57+OPEX!Q58</f>
        <v>44</v>
      </c>
      <c r="E39" s="16">
        <f>OPEX!R57+OPEX!R58</f>
        <v>44</v>
      </c>
      <c r="F39" s="16">
        <f>OPEX!S57+OPEX!S58</f>
        <v>44</v>
      </c>
      <c r="G39" s="16">
        <f>OPEX!T57+OPEX!T58</f>
        <v>44</v>
      </c>
      <c r="H39" s="16">
        <f>OPEX!U57+OPEX!U58</f>
        <v>44</v>
      </c>
    </row>
    <row r="40" spans="1:9" outlineLevel="1" x14ac:dyDescent="0.2">
      <c r="A40" s="45" t="s">
        <v>78</v>
      </c>
      <c r="B40" s="12"/>
      <c r="C40" s="16">
        <f>OPEX!P59</f>
        <v>12</v>
      </c>
      <c r="D40" s="16">
        <f>OPEX!Q59</f>
        <v>12</v>
      </c>
      <c r="E40" s="16">
        <f>OPEX!R59</f>
        <v>12</v>
      </c>
      <c r="F40" s="16">
        <f>OPEX!S59</f>
        <v>12</v>
      </c>
      <c r="G40" s="16">
        <f>OPEX!T59</f>
        <v>12</v>
      </c>
      <c r="H40" s="16">
        <f>OPEX!U59</f>
        <v>12</v>
      </c>
    </row>
    <row r="41" spans="1:9" ht="13.5" outlineLevel="1" thickBot="1" x14ac:dyDescent="0.25">
      <c r="A41" s="45" t="s">
        <v>151</v>
      </c>
      <c r="B41" s="12"/>
      <c r="C41" s="16">
        <f>SUM(OPEX!P62,OPEX!P65:P68,OPEX!P71:P72)*(1+OPEX!$F$73)</f>
        <v>176.28</v>
      </c>
      <c r="D41" s="16">
        <f>SUM(OPEX!Q62,OPEX!Q65:Q68,OPEX!Q71:Q72)*(1+OPEX!$F$73)</f>
        <v>176.28</v>
      </c>
      <c r="E41" s="16">
        <f>SUM(OPEX!R62,OPEX!R65:R68,OPEX!R71:R72)*(1+OPEX!$F$73)</f>
        <v>182.52</v>
      </c>
      <c r="F41" s="16">
        <f>SUM(OPEX!S62,OPEX!S65:S68,OPEX!S71:S72)*(1+OPEX!$F$73)</f>
        <v>182.52</v>
      </c>
      <c r="G41" s="16">
        <f>SUM(OPEX!T62,OPEX!T65:T68,OPEX!T71:T72)*(1+OPEX!$F$73)</f>
        <v>182.52</v>
      </c>
      <c r="H41" s="16">
        <f>SUM(OPEX!U62,OPEX!U65:U68,OPEX!U71:U72)*(1+OPEX!$F$73)</f>
        <v>182.52</v>
      </c>
    </row>
    <row r="42" spans="1:9" ht="13.5" thickBot="1" x14ac:dyDescent="0.25">
      <c r="A42" s="21" t="s">
        <v>88</v>
      </c>
      <c r="B42" s="12"/>
      <c r="C42" s="38">
        <f t="shared" ref="C42:H42" si="19">SUM(C43:C44)</f>
        <v>63.039999999999992</v>
      </c>
      <c r="D42" s="38">
        <f t="shared" si="19"/>
        <v>63.039999999999992</v>
      </c>
      <c r="E42" s="38">
        <f t="shared" si="19"/>
        <v>63.039999999999992</v>
      </c>
      <c r="F42" s="38">
        <f t="shared" si="19"/>
        <v>63.039999999999992</v>
      </c>
      <c r="G42" s="38">
        <f t="shared" si="19"/>
        <v>63.039999999999992</v>
      </c>
      <c r="H42" s="38">
        <f t="shared" si="19"/>
        <v>63.039999999999992</v>
      </c>
      <c r="I42" s="16">
        <f>SUM(C42:H42)</f>
        <v>378.2399999999999</v>
      </c>
    </row>
    <row r="43" spans="1:9" outlineLevel="1" x14ac:dyDescent="0.2">
      <c r="A43" s="45" t="s">
        <v>91</v>
      </c>
      <c r="B43" s="12"/>
      <c r="C43" s="16">
        <f>OPEX!P77</f>
        <v>10</v>
      </c>
      <c r="D43" s="16">
        <f>OPEX!Q77</f>
        <v>10</v>
      </c>
      <c r="E43" s="16">
        <f>OPEX!R77</f>
        <v>10</v>
      </c>
      <c r="F43" s="16">
        <f>OPEX!S77</f>
        <v>10</v>
      </c>
      <c r="G43" s="16">
        <f>OPEX!T77</f>
        <v>10</v>
      </c>
      <c r="H43" s="16">
        <f>OPEX!U77</f>
        <v>10</v>
      </c>
    </row>
    <row r="44" spans="1:9" outlineLevel="1" x14ac:dyDescent="0.2">
      <c r="A44" s="45" t="s">
        <v>151</v>
      </c>
      <c r="B44" s="12"/>
      <c r="C44" s="16">
        <f>OPEX!P78+OPEX!P82</f>
        <v>53.039999999999992</v>
      </c>
      <c r="D44" s="16">
        <f>OPEX!Q78+OPEX!Q82</f>
        <v>53.039999999999992</v>
      </c>
      <c r="E44" s="16">
        <f>OPEX!R78+OPEX!R82</f>
        <v>53.039999999999992</v>
      </c>
      <c r="F44" s="16">
        <f>OPEX!S78+OPEX!S82</f>
        <v>53.039999999999992</v>
      </c>
      <c r="G44" s="16">
        <f>OPEX!T78+OPEX!T82</f>
        <v>53.039999999999992</v>
      </c>
      <c r="H44" s="16">
        <f>OPEX!U78+OPEX!U82</f>
        <v>53.039999999999992</v>
      </c>
    </row>
    <row r="45" spans="1:9" ht="13.5" thickBot="1" x14ac:dyDescent="0.25">
      <c r="B45" s="12"/>
    </row>
    <row r="46" spans="1:9" ht="13.5" thickBot="1" x14ac:dyDescent="0.25">
      <c r="A46" s="43" t="s">
        <v>153</v>
      </c>
      <c r="B46" s="12"/>
      <c r="C46" s="44">
        <f t="shared" ref="C46:H46" si="20">SUM(C47:C50)</f>
        <v>451.86</v>
      </c>
      <c r="D46" s="44">
        <f t="shared" si="20"/>
        <v>451.86</v>
      </c>
      <c r="E46" s="44">
        <f t="shared" si="20"/>
        <v>460.05000000000007</v>
      </c>
      <c r="F46" s="44">
        <f t="shared" si="20"/>
        <v>460.05000000000007</v>
      </c>
      <c r="G46" s="44">
        <f t="shared" si="20"/>
        <v>460.05000000000007</v>
      </c>
      <c r="H46" s="44">
        <f t="shared" si="20"/>
        <v>460.05000000000007</v>
      </c>
    </row>
    <row r="47" spans="1:9" outlineLevel="1" x14ac:dyDescent="0.2">
      <c r="A47" s="45" t="s">
        <v>131</v>
      </c>
      <c r="C47" s="16">
        <f>OPEX!P20</f>
        <v>3</v>
      </c>
      <c r="D47" s="16">
        <f>OPEX!Q20</f>
        <v>3</v>
      </c>
      <c r="E47" s="16">
        <f>OPEX!R20</f>
        <v>3</v>
      </c>
      <c r="F47" s="16">
        <f>OPEX!S20</f>
        <v>3</v>
      </c>
      <c r="G47" s="16">
        <f>OPEX!T20</f>
        <v>3</v>
      </c>
      <c r="H47" s="16">
        <f>OPEX!U20</f>
        <v>3</v>
      </c>
    </row>
    <row r="48" spans="1:9" outlineLevel="1" x14ac:dyDescent="0.2">
      <c r="A48" s="45" t="s">
        <v>49</v>
      </c>
      <c r="C48" s="16">
        <f>OPEX!P5</f>
        <v>365.4</v>
      </c>
      <c r="D48" s="16">
        <f>OPEX!Q5</f>
        <v>365.4</v>
      </c>
      <c r="E48" s="16">
        <f>OPEX!R5</f>
        <v>365.4</v>
      </c>
      <c r="F48" s="16">
        <f>OPEX!S5</f>
        <v>365.4</v>
      </c>
      <c r="G48" s="16">
        <f>OPEX!T5</f>
        <v>365.4</v>
      </c>
      <c r="H48" s="16">
        <f>OPEX!U5</f>
        <v>365.4</v>
      </c>
    </row>
    <row r="49" spans="1:8" outlineLevel="1" x14ac:dyDescent="0.2">
      <c r="A49" s="45" t="s">
        <v>152</v>
      </c>
      <c r="C49" s="16">
        <f>OPEX!P60+OPEX!P73-Production!C41</f>
        <v>83.460000000000008</v>
      </c>
      <c r="D49" s="16">
        <f>OPEX!Q60+OPEX!Q73-Production!D41</f>
        <v>83.460000000000008</v>
      </c>
      <c r="E49" s="16">
        <f>OPEX!R60+OPEX!R73-Production!E41</f>
        <v>91.650000000000063</v>
      </c>
      <c r="F49" s="16">
        <f>OPEX!S60+OPEX!S73-Production!F41</f>
        <v>91.650000000000063</v>
      </c>
      <c r="G49" s="16">
        <f>OPEX!T60+OPEX!T73-Production!G41</f>
        <v>91.650000000000063</v>
      </c>
      <c r="H49" s="16">
        <f>OPEX!U60+OPEX!U73-Production!H41</f>
        <v>91.650000000000063</v>
      </c>
    </row>
    <row r="50" spans="1:8" outlineLevel="1" x14ac:dyDescent="0.2">
      <c r="A50" s="45" t="s">
        <v>38</v>
      </c>
      <c r="C50" s="16">
        <f>OPEX!P33+OPEX!P50</f>
        <v>0</v>
      </c>
      <c r="D50" s="16">
        <f>OPEX!Q33+OPEX!Q50</f>
        <v>0</v>
      </c>
      <c r="E50" s="16">
        <f>OPEX!R33+OPEX!R50</f>
        <v>0</v>
      </c>
      <c r="F50" s="16">
        <f>OPEX!S33+OPEX!S50</f>
        <v>0</v>
      </c>
      <c r="G50" s="16">
        <f>OPEX!T33+OPEX!T50</f>
        <v>0</v>
      </c>
      <c r="H50" s="16">
        <f>OPEX!U33+OPEX!U50</f>
        <v>0</v>
      </c>
    </row>
    <row r="51" spans="1:8" x14ac:dyDescent="0.2">
      <c r="B51" s="12"/>
    </row>
    <row r="52" spans="1:8" x14ac:dyDescent="0.2">
      <c r="A52" s="33" t="s">
        <v>94</v>
      </c>
      <c r="C52" s="34">
        <f t="shared" ref="C52:H52" si="21">C25+C31+C36+C42+C46</f>
        <v>1503.5432142857144</v>
      </c>
      <c r="D52" s="34">
        <f t="shared" si="21"/>
        <v>1682.1998809523811</v>
      </c>
      <c r="E52" s="34">
        <f t="shared" si="21"/>
        <v>2002.2398809523811</v>
      </c>
      <c r="F52" s="34">
        <f t="shared" si="21"/>
        <v>1955.5232142857144</v>
      </c>
      <c r="G52" s="34">
        <f t="shared" si="21"/>
        <v>2249.7732142857144</v>
      </c>
      <c r="H52" s="34">
        <f t="shared" si="21"/>
        <v>2303.9232142857145</v>
      </c>
    </row>
    <row r="54" spans="1:8" x14ac:dyDescent="0.2">
      <c r="A54" s="12" t="s">
        <v>148</v>
      </c>
      <c r="C54" s="16">
        <f>C52-OPEX!P85</f>
        <v>0</v>
      </c>
      <c r="D54" s="16">
        <f>D52-OPEX!Q85</f>
        <v>0</v>
      </c>
      <c r="E54" s="16">
        <f>E52-OPEX!R85</f>
        <v>0</v>
      </c>
      <c r="F54" s="16">
        <f>F52-OPEX!S85</f>
        <v>0</v>
      </c>
      <c r="G54" s="16">
        <f>G52-OPEX!T85</f>
        <v>0</v>
      </c>
      <c r="H54" s="16">
        <f>H52-OPEX!U85</f>
        <v>0</v>
      </c>
    </row>
    <row r="55" spans="1:8" x14ac:dyDescent="0.2">
      <c r="A55" s="12" t="s">
        <v>157</v>
      </c>
      <c r="C55" s="16">
        <f t="shared" ref="C55:H55" si="22">C13+C46-C52</f>
        <v>0</v>
      </c>
      <c r="D55" s="16">
        <f t="shared" si="22"/>
        <v>0</v>
      </c>
      <c r="E55" s="16">
        <f t="shared" si="22"/>
        <v>0</v>
      </c>
      <c r="F55" s="16">
        <f t="shared" si="22"/>
        <v>0</v>
      </c>
      <c r="G55" s="16">
        <f t="shared" si="22"/>
        <v>0</v>
      </c>
      <c r="H55" s="16">
        <f t="shared" si="22"/>
        <v>0</v>
      </c>
    </row>
  </sheetData>
  <conditionalFormatting sqref="C11:I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T44"/>
  <sheetViews>
    <sheetView topLeftCell="A18" zoomScale="85" zoomScaleNormal="85" workbookViewId="0">
      <selection activeCell="D18" sqref="D18:I39"/>
    </sheetView>
  </sheetViews>
  <sheetFormatPr defaultRowHeight="12.75" x14ac:dyDescent="0.2"/>
  <cols>
    <col min="1" max="1" width="2.85546875" style="274" customWidth="1"/>
    <col min="2" max="2" width="29.5703125" style="274" bestFit="1" customWidth="1"/>
    <col min="3" max="3" width="9.7109375" style="274" bestFit="1" customWidth="1"/>
    <col min="4" max="9" width="9.85546875" style="274" customWidth="1"/>
    <col min="10" max="10" width="9.28515625" style="274" bestFit="1" customWidth="1"/>
    <col min="11" max="11" width="9.85546875" style="274" bestFit="1" customWidth="1"/>
    <col min="12" max="12" width="9.28515625" style="274" bestFit="1" customWidth="1"/>
    <col min="13" max="13" width="13.5703125" style="274" customWidth="1"/>
    <col min="14" max="16384" width="9.140625" style="274"/>
  </cols>
  <sheetData>
    <row r="1" spans="2:20" s="244" customFormat="1" ht="13.5" thickBot="1" x14ac:dyDescent="0.25">
      <c r="B1" s="241" t="s">
        <v>212</v>
      </c>
      <c r="C1" s="242"/>
      <c r="D1" s="243">
        <v>2018</v>
      </c>
      <c r="E1" s="243">
        <v>2019</v>
      </c>
      <c r="F1" s="243">
        <v>2020</v>
      </c>
      <c r="G1" s="243">
        <v>2021</v>
      </c>
      <c r="H1" s="243">
        <v>2022</v>
      </c>
      <c r="I1" s="243">
        <v>2023</v>
      </c>
    </row>
    <row r="2" spans="2:20" s="244" customFormat="1" ht="20.100000000000001" customHeight="1" thickBot="1" x14ac:dyDescent="0.25">
      <c r="B2" s="245" t="s">
        <v>256</v>
      </c>
      <c r="C2" s="246"/>
      <c r="D2" s="247">
        <f>Production!C5*Production!C10</f>
        <v>0</v>
      </c>
      <c r="E2" s="247">
        <f>Production!D5*Production!D10</f>
        <v>4625</v>
      </c>
      <c r="F2" s="247">
        <f>Production!E5*Production!E10</f>
        <v>6500</v>
      </c>
      <c r="G2" s="247">
        <f>Production!F5*Production!F10</f>
        <v>9000</v>
      </c>
      <c r="H2" s="247">
        <f>Production!G5*Production!G10</f>
        <v>10875</v>
      </c>
      <c r="I2" s="247">
        <f>Production!H5*Production!H10</f>
        <v>10875</v>
      </c>
    </row>
    <row r="3" spans="2:20" s="251" customFormat="1" ht="20.100000000000001" customHeight="1" thickBot="1" x14ac:dyDescent="0.25">
      <c r="B3" s="248" t="s">
        <v>289</v>
      </c>
      <c r="C3" s="249"/>
      <c r="D3" s="250">
        <f>-Production!C5*Production!$I$8</f>
        <v>0</v>
      </c>
      <c r="E3" s="250">
        <f>-Production!D5*Production!$I$8</f>
        <v>-988.87002061122951</v>
      </c>
      <c r="F3" s="250">
        <f>-Production!E5*Production!$I$8</f>
        <v>-1389.7632722103765</v>
      </c>
      <c r="G3" s="250">
        <f>-Production!F5*Production!$I$8</f>
        <v>-1924.287607675906</v>
      </c>
      <c r="H3" s="250">
        <f>-Production!G5*Production!$I$8</f>
        <v>-2325.1808592750531</v>
      </c>
      <c r="I3" s="250">
        <f>-Production!H5*Production!$I$8</f>
        <v>-2325.1808592750531</v>
      </c>
      <c r="S3" s="244"/>
      <c r="T3" s="244"/>
    </row>
    <row r="4" spans="2:20" s="244" customFormat="1" ht="20.100000000000001" customHeight="1" thickBot="1" x14ac:dyDescent="0.25">
      <c r="B4" s="245" t="s">
        <v>257</v>
      </c>
      <c r="C4" s="246"/>
      <c r="D4" s="247">
        <f>D2+D3</f>
        <v>0</v>
      </c>
      <c r="E4" s="247">
        <f t="shared" ref="E4:I4" si="0">E2+E3</f>
        <v>3636.1299793887706</v>
      </c>
      <c r="F4" s="247">
        <f t="shared" si="0"/>
        <v>5110.2367277896237</v>
      </c>
      <c r="G4" s="247">
        <f t="shared" si="0"/>
        <v>7075.7123923240943</v>
      </c>
      <c r="H4" s="247">
        <f t="shared" si="0"/>
        <v>8549.8191407249469</v>
      </c>
      <c r="I4" s="247">
        <f t="shared" si="0"/>
        <v>8549.8191407249469</v>
      </c>
    </row>
    <row r="5" spans="2:20" s="251" customFormat="1" ht="20.100000000000001" customHeight="1" thickBot="1" x14ac:dyDescent="0.25">
      <c r="B5" s="248" t="s">
        <v>263</v>
      </c>
      <c r="C5" s="249"/>
      <c r="D5" s="250">
        <f>-Production!C46</f>
        <v>-451.86</v>
      </c>
      <c r="E5" s="250">
        <f>-Production!D46</f>
        <v>-451.86</v>
      </c>
      <c r="F5" s="250">
        <f>-Production!E46</f>
        <v>-460.05000000000007</v>
      </c>
      <c r="G5" s="250">
        <f>-Production!F46</f>
        <v>-460.05000000000007</v>
      </c>
      <c r="H5" s="250">
        <f>-Production!G46</f>
        <v>-460.05000000000007</v>
      </c>
      <c r="I5" s="250">
        <f>-Production!H46</f>
        <v>-460.05000000000007</v>
      </c>
      <c r="S5" s="244"/>
      <c r="T5" s="244"/>
    </row>
    <row r="6" spans="2:20" s="253" customFormat="1" ht="20.100000000000001" customHeight="1" thickBot="1" x14ac:dyDescent="0.25">
      <c r="B6" s="245" t="s">
        <v>96</v>
      </c>
      <c r="C6" s="246"/>
      <c r="D6" s="252">
        <f t="shared" ref="D6:I6" si="1">D4+D5</f>
        <v>-451.86</v>
      </c>
      <c r="E6" s="252">
        <f t="shared" si="1"/>
        <v>3184.2699793887705</v>
      </c>
      <c r="F6" s="252">
        <f t="shared" si="1"/>
        <v>4650.1867277896235</v>
      </c>
      <c r="G6" s="252">
        <f t="shared" si="1"/>
        <v>6615.6623923240941</v>
      </c>
      <c r="H6" s="252">
        <f t="shared" si="1"/>
        <v>8089.7691407249467</v>
      </c>
      <c r="I6" s="252">
        <f t="shared" si="1"/>
        <v>8089.7691407249467</v>
      </c>
      <c r="S6" s="244"/>
      <c r="T6" s="244"/>
    </row>
    <row r="7" spans="2:20" s="253" customFormat="1" ht="20.100000000000001" customHeight="1" x14ac:dyDescent="0.2">
      <c r="B7" s="254" t="s">
        <v>160</v>
      </c>
      <c r="C7" s="255"/>
      <c r="D7" s="256">
        <f>IF(D2&gt;0,D6/D2,0)</f>
        <v>0</v>
      </c>
      <c r="E7" s="256">
        <f t="shared" ref="E7:I7" si="2">IF(E2&gt;0,E6/E2,0)</f>
        <v>0.6884908063543288</v>
      </c>
      <c r="F7" s="256">
        <f t="shared" si="2"/>
        <v>0.71541334273686519</v>
      </c>
      <c r="G7" s="256">
        <f t="shared" si="2"/>
        <v>0.73507359914712156</v>
      </c>
      <c r="H7" s="256">
        <f t="shared" si="2"/>
        <v>0.74388681753792618</v>
      </c>
      <c r="I7" s="256">
        <f t="shared" si="2"/>
        <v>0.74388681753792618</v>
      </c>
      <c r="L7" s="257"/>
      <c r="M7" s="257"/>
      <c r="N7" s="257"/>
      <c r="O7" s="257"/>
      <c r="P7" s="257"/>
      <c r="S7" s="244"/>
      <c r="T7" s="244"/>
    </row>
    <row r="8" spans="2:20" s="253" customFormat="1" ht="20.100000000000001" customHeight="1" x14ac:dyDescent="0.2">
      <c r="B8" s="253" t="s">
        <v>258</v>
      </c>
      <c r="D8" s="258">
        <v>0</v>
      </c>
      <c r="E8" s="258">
        <f t="shared" ref="E8:H8" si="3">-E42*$K$42</f>
        <v>-415.2</v>
      </c>
      <c r="F8" s="258">
        <f t="shared" si="3"/>
        <v>-386.40000000000003</v>
      </c>
      <c r="G8" s="258">
        <f t="shared" si="3"/>
        <v>-307.2</v>
      </c>
      <c r="H8" s="258">
        <f t="shared" si="3"/>
        <v>-172.8</v>
      </c>
      <c r="I8" s="258">
        <f>-I42*$K$42</f>
        <v>0</v>
      </c>
      <c r="S8" s="244"/>
      <c r="T8" s="244"/>
    </row>
    <row r="9" spans="2:20" s="253" customFormat="1" ht="20.100000000000001" customHeight="1" thickBot="1" x14ac:dyDescent="0.25">
      <c r="B9" s="253" t="s">
        <v>259</v>
      </c>
      <c r="D9" s="258">
        <f>-CAPEX!Z91</f>
        <v>-815.6449206349206</v>
      </c>
      <c r="E9" s="258">
        <f>-CAPEX!AA91</f>
        <v>-1931.9772222222223</v>
      </c>
      <c r="F9" s="258">
        <f>-CAPEX!AB91</f>
        <v>-2256.0407142857143</v>
      </c>
      <c r="G9" s="258">
        <f>-CAPEX!AC91</f>
        <v>-2658.0407142857143</v>
      </c>
      <c r="H9" s="258">
        <f>-CAPEX!AD91</f>
        <v>-2961.3264285714281</v>
      </c>
      <c r="I9" s="258">
        <f>-CAPEX!AE91</f>
        <v>-2961.3264285714281</v>
      </c>
      <c r="S9" s="244"/>
      <c r="T9" s="244"/>
    </row>
    <row r="10" spans="2:20" s="253" customFormat="1" ht="20.100000000000001" customHeight="1" thickBot="1" x14ac:dyDescent="0.25">
      <c r="B10" s="245" t="s">
        <v>97</v>
      </c>
      <c r="C10" s="246"/>
      <c r="D10" s="252">
        <f>D6+D8+D9</f>
        <v>-1267.5049206349206</v>
      </c>
      <c r="E10" s="252">
        <f t="shared" ref="E10:I10" si="4">E6+E8+E9</f>
        <v>837.09275716654838</v>
      </c>
      <c r="F10" s="252">
        <f t="shared" si="4"/>
        <v>2007.7460135039096</v>
      </c>
      <c r="G10" s="252">
        <f t="shared" si="4"/>
        <v>3650.4216780383799</v>
      </c>
      <c r="H10" s="252">
        <f t="shared" si="4"/>
        <v>4955.642712153518</v>
      </c>
      <c r="I10" s="252">
        <f t="shared" si="4"/>
        <v>5128.4427121535191</v>
      </c>
      <c r="S10" s="244"/>
      <c r="T10" s="244"/>
    </row>
    <row r="11" spans="2:20" s="253" customFormat="1" ht="20.100000000000001" customHeight="1" thickBot="1" x14ac:dyDescent="0.25">
      <c r="B11" s="253" t="s">
        <v>260</v>
      </c>
      <c r="C11" s="253">
        <v>20</v>
      </c>
      <c r="D11" s="258">
        <f t="shared" ref="D11:I11" si="5">IF(D10&gt;0,-D10*$C$11%,0)</f>
        <v>0</v>
      </c>
      <c r="E11" s="258">
        <f t="shared" si="5"/>
        <v>-167.41855143330969</v>
      </c>
      <c r="F11" s="258">
        <f t="shared" si="5"/>
        <v>-401.54920270078196</v>
      </c>
      <c r="G11" s="258">
        <f t="shared" si="5"/>
        <v>-730.08433560767605</v>
      </c>
      <c r="H11" s="258">
        <f t="shared" si="5"/>
        <v>-991.12854243070365</v>
      </c>
      <c r="I11" s="258">
        <f t="shared" si="5"/>
        <v>-1025.6885424307038</v>
      </c>
      <c r="S11" s="244"/>
      <c r="T11" s="244"/>
    </row>
    <row r="12" spans="2:20" s="253" customFormat="1" ht="20.100000000000001" customHeight="1" thickBot="1" x14ac:dyDescent="0.25">
      <c r="B12" s="245" t="s">
        <v>261</v>
      </c>
      <c r="C12" s="246"/>
      <c r="D12" s="252">
        <f>D10+D11</f>
        <v>-1267.5049206349206</v>
      </c>
      <c r="E12" s="252">
        <f t="shared" ref="E12:I12" si="6">E10+E11</f>
        <v>669.67420573323875</v>
      </c>
      <c r="F12" s="252">
        <f t="shared" si="6"/>
        <v>1606.1968108031276</v>
      </c>
      <c r="G12" s="252">
        <f t="shared" si="6"/>
        <v>2920.3373424307038</v>
      </c>
      <c r="H12" s="252">
        <f t="shared" si="6"/>
        <v>3964.5141697228146</v>
      </c>
      <c r="I12" s="252">
        <f t="shared" si="6"/>
        <v>4102.7541697228153</v>
      </c>
      <c r="S12" s="244"/>
      <c r="T12" s="244"/>
    </row>
    <row r="13" spans="2:20" s="253" customFormat="1" ht="20.100000000000001" customHeight="1" x14ac:dyDescent="0.2">
      <c r="B13" s="253" t="s">
        <v>262</v>
      </c>
      <c r="D13" s="259">
        <f>IF(D2&gt;0,D12/D2,0)</f>
        <v>0</v>
      </c>
      <c r="E13" s="259">
        <f t="shared" ref="E13:I13" si="7">IF(E2&gt;0,E12/E2,0)</f>
        <v>0.14479442286124081</v>
      </c>
      <c r="F13" s="259">
        <f t="shared" si="7"/>
        <v>0.24710720166201963</v>
      </c>
      <c r="G13" s="259">
        <f t="shared" si="7"/>
        <v>0.32448192693674488</v>
      </c>
      <c r="H13" s="259">
        <f t="shared" si="7"/>
        <v>0.36455302710094845</v>
      </c>
      <c r="I13" s="259">
        <f t="shared" si="7"/>
        <v>0.37726475123887959</v>
      </c>
      <c r="S13" s="244"/>
      <c r="T13" s="244"/>
    </row>
    <row r="14" spans="2:20" s="253" customFormat="1" ht="20.100000000000001" customHeight="1" x14ac:dyDescent="0.2">
      <c r="S14" s="244"/>
      <c r="T14" s="244"/>
    </row>
    <row r="15" spans="2:20" s="253" customFormat="1" ht="20.100000000000001" customHeight="1" x14ac:dyDescent="0.2">
      <c r="B15" s="253" t="s">
        <v>288</v>
      </c>
      <c r="D15" s="260"/>
      <c r="E15" s="260">
        <f>E12/Production!D4*1000</f>
        <v>54.297908572965298</v>
      </c>
      <c r="F15" s="260">
        <f>F12/Production!E4*1000</f>
        <v>92.665200623257363</v>
      </c>
      <c r="G15" s="260">
        <f>G12/Production!F4*1000</f>
        <v>121.68072260127933</v>
      </c>
      <c r="H15" s="260">
        <f>H12/Production!G4*1000</f>
        <v>136.7073851628557</v>
      </c>
      <c r="I15" s="260">
        <f>I12/Production!H4*1000</f>
        <v>141.47428171457986</v>
      </c>
      <c r="S15" s="244"/>
      <c r="T15" s="244"/>
    </row>
    <row r="16" spans="2:20" s="253" customFormat="1" ht="20.100000000000001" customHeight="1" x14ac:dyDescent="0.2">
      <c r="S16" s="244"/>
      <c r="T16" s="244"/>
    </row>
    <row r="17" spans="2:20" s="253" customFormat="1" ht="20.100000000000001" customHeight="1" thickBot="1" x14ac:dyDescent="0.25">
      <c r="B17" s="261" t="s">
        <v>264</v>
      </c>
      <c r="D17" s="243">
        <v>2018</v>
      </c>
      <c r="E17" s="243">
        <v>2019</v>
      </c>
      <c r="F17" s="243">
        <v>2020</v>
      </c>
      <c r="G17" s="243">
        <v>2021</v>
      </c>
      <c r="H17" s="243">
        <v>2022</v>
      </c>
      <c r="I17" s="243">
        <v>2023</v>
      </c>
      <c r="S17" s="244"/>
      <c r="T17" s="244"/>
    </row>
    <row r="18" spans="2:20" s="253" customFormat="1" ht="20.100000000000001" customHeight="1" thickBot="1" x14ac:dyDescent="0.25">
      <c r="B18" s="262" t="s">
        <v>265</v>
      </c>
      <c r="C18" s="262"/>
      <c r="D18" s="263">
        <f t="shared" ref="D18:I18" si="8">SUM(D19:D23)</f>
        <v>-1503.5432142857144</v>
      </c>
      <c r="E18" s="263">
        <f t="shared" si="8"/>
        <v>2360.1815676143096</v>
      </c>
      <c r="F18" s="263">
        <f t="shared" si="8"/>
        <v>3709.8109163468366</v>
      </c>
      <c r="G18" s="263">
        <f>SUM(G19:G23)</f>
        <v>6007.1924501066105</v>
      </c>
      <c r="H18" s="263">
        <f t="shared" si="8"/>
        <v>7461.2982432835834</v>
      </c>
      <c r="I18" s="263">
        <f t="shared" si="8"/>
        <v>7545.3882432835835</v>
      </c>
      <c r="S18" s="244"/>
      <c r="T18" s="244"/>
    </row>
    <row r="19" spans="2:20" s="253" customFormat="1" ht="15" customHeight="1" x14ac:dyDescent="0.2">
      <c r="B19" s="253" t="s">
        <v>266</v>
      </c>
      <c r="D19" s="264">
        <f t="shared" ref="D19:I19" si="9">D2</f>
        <v>0</v>
      </c>
      <c r="E19" s="264">
        <f t="shared" si="9"/>
        <v>4625</v>
      </c>
      <c r="F19" s="264">
        <f t="shared" si="9"/>
        <v>6500</v>
      </c>
      <c r="G19" s="264">
        <f t="shared" si="9"/>
        <v>9000</v>
      </c>
      <c r="H19" s="264">
        <f t="shared" si="9"/>
        <v>10875</v>
      </c>
      <c r="I19" s="264">
        <f t="shared" si="9"/>
        <v>10875</v>
      </c>
      <c r="S19" s="244"/>
      <c r="T19" s="244"/>
    </row>
    <row r="20" spans="2:20" s="253" customFormat="1" ht="15" customHeight="1" x14ac:dyDescent="0.2">
      <c r="B20" s="253" t="s">
        <v>327</v>
      </c>
      <c r="D20" s="264">
        <f>-Production!C13</f>
        <v>-1051.6832142857143</v>
      </c>
      <c r="E20" s="264">
        <f>-Production!D13</f>
        <v>-1230.3398809523808</v>
      </c>
      <c r="F20" s="264">
        <f>-Production!E13</f>
        <v>-1542.1898809523809</v>
      </c>
      <c r="G20" s="264">
        <f>-Production!F13</f>
        <v>-1495.4732142857142</v>
      </c>
      <c r="H20" s="264">
        <f>-Production!G13</f>
        <v>-1789.7232142857142</v>
      </c>
      <c r="I20" s="264">
        <f>-Production!H13</f>
        <v>-1843.8732142857141</v>
      </c>
      <c r="S20" s="244"/>
      <c r="T20" s="244"/>
    </row>
    <row r="21" spans="2:20" s="253" customFormat="1" ht="15" customHeight="1" x14ac:dyDescent="0.2">
      <c r="B21" s="253" t="s">
        <v>328</v>
      </c>
      <c r="D21" s="264">
        <f>D5</f>
        <v>-451.86</v>
      </c>
      <c r="E21" s="264">
        <f t="shared" ref="E21:I21" si="10">E5</f>
        <v>-451.86</v>
      </c>
      <c r="F21" s="264">
        <f t="shared" si="10"/>
        <v>-460.05000000000007</v>
      </c>
      <c r="G21" s="264">
        <f t="shared" si="10"/>
        <v>-460.05000000000007</v>
      </c>
      <c r="H21" s="264">
        <f t="shared" si="10"/>
        <v>-460.05000000000007</v>
      </c>
      <c r="I21" s="264">
        <f t="shared" si="10"/>
        <v>-460.05000000000007</v>
      </c>
      <c r="S21" s="244"/>
      <c r="T21" s="244"/>
    </row>
    <row r="22" spans="2:20" s="253" customFormat="1" ht="15" customHeight="1" x14ac:dyDescent="0.2">
      <c r="B22" s="253" t="s">
        <v>267</v>
      </c>
      <c r="D22" s="264">
        <f t="shared" ref="D22:I22" si="11">D11</f>
        <v>0</v>
      </c>
      <c r="E22" s="264">
        <f t="shared" si="11"/>
        <v>-167.41855143330969</v>
      </c>
      <c r="F22" s="264">
        <f t="shared" si="11"/>
        <v>-401.54920270078196</v>
      </c>
      <c r="G22" s="264">
        <f t="shared" si="11"/>
        <v>-730.08433560767605</v>
      </c>
      <c r="H22" s="264">
        <f t="shared" si="11"/>
        <v>-991.12854243070365</v>
      </c>
      <c r="I22" s="264">
        <f t="shared" si="11"/>
        <v>-1025.6885424307038</v>
      </c>
      <c r="S22" s="244"/>
      <c r="T22" s="244"/>
    </row>
    <row r="23" spans="2:20" s="253" customFormat="1" ht="15" customHeight="1" thickBot="1" x14ac:dyDescent="0.25">
      <c r="B23" s="253" t="s">
        <v>258</v>
      </c>
      <c r="D23" s="264">
        <f>D8</f>
        <v>0</v>
      </c>
      <c r="E23" s="264">
        <f t="shared" ref="E23:I23" si="12">E8</f>
        <v>-415.2</v>
      </c>
      <c r="F23" s="264">
        <f t="shared" si="12"/>
        <v>-386.40000000000003</v>
      </c>
      <c r="G23" s="264">
        <f t="shared" si="12"/>
        <v>-307.2</v>
      </c>
      <c r="H23" s="264">
        <f t="shared" si="12"/>
        <v>-172.8</v>
      </c>
      <c r="I23" s="264">
        <f t="shared" si="12"/>
        <v>0</v>
      </c>
      <c r="S23" s="244"/>
      <c r="T23" s="244"/>
    </row>
    <row r="24" spans="2:20" s="253" customFormat="1" ht="20.100000000000001" customHeight="1" thickBot="1" x14ac:dyDescent="0.25">
      <c r="B24" s="262" t="s">
        <v>268</v>
      </c>
      <c r="C24" s="262"/>
      <c r="D24" s="263">
        <f t="shared" ref="D24:I24" si="13">SUM(D25:D29)</f>
        <v>-9438.5166666666664</v>
      </c>
      <c r="E24" s="263">
        <f t="shared" si="13"/>
        <v>-8650.6833333333343</v>
      </c>
      <c r="F24" s="263">
        <f t="shared" si="13"/>
        <v>-2494.6666666666656</v>
      </c>
      <c r="G24" s="263">
        <f t="shared" si="13"/>
        <v>-2814.0000000000005</v>
      </c>
      <c r="H24" s="263">
        <f t="shared" si="13"/>
        <v>-2123</v>
      </c>
      <c r="I24" s="263">
        <f t="shared" si="13"/>
        <v>0</v>
      </c>
      <c r="S24" s="244"/>
      <c r="T24" s="244"/>
    </row>
    <row r="25" spans="2:20" s="253" customFormat="1" ht="15" customHeight="1" x14ac:dyDescent="0.2">
      <c r="B25" s="253" t="s">
        <v>269</v>
      </c>
      <c r="D25" s="264">
        <f>-CAPEX!S11</f>
        <v>-41.666666666666657</v>
      </c>
      <c r="E25" s="264">
        <f>-CAPEX!T11</f>
        <v>-41.666666666666657</v>
      </c>
      <c r="F25" s="264">
        <f>-CAPEX!U11</f>
        <v>-41.666666666666657</v>
      </c>
      <c r="G25" s="264">
        <f>-CAPEX!V11</f>
        <v>0</v>
      </c>
      <c r="H25" s="264">
        <f>-CAPEX!W11</f>
        <v>0</v>
      </c>
      <c r="I25" s="264">
        <f>-CAPEX!X11</f>
        <v>0</v>
      </c>
      <c r="S25" s="244"/>
      <c r="T25" s="244"/>
    </row>
    <row r="26" spans="2:20" s="253" customFormat="1" ht="15" customHeight="1" x14ac:dyDescent="0.2">
      <c r="B26" s="253" t="s">
        <v>270</v>
      </c>
      <c r="D26" s="264">
        <f>-CAPEX!S39</f>
        <v>-3356.85</v>
      </c>
      <c r="E26" s="264">
        <f>-CAPEX!T39</f>
        <v>-1636.45</v>
      </c>
      <c r="F26" s="264">
        <f>-CAPEX!U39</f>
        <v>-180</v>
      </c>
      <c r="G26" s="264">
        <f>-CAPEX!V39</f>
        <v>0</v>
      </c>
      <c r="H26" s="264">
        <f>-CAPEX!W39</f>
        <v>0</v>
      </c>
      <c r="I26" s="264">
        <f>-CAPEX!X39</f>
        <v>0</v>
      </c>
      <c r="S26" s="244"/>
      <c r="T26" s="244"/>
    </row>
    <row r="27" spans="2:20" s="253" customFormat="1" ht="15" customHeight="1" x14ac:dyDescent="0.2">
      <c r="B27" s="253" t="s">
        <v>223</v>
      </c>
      <c r="D27" s="264">
        <f>-CAPEX!S59</f>
        <v>-1292.5</v>
      </c>
      <c r="E27" s="264">
        <f>-CAPEX!T59</f>
        <v>-6772.5666666666675</v>
      </c>
      <c r="F27" s="264">
        <f>-CAPEX!U59</f>
        <v>-2272.9999999999991</v>
      </c>
      <c r="G27" s="264">
        <f>-CAPEX!V59</f>
        <v>-2814.0000000000005</v>
      </c>
      <c r="H27" s="264">
        <f>-CAPEX!W59</f>
        <v>-2123</v>
      </c>
      <c r="I27" s="264">
        <f>-CAPEX!X59</f>
        <v>0</v>
      </c>
      <c r="S27" s="244"/>
      <c r="T27" s="244"/>
    </row>
    <row r="28" spans="2:20" s="253" customFormat="1" ht="15" customHeight="1" x14ac:dyDescent="0.2">
      <c r="B28" s="253" t="s">
        <v>224</v>
      </c>
      <c r="D28" s="264">
        <f>-CAPEX!S86</f>
        <v>-3947.5</v>
      </c>
      <c r="E28" s="264">
        <f>-CAPEX!T86</f>
        <v>-200</v>
      </c>
      <c r="F28" s="264">
        <f>-CAPEX!U86</f>
        <v>0</v>
      </c>
      <c r="G28" s="264">
        <f>-CAPEX!V86</f>
        <v>0</v>
      </c>
      <c r="H28" s="264">
        <f>-CAPEX!W86</f>
        <v>0</v>
      </c>
      <c r="I28" s="264">
        <f>-CAPEX!X86</f>
        <v>0</v>
      </c>
      <c r="S28" s="244"/>
      <c r="T28" s="244"/>
    </row>
    <row r="29" spans="2:20" s="253" customFormat="1" ht="15" customHeight="1" thickBot="1" x14ac:dyDescent="0.25">
      <c r="B29" s="253" t="s">
        <v>225</v>
      </c>
      <c r="D29" s="264">
        <f>-CAPEX!S89</f>
        <v>-800</v>
      </c>
      <c r="E29" s="264">
        <f>-CAPEX!T89</f>
        <v>0</v>
      </c>
      <c r="F29" s="264">
        <f>-CAPEX!U89</f>
        <v>0</v>
      </c>
      <c r="G29" s="264">
        <f>-CAPEX!V89</f>
        <v>0</v>
      </c>
      <c r="H29" s="264">
        <f>-CAPEX!W89</f>
        <v>0</v>
      </c>
      <c r="I29" s="264">
        <f>-CAPEX!X89</f>
        <v>0</v>
      </c>
      <c r="S29" s="244"/>
      <c r="T29" s="244"/>
    </row>
    <row r="30" spans="2:20" s="253" customFormat="1" ht="20.100000000000001" customHeight="1" thickBot="1" x14ac:dyDescent="0.25">
      <c r="B30" s="262" t="s">
        <v>271</v>
      </c>
      <c r="C30" s="262"/>
      <c r="D30" s="263">
        <f t="shared" ref="D30:I30" si="14">SUM(D31:D36)</f>
        <v>11000</v>
      </c>
      <c r="E30" s="263">
        <f t="shared" si="14"/>
        <v>6300</v>
      </c>
      <c r="F30" s="263">
        <f t="shared" si="14"/>
        <v>-1200</v>
      </c>
      <c r="G30" s="263">
        <f t="shared" si="14"/>
        <v>-3200</v>
      </c>
      <c r="H30" s="263">
        <f t="shared" si="14"/>
        <v>-5400</v>
      </c>
      <c r="I30" s="263">
        <f t="shared" si="14"/>
        <v>-7500</v>
      </c>
      <c r="S30" s="244"/>
      <c r="T30" s="244"/>
    </row>
    <row r="31" spans="2:20" s="253" customFormat="1" ht="15" customHeight="1" x14ac:dyDescent="0.2">
      <c r="B31" s="253" t="s">
        <v>272</v>
      </c>
      <c r="D31" s="264"/>
      <c r="E31" s="264"/>
      <c r="F31" s="264"/>
      <c r="G31" s="264"/>
      <c r="H31" s="264"/>
      <c r="I31" s="264"/>
      <c r="S31" s="244"/>
      <c r="T31" s="244"/>
    </row>
    <row r="32" spans="2:20" s="253" customFormat="1" ht="15" customHeight="1" x14ac:dyDescent="0.2">
      <c r="B32" s="265" t="s">
        <v>273</v>
      </c>
      <c r="D32" s="266">
        <v>5500</v>
      </c>
      <c r="E32" s="266">
        <v>3150</v>
      </c>
      <c r="F32" s="266"/>
      <c r="G32" s="266"/>
      <c r="H32" s="266"/>
      <c r="I32" s="266"/>
      <c r="S32" s="244"/>
      <c r="T32" s="244"/>
    </row>
    <row r="33" spans="2:20" s="253" customFormat="1" ht="15" customHeight="1" x14ac:dyDescent="0.2">
      <c r="B33" s="265" t="s">
        <v>274</v>
      </c>
      <c r="D33" s="266"/>
      <c r="E33" s="266"/>
      <c r="F33" s="266">
        <v>-600</v>
      </c>
      <c r="G33" s="266">
        <v>-1550</v>
      </c>
      <c r="H33" s="266">
        <v>-2600</v>
      </c>
      <c r="I33" s="266">
        <v>-3900</v>
      </c>
      <c r="S33" s="244"/>
      <c r="T33" s="244"/>
    </row>
    <row r="34" spans="2:20" s="253" customFormat="1" ht="15" customHeight="1" x14ac:dyDescent="0.2">
      <c r="B34" s="253" t="s">
        <v>275</v>
      </c>
      <c r="D34" s="266"/>
      <c r="E34" s="266"/>
      <c r="F34" s="266"/>
      <c r="G34" s="266"/>
      <c r="H34" s="266"/>
      <c r="I34" s="266"/>
      <c r="S34" s="244"/>
      <c r="T34" s="244"/>
    </row>
    <row r="35" spans="2:20" s="253" customFormat="1" ht="15" customHeight="1" x14ac:dyDescent="0.2">
      <c r="B35" s="265" t="s">
        <v>273</v>
      </c>
      <c r="D35" s="266">
        <v>5500</v>
      </c>
      <c r="E35" s="266">
        <v>3150</v>
      </c>
      <c r="F35" s="266"/>
      <c r="G35" s="266"/>
      <c r="H35" s="266"/>
      <c r="I35" s="266"/>
      <c r="S35" s="244"/>
      <c r="T35" s="244"/>
    </row>
    <row r="36" spans="2:20" s="253" customFormat="1" ht="15" customHeight="1" thickBot="1" x14ac:dyDescent="0.25">
      <c r="B36" s="265" t="s">
        <v>274</v>
      </c>
      <c r="D36" s="266"/>
      <c r="E36" s="266"/>
      <c r="F36" s="267">
        <v>-600</v>
      </c>
      <c r="G36" s="267">
        <v>-1650</v>
      </c>
      <c r="H36" s="266">
        <v>-2800</v>
      </c>
      <c r="I36" s="267">
        <v>-3600</v>
      </c>
      <c r="S36" s="244"/>
      <c r="T36" s="244"/>
    </row>
    <row r="37" spans="2:20" s="253" customFormat="1" ht="20.100000000000001" customHeight="1" thickBot="1" x14ac:dyDescent="0.25">
      <c r="B37" s="268" t="s">
        <v>276</v>
      </c>
      <c r="C37" s="268"/>
      <c r="D37" s="269">
        <f t="shared" ref="D37:I37" si="15">D18+D24+D30</f>
        <v>57.940119047620101</v>
      </c>
      <c r="E37" s="269">
        <f t="shared" si="15"/>
        <v>9.4982342809753391</v>
      </c>
      <c r="F37" s="269">
        <f t="shared" si="15"/>
        <v>15.144249680171015</v>
      </c>
      <c r="G37" s="269">
        <f t="shared" si="15"/>
        <v>-6.8075498933899325</v>
      </c>
      <c r="H37" s="269">
        <f t="shared" si="15"/>
        <v>-61.701756716416639</v>
      </c>
      <c r="I37" s="269">
        <f t="shared" si="15"/>
        <v>45.388243283583506</v>
      </c>
      <c r="S37" s="244"/>
      <c r="T37" s="244"/>
    </row>
    <row r="38" spans="2:20" s="253" customFormat="1" ht="18.75" customHeight="1" thickBot="1" x14ac:dyDescent="0.25">
      <c r="B38" s="270" t="s">
        <v>277</v>
      </c>
      <c r="D38" s="264">
        <v>0</v>
      </c>
      <c r="E38" s="264">
        <f>D39</f>
        <v>57.940119047620101</v>
      </c>
      <c r="F38" s="264">
        <f>E39</f>
        <v>67.43835332859544</v>
      </c>
      <c r="G38" s="264">
        <f>F39</f>
        <v>82.582603008766455</v>
      </c>
      <c r="H38" s="264">
        <f>G39</f>
        <v>75.775053115376522</v>
      </c>
      <c r="I38" s="264">
        <f>H39</f>
        <v>14.073296398959883</v>
      </c>
      <c r="S38" s="244"/>
      <c r="T38" s="244"/>
    </row>
    <row r="39" spans="2:20" ht="20.25" customHeight="1" thickTop="1" thickBot="1" x14ac:dyDescent="0.25">
      <c r="B39" s="271" t="s">
        <v>278</v>
      </c>
      <c r="C39" s="272"/>
      <c r="D39" s="273">
        <f t="shared" ref="D39:I39" si="16">D38+D37</f>
        <v>57.940119047620101</v>
      </c>
      <c r="E39" s="273">
        <f t="shared" si="16"/>
        <v>67.43835332859544</v>
      </c>
      <c r="F39" s="273">
        <f t="shared" si="16"/>
        <v>82.582603008766455</v>
      </c>
      <c r="G39" s="273">
        <f t="shared" si="16"/>
        <v>75.775053115376522</v>
      </c>
      <c r="H39" s="273">
        <f t="shared" si="16"/>
        <v>14.073296398959883</v>
      </c>
      <c r="I39" s="273">
        <f t="shared" si="16"/>
        <v>59.461539682543389</v>
      </c>
      <c r="S39" s="244"/>
      <c r="T39" s="244"/>
    </row>
    <row r="40" spans="2:20" ht="14.25" thickTop="1" thickBot="1" x14ac:dyDescent="0.25">
      <c r="S40" s="244"/>
      <c r="T40" s="244"/>
    </row>
    <row r="41" spans="2:20" ht="24.95" customHeight="1" thickBot="1" x14ac:dyDescent="0.25">
      <c r="B41" s="275" t="s">
        <v>99</v>
      </c>
      <c r="C41" s="275"/>
      <c r="D41" s="276">
        <f>D32+D33</f>
        <v>5500</v>
      </c>
      <c r="E41" s="276">
        <f>D41+E32+E33</f>
        <v>8650</v>
      </c>
      <c r="F41" s="276">
        <f>E41+F32+F33</f>
        <v>8050</v>
      </c>
      <c r="G41" s="276">
        <f>F41+G32+G33</f>
        <v>6500</v>
      </c>
      <c r="H41" s="276">
        <f>G41+H32+H33</f>
        <v>3900</v>
      </c>
      <c r="I41" s="276">
        <f>H41+I32+I33</f>
        <v>0</v>
      </c>
      <c r="J41" s="277"/>
      <c r="S41" s="244"/>
      <c r="T41" s="244"/>
    </row>
    <row r="42" spans="2:20" ht="24.95" customHeight="1" thickBot="1" x14ac:dyDescent="0.25">
      <c r="B42" s="275" t="s">
        <v>98</v>
      </c>
      <c r="C42" s="275"/>
      <c r="D42" s="276">
        <f>D35+D36</f>
        <v>5500</v>
      </c>
      <c r="E42" s="276">
        <f>D42+E35+E36</f>
        <v>8650</v>
      </c>
      <c r="F42" s="276">
        <f>E42+F35+F36</f>
        <v>8050</v>
      </c>
      <c r="G42" s="276">
        <f>F42+G35+G36</f>
        <v>6400</v>
      </c>
      <c r="H42" s="276">
        <f>G42+H35+H36</f>
        <v>3600</v>
      </c>
      <c r="I42" s="276">
        <f>H42+I35+I36</f>
        <v>0</v>
      </c>
      <c r="J42" s="244" t="s">
        <v>102</v>
      </c>
      <c r="K42" s="278">
        <f>parameters!B2</f>
        <v>4.8000000000000001E-2</v>
      </c>
      <c r="S42" s="244"/>
      <c r="T42" s="244"/>
    </row>
    <row r="43" spans="2:20" x14ac:dyDescent="0.2">
      <c r="S43" s="244"/>
      <c r="T43" s="244"/>
    </row>
    <row r="44" spans="2:20" ht="22.5" x14ac:dyDescent="0.2">
      <c r="B44" s="279" t="s">
        <v>101</v>
      </c>
      <c r="D44" s="280">
        <f>IFERROR(D41/D42,0)</f>
        <v>1</v>
      </c>
      <c r="E44" s="280">
        <f t="shared" ref="E44:I44" si="17">IFERROR(E41/E42,0)</f>
        <v>1</v>
      </c>
      <c r="F44" s="280">
        <f t="shared" si="17"/>
        <v>1</v>
      </c>
      <c r="G44" s="280">
        <f t="shared" si="17"/>
        <v>1.015625</v>
      </c>
      <c r="H44" s="280">
        <f t="shared" si="17"/>
        <v>1.0833333333333333</v>
      </c>
      <c r="I44" s="280">
        <f t="shared" si="17"/>
        <v>0</v>
      </c>
      <c r="S44" s="244"/>
      <c r="T44" s="244"/>
    </row>
  </sheetData>
  <conditionalFormatting sqref="D13:I1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I7">
    <cfRule type="colorScale" priority="24">
      <colorScale>
        <cfvo type="min"/>
        <cfvo type="max"/>
        <color rgb="FFFFEF9C"/>
        <color rgb="FF63BE7B"/>
      </colorScale>
    </cfRule>
  </conditionalFormatting>
  <conditionalFormatting sqref="D38:I39">
    <cfRule type="cellIs" dxfId="12" priority="12" operator="lessThan">
      <formula>0</formula>
    </cfRule>
  </conditionalFormatting>
  <conditionalFormatting sqref="D37:K37">
    <cfRule type="cellIs" dxfId="11" priority="11" operator="lessThan">
      <formula>0</formula>
    </cfRule>
  </conditionalFormatting>
  <conditionalFormatting sqref="D42:K42">
    <cfRule type="cellIs" dxfId="10" priority="10" operator="lessThan">
      <formula>0</formula>
    </cfRule>
  </conditionalFormatting>
  <conditionalFormatting sqref="D41:K41">
    <cfRule type="cellIs" dxfId="9" priority="9" operator="lessThan">
      <formula>0</formula>
    </cfRule>
  </conditionalFormatting>
  <conditionalFormatting sqref="D30:K30">
    <cfRule type="cellIs" dxfId="8" priority="8" operator="lessThan">
      <formula>0</formula>
    </cfRule>
  </conditionalFormatting>
  <conditionalFormatting sqref="D24:K24">
    <cfRule type="cellIs" dxfId="7" priority="7" operator="lessThan">
      <formula>0</formula>
    </cfRule>
  </conditionalFormatting>
  <conditionalFormatting sqref="D18:K18">
    <cfRule type="cellIs" dxfId="6" priority="6" operator="lessThan">
      <formula>0</formula>
    </cfRule>
  </conditionalFormatting>
  <pageMargins left="0.7" right="0.7" top="0.75" bottom="0.75" header="0.3" footer="0.3"/>
  <pageSetup orientation="portrait" verticalDpi="0" r:id="rId1"/>
  <ignoredErrors>
    <ignoredError sqref="D5:I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44"/>
  <sheetViews>
    <sheetView zoomScale="90" zoomScaleNormal="90" workbookViewId="0">
      <pane ySplit="2" topLeftCell="A26" activePane="bottomLeft" state="frozen"/>
      <selection pane="bottomLeft" activeCell="L35" sqref="L35"/>
    </sheetView>
  </sheetViews>
  <sheetFormatPr defaultRowHeight="12.75" outlineLevelRow="1" x14ac:dyDescent="0.2"/>
  <cols>
    <col min="1" max="1" width="4.5703125" style="179" customWidth="1"/>
    <col min="2" max="2" width="42.85546875" style="179" bestFit="1" customWidth="1"/>
    <col min="3" max="3" width="4" style="180" customWidth="1"/>
    <col min="4" max="4" width="6.140625" style="181" bestFit="1" customWidth="1"/>
    <col min="5" max="5" width="10.28515625" style="179" bestFit="1" customWidth="1"/>
    <col min="6" max="16384" width="9.140625" style="179"/>
  </cols>
  <sheetData>
    <row r="1" spans="2:10" ht="13.5" thickBot="1" x14ac:dyDescent="0.25"/>
    <row r="2" spans="2:10" ht="13.5" thickBot="1" x14ac:dyDescent="0.25">
      <c r="E2" s="182">
        <v>2018</v>
      </c>
      <c r="F2" s="182">
        <v>2019</v>
      </c>
      <c r="G2" s="182">
        <v>2020</v>
      </c>
      <c r="H2" s="182">
        <v>2021</v>
      </c>
      <c r="I2" s="182">
        <v>2022</v>
      </c>
      <c r="J2" s="182">
        <v>2023</v>
      </c>
    </row>
    <row r="3" spans="2:10" x14ac:dyDescent="0.2">
      <c r="B3" s="183" t="s">
        <v>149</v>
      </c>
      <c r="C3" s="184" t="s">
        <v>164</v>
      </c>
      <c r="D3" s="185" t="s">
        <v>171</v>
      </c>
      <c r="E3" s="186">
        <f>(1-E5)*(Production!C49+Production!C14)</f>
        <v>453.96583657587558</v>
      </c>
      <c r="F3" s="186">
        <f>(1-F5)*(Production!D49+Production!D14)</f>
        <v>630.62359550561791</v>
      </c>
      <c r="G3" s="186">
        <f>(1-G5)*(Production!E49+Production!E14)</f>
        <v>809.07370269348792</v>
      </c>
      <c r="H3" s="186">
        <f>(1-H5)*(Production!F49+Production!F14)</f>
        <v>809.07370269348792</v>
      </c>
      <c r="I3" s="186">
        <f>(1-I5)*(Production!G49+Production!G14)</f>
        <v>963.33594023543628</v>
      </c>
      <c r="J3" s="186">
        <f>(1-J5)*(Production!H49+Production!H14)</f>
        <v>1117.5853696181964</v>
      </c>
    </row>
    <row r="4" spans="2:10" x14ac:dyDescent="0.2">
      <c r="B4" s="187"/>
      <c r="C4" s="188" t="s">
        <v>170</v>
      </c>
      <c r="D4" s="189" t="s">
        <v>171</v>
      </c>
      <c r="E4" s="190">
        <f>E5*(Production!C14+Production!C49)</f>
        <v>383.8741634241245</v>
      </c>
      <c r="F4" s="190">
        <f>F5*(Production!D14+Production!D49)</f>
        <v>383.25640449438197</v>
      </c>
      <c r="G4" s="190">
        <f>G5*(Production!E14+Production!E49)</f>
        <v>382.79629730651214</v>
      </c>
      <c r="H4" s="190">
        <f>H5*(Production!F14+Production!F49)</f>
        <v>382.79629730651214</v>
      </c>
      <c r="I4" s="190">
        <f>I5*(Production!G14+Production!G49)</f>
        <v>382.73405976456388</v>
      </c>
      <c r="J4" s="190">
        <f>J5*(Production!H14+Production!H49)</f>
        <v>382.68463038180346</v>
      </c>
    </row>
    <row r="5" spans="2:10" s="191" customFormat="1" ht="11.25" outlineLevel="1" x14ac:dyDescent="0.2">
      <c r="D5" s="192"/>
      <c r="E5" s="193">
        <f t="shared" ref="E5:J5" si="0">E6/E7</f>
        <v>0.45817120622568092</v>
      </c>
      <c r="F5" s="193">
        <f t="shared" si="0"/>
        <v>0.37800963081861955</v>
      </c>
      <c r="G5" s="193">
        <f t="shared" si="0"/>
        <v>0.32117286055233552</v>
      </c>
      <c r="H5" s="193">
        <f t="shared" si="0"/>
        <v>0.32117286055233552</v>
      </c>
      <c r="I5" s="193">
        <f t="shared" si="0"/>
        <v>0.28433444008451553</v>
      </c>
      <c r="J5" s="193">
        <f t="shared" si="0"/>
        <v>0.25507717303005689</v>
      </c>
    </row>
    <row r="6" spans="2:10" s="191" customFormat="1" ht="11.25" outlineLevel="1" x14ac:dyDescent="0.2">
      <c r="C6" s="194"/>
      <c r="D6" s="192"/>
      <c r="E6" s="195">
        <f>SUM(OPEX!P25:P28,OPEX!P30:P31,OPEX!P44:P46,OPEX!P61:P65,OPEX!P67:P68,OPEX!P70:P72)</f>
        <v>282.59999999999997</v>
      </c>
      <c r="F6" s="195">
        <f>SUM(OPEX!Q25:Q28,OPEX!Q30:Q31,OPEX!Q44:Q46,OPEX!Q61:Q65,OPEX!Q67:Q68,OPEX!Q70:Q72)</f>
        <v>282.59999999999997</v>
      </c>
      <c r="G6" s="195">
        <f>SUM(OPEX!R25:R28,OPEX!R30:R31,OPEX!R44:R46,OPEX!R61:R65,OPEX!R67:R68,OPEX!R70:R72)</f>
        <v>282.59999999999997</v>
      </c>
      <c r="H6" s="195">
        <f>SUM(OPEX!S25:S28,OPEX!S30:S31,OPEX!S44:S46,OPEX!S61:S65,OPEX!S67:S68,OPEX!S70:S72)</f>
        <v>282.59999999999997</v>
      </c>
      <c r="I6" s="195">
        <f>SUM(OPEX!T25:T28,OPEX!T30:T31,OPEX!T44:T46,OPEX!T61:T65,OPEX!T67:T68,OPEX!T70:T72)</f>
        <v>282.59999999999997</v>
      </c>
      <c r="J6" s="195">
        <f>SUM(OPEX!U25:U28,OPEX!U30:U31,OPEX!U44:U46,OPEX!U61:U65,OPEX!U67:U68,OPEX!U70:U72)</f>
        <v>282.59999999999997</v>
      </c>
    </row>
    <row r="7" spans="2:10" s="191" customFormat="1" ht="11.25" outlineLevel="1" x14ac:dyDescent="0.2">
      <c r="C7" s="194"/>
      <c r="D7" s="192"/>
      <c r="E7" s="195">
        <f>OPEX!P23+OPEX!P41+OPEX!P60+OPEX!P78</f>
        <v>616.79999999999995</v>
      </c>
      <c r="F7" s="195">
        <f>OPEX!Q23+OPEX!Q41+OPEX!Q60+OPEX!Q78</f>
        <v>747.6</v>
      </c>
      <c r="G7" s="195">
        <f>OPEX!R23+OPEX!R41+OPEX!R60+OPEX!R78</f>
        <v>879.89999999999986</v>
      </c>
      <c r="H7" s="195">
        <f>OPEX!S23+OPEX!S41+OPEX!S60+OPEX!S78</f>
        <v>879.89999999999986</v>
      </c>
      <c r="I7" s="195">
        <f>OPEX!T23+OPEX!T41+OPEX!T60+OPEX!T78</f>
        <v>993.89999999999986</v>
      </c>
      <c r="J7" s="195">
        <f>OPEX!U23+OPEX!U41+OPEX!U60+OPEX!U78</f>
        <v>1107.8999999999999</v>
      </c>
    </row>
    <row r="8" spans="2:10" x14ac:dyDescent="0.2">
      <c r="B8" s="183" t="s">
        <v>25</v>
      </c>
      <c r="C8" s="184" t="s">
        <v>164</v>
      </c>
      <c r="D8" s="185">
        <v>1</v>
      </c>
      <c r="E8" s="186">
        <f>Production!C$15*$D8</f>
        <v>167.68571428571425</v>
      </c>
      <c r="F8" s="186">
        <f>Production!D$15*$D8</f>
        <v>69.635714285714272</v>
      </c>
      <c r="G8" s="186">
        <f>Production!E$15*$D8</f>
        <v>170.68571428571425</v>
      </c>
      <c r="H8" s="186">
        <f>Production!F$15*$D8</f>
        <v>70.635714285714272</v>
      </c>
      <c r="I8" s="186">
        <f>Production!G$15*$D8</f>
        <v>170.68571428571425</v>
      </c>
      <c r="J8" s="186">
        <f>Production!H$15*$D8</f>
        <v>70.635714285714272</v>
      </c>
    </row>
    <row r="9" spans="2:10" x14ac:dyDescent="0.2">
      <c r="B9" s="187"/>
      <c r="C9" s="188" t="s">
        <v>170</v>
      </c>
      <c r="D9" s="189">
        <v>0</v>
      </c>
      <c r="E9" s="190">
        <f>Production!C$15*$D9</f>
        <v>0</v>
      </c>
      <c r="F9" s="190">
        <f>Production!D$15*$D9</f>
        <v>0</v>
      </c>
      <c r="G9" s="190">
        <f>Production!E$15*$D9</f>
        <v>0</v>
      </c>
      <c r="H9" s="190">
        <f>Production!F$15*$D9</f>
        <v>0</v>
      </c>
      <c r="I9" s="190">
        <f>Production!G$15*$D9</f>
        <v>0</v>
      </c>
      <c r="J9" s="190">
        <f>Production!H$15*$D9</f>
        <v>0</v>
      </c>
    </row>
    <row r="10" spans="2:10" x14ac:dyDescent="0.2">
      <c r="B10" s="183" t="s">
        <v>46</v>
      </c>
      <c r="C10" s="184" t="s">
        <v>164</v>
      </c>
      <c r="D10" s="185">
        <v>1</v>
      </c>
      <c r="E10" s="186">
        <f>Production!C$16*CVP!$D10</f>
        <v>0</v>
      </c>
      <c r="F10" s="186">
        <f>Production!D$16*CVP!$D10</f>
        <v>61.666666666666671</v>
      </c>
      <c r="G10" s="186">
        <f>Production!E$16*CVP!$D10</f>
        <v>86.666666666666657</v>
      </c>
      <c r="H10" s="186">
        <f>Production!F$16*CVP!$D10</f>
        <v>120</v>
      </c>
      <c r="I10" s="186">
        <f>Production!G$16*CVP!$D10</f>
        <v>145</v>
      </c>
      <c r="J10" s="186">
        <f>Production!H$16*CVP!$D10</f>
        <v>145</v>
      </c>
    </row>
    <row r="11" spans="2:10" x14ac:dyDescent="0.2">
      <c r="B11" s="187"/>
      <c r="C11" s="188" t="s">
        <v>170</v>
      </c>
      <c r="D11" s="189">
        <v>0</v>
      </c>
      <c r="E11" s="190">
        <f>Production!C$16*CVP!$D11</f>
        <v>0</v>
      </c>
      <c r="F11" s="190">
        <f>Production!D$16*CVP!$D11</f>
        <v>0</v>
      </c>
      <c r="G11" s="190">
        <f>Production!E$16*CVP!$D11</f>
        <v>0</v>
      </c>
      <c r="H11" s="190">
        <f>Production!F$16*CVP!$D11</f>
        <v>0</v>
      </c>
      <c r="I11" s="190">
        <f>Production!G$16*CVP!$D11</f>
        <v>0</v>
      </c>
      <c r="J11" s="190">
        <f>Production!H$16*CVP!$D11</f>
        <v>0</v>
      </c>
    </row>
    <row r="12" spans="2:10" x14ac:dyDescent="0.2">
      <c r="B12" s="183" t="s">
        <v>161</v>
      </c>
      <c r="C12" s="184" t="s">
        <v>164</v>
      </c>
      <c r="D12" s="185">
        <v>0.2</v>
      </c>
      <c r="E12" s="186">
        <f>$D12*Production!C$17</f>
        <v>0</v>
      </c>
      <c r="F12" s="186">
        <f>$D12*Production!D$17</f>
        <v>7.4</v>
      </c>
      <c r="G12" s="186">
        <f>$D12*Production!E$17</f>
        <v>10.4</v>
      </c>
      <c r="H12" s="186">
        <f>$D12*Production!F$17</f>
        <v>14.4</v>
      </c>
      <c r="I12" s="186">
        <f>$D12*Production!G$17</f>
        <v>17.400000000000002</v>
      </c>
      <c r="J12" s="186">
        <f>$D12*Production!H$17</f>
        <v>17.400000000000002</v>
      </c>
    </row>
    <row r="13" spans="2:10" x14ac:dyDescent="0.2">
      <c r="B13" s="187"/>
      <c r="C13" s="188" t="s">
        <v>170</v>
      </c>
      <c r="D13" s="189">
        <v>0.8</v>
      </c>
      <c r="E13" s="190">
        <f>$D13*Production!C$17</f>
        <v>0</v>
      </c>
      <c r="F13" s="190">
        <f>$D13*Production!D$17</f>
        <v>29.6</v>
      </c>
      <c r="G13" s="190">
        <f>$D13*Production!E$17</f>
        <v>41.6</v>
      </c>
      <c r="H13" s="190">
        <f>$D13*Production!F$17</f>
        <v>57.6</v>
      </c>
      <c r="I13" s="190">
        <f>$D13*Production!G$17</f>
        <v>69.600000000000009</v>
      </c>
      <c r="J13" s="190">
        <f>$D13*Production!H$17</f>
        <v>69.600000000000009</v>
      </c>
    </row>
    <row r="14" spans="2:10" x14ac:dyDescent="0.2">
      <c r="B14" s="183" t="s">
        <v>145</v>
      </c>
      <c r="C14" s="184" t="s">
        <v>164</v>
      </c>
      <c r="D14" s="185">
        <v>0.3</v>
      </c>
      <c r="E14" s="186">
        <f>$D14*Production!C$18</f>
        <v>13.2</v>
      </c>
      <c r="F14" s="186">
        <f>$D14*Production!D$18</f>
        <v>13.2</v>
      </c>
      <c r="G14" s="186">
        <f>$D14*Production!E$18</f>
        <v>13.2</v>
      </c>
      <c r="H14" s="186">
        <f>$D14*Production!F$18</f>
        <v>13.2</v>
      </c>
      <c r="I14" s="186">
        <f>$D14*Production!G$18</f>
        <v>13.2</v>
      </c>
      <c r="J14" s="186">
        <f>$D14*Production!H$18</f>
        <v>13.2</v>
      </c>
    </row>
    <row r="15" spans="2:10" x14ac:dyDescent="0.2">
      <c r="B15" s="187"/>
      <c r="C15" s="188" t="s">
        <v>170</v>
      </c>
      <c r="D15" s="189">
        <v>0.7</v>
      </c>
      <c r="E15" s="190">
        <f>$D15*Production!C$18</f>
        <v>30.799999999999997</v>
      </c>
      <c r="F15" s="190">
        <f>$D15*Production!D$18</f>
        <v>30.799999999999997</v>
      </c>
      <c r="G15" s="190">
        <f>$D15*Production!E$18</f>
        <v>30.799999999999997</v>
      </c>
      <c r="H15" s="190">
        <f>$D15*Production!F$18</f>
        <v>30.799999999999997</v>
      </c>
      <c r="I15" s="190">
        <f>$D15*Production!G$18</f>
        <v>30.799999999999997</v>
      </c>
      <c r="J15" s="190">
        <f>$D15*Production!H$18</f>
        <v>30.799999999999997</v>
      </c>
    </row>
    <row r="16" spans="2:10" x14ac:dyDescent="0.2">
      <c r="B16" s="183" t="s">
        <v>150</v>
      </c>
      <c r="C16" s="184" t="s">
        <v>164</v>
      </c>
      <c r="D16" s="185">
        <v>1</v>
      </c>
      <c r="E16" s="186">
        <f>$D16*Production!C$19</f>
        <v>35.017499999999998</v>
      </c>
      <c r="F16" s="186">
        <f>$D16*Production!D$19</f>
        <v>35.017499999999998</v>
      </c>
      <c r="G16" s="186">
        <f>$D16*Production!E$19</f>
        <v>35.017499999999998</v>
      </c>
      <c r="H16" s="186">
        <f>$D16*Production!F$19</f>
        <v>35.017499999999998</v>
      </c>
      <c r="I16" s="186">
        <f>$D16*Production!G$19</f>
        <v>35.017499999999998</v>
      </c>
      <c r="J16" s="186">
        <f>$D16*Production!H$19</f>
        <v>35.017499999999998</v>
      </c>
    </row>
    <row r="17" spans="2:12" x14ac:dyDescent="0.2">
      <c r="B17" s="187"/>
      <c r="C17" s="188" t="s">
        <v>170</v>
      </c>
      <c r="D17" s="189">
        <v>0</v>
      </c>
      <c r="E17" s="190">
        <f>$D17*Production!C$19</f>
        <v>0</v>
      </c>
      <c r="F17" s="190">
        <f>$D17*Production!D$19</f>
        <v>0</v>
      </c>
      <c r="G17" s="190">
        <f>$D17*Production!E$19</f>
        <v>0</v>
      </c>
      <c r="H17" s="190">
        <f>$D17*Production!F$19</f>
        <v>0</v>
      </c>
      <c r="I17" s="190">
        <f>$D17*Production!G$19</f>
        <v>0</v>
      </c>
      <c r="J17" s="190">
        <f>$D17*Production!H$19</f>
        <v>0</v>
      </c>
    </row>
    <row r="18" spans="2:12" x14ac:dyDescent="0.2">
      <c r="B18" s="183" t="s">
        <v>26</v>
      </c>
      <c r="C18" s="184" t="s">
        <v>164</v>
      </c>
      <c r="D18" s="185">
        <v>0.7</v>
      </c>
      <c r="E18" s="186">
        <f>$D18*Production!C$20</f>
        <v>20.02</v>
      </c>
      <c r="F18" s="186">
        <f>$D18*Production!D$20</f>
        <v>21.419999999999998</v>
      </c>
      <c r="G18" s="186">
        <f>$D18*Production!E$20</f>
        <v>22.12</v>
      </c>
      <c r="H18" s="186">
        <f>$D18*Production!F$20</f>
        <v>22.12</v>
      </c>
      <c r="I18" s="186">
        <f>$D18*Production!G$20</f>
        <v>22.12</v>
      </c>
      <c r="J18" s="186">
        <f>$D18*Production!H$20</f>
        <v>22.12</v>
      </c>
    </row>
    <row r="19" spans="2:12" x14ac:dyDescent="0.2">
      <c r="B19" s="187"/>
      <c r="C19" s="188" t="s">
        <v>170</v>
      </c>
      <c r="D19" s="189">
        <v>0.3</v>
      </c>
      <c r="E19" s="190">
        <f>$D19*Production!C$20</f>
        <v>8.58</v>
      </c>
      <c r="F19" s="190">
        <f>$D19*Production!D$20</f>
        <v>9.18</v>
      </c>
      <c r="G19" s="190">
        <f>$D19*Production!E$20</f>
        <v>9.48</v>
      </c>
      <c r="H19" s="190">
        <f>$D19*Production!F$20</f>
        <v>9.48</v>
      </c>
      <c r="I19" s="190">
        <f>$D19*Production!G$20</f>
        <v>9.48</v>
      </c>
      <c r="J19" s="190">
        <f>$D19*Production!H$20</f>
        <v>9.48</v>
      </c>
    </row>
    <row r="20" spans="2:12" x14ac:dyDescent="0.2">
      <c r="B20" s="183" t="s">
        <v>78</v>
      </c>
      <c r="C20" s="184" t="s">
        <v>164</v>
      </c>
      <c r="D20" s="185">
        <v>0.9</v>
      </c>
      <c r="E20" s="186">
        <f>$D20*Production!C$21</f>
        <v>10.8</v>
      </c>
      <c r="F20" s="186">
        <f>$D20*Production!D$21</f>
        <v>10.8</v>
      </c>
      <c r="G20" s="186">
        <f>$D20*Production!E$21</f>
        <v>10.8</v>
      </c>
      <c r="H20" s="186">
        <f>$D20*Production!F$21</f>
        <v>10.8</v>
      </c>
      <c r="I20" s="186">
        <f>$D20*Production!G$21</f>
        <v>10.8</v>
      </c>
      <c r="J20" s="186">
        <f>$D20*Production!H$21</f>
        <v>10.8</v>
      </c>
    </row>
    <row r="21" spans="2:12" x14ac:dyDescent="0.2">
      <c r="B21" s="187"/>
      <c r="C21" s="188" t="s">
        <v>170</v>
      </c>
      <c r="D21" s="189">
        <v>0.1</v>
      </c>
      <c r="E21" s="190">
        <f>$D21*Production!C$21</f>
        <v>1.2000000000000002</v>
      </c>
      <c r="F21" s="190">
        <f>$D21*Production!D$21</f>
        <v>1.2000000000000002</v>
      </c>
      <c r="G21" s="190">
        <f>$D21*Production!E$21</f>
        <v>1.2000000000000002</v>
      </c>
      <c r="H21" s="190">
        <f>$D21*Production!F$21</f>
        <v>1.2000000000000002</v>
      </c>
      <c r="I21" s="190">
        <f>$D21*Production!G$21</f>
        <v>1.2000000000000002</v>
      </c>
      <c r="J21" s="190">
        <f>$D21*Production!H$21</f>
        <v>1.2000000000000002</v>
      </c>
    </row>
    <row r="22" spans="2:12" x14ac:dyDescent="0.2">
      <c r="B22" s="183" t="s">
        <v>91</v>
      </c>
      <c r="C22" s="184" t="s">
        <v>164</v>
      </c>
      <c r="D22" s="185">
        <v>0</v>
      </c>
      <c r="E22" s="186">
        <f>$D22*Production!C$22</f>
        <v>0</v>
      </c>
      <c r="F22" s="186">
        <f>$D22*Production!D$22</f>
        <v>0</v>
      </c>
      <c r="G22" s="186">
        <f>$D22*Production!E$22</f>
        <v>0</v>
      </c>
      <c r="H22" s="186">
        <f>$D22*Production!F$22</f>
        <v>0</v>
      </c>
      <c r="I22" s="186">
        <f>$D22*Production!G$22</f>
        <v>0</v>
      </c>
      <c r="J22" s="186">
        <f>$D22*Production!H$22</f>
        <v>0</v>
      </c>
    </row>
    <row r="23" spans="2:12" x14ac:dyDescent="0.2">
      <c r="B23" s="187"/>
      <c r="C23" s="188" t="s">
        <v>170</v>
      </c>
      <c r="D23" s="189">
        <v>1</v>
      </c>
      <c r="E23" s="190">
        <f>$D23*Production!C$22</f>
        <v>10</v>
      </c>
      <c r="F23" s="190">
        <f>$D23*Production!D$22</f>
        <v>10</v>
      </c>
      <c r="G23" s="190">
        <f>$D23*Production!E$22</f>
        <v>10</v>
      </c>
      <c r="H23" s="190">
        <f>$D23*Production!F$22</f>
        <v>10</v>
      </c>
      <c r="I23" s="190">
        <f>$D23*Production!G$22</f>
        <v>10</v>
      </c>
      <c r="J23" s="190">
        <f>$D23*Production!H$22</f>
        <v>10</v>
      </c>
    </row>
    <row r="24" spans="2:12" x14ac:dyDescent="0.2">
      <c r="B24" s="196" t="s">
        <v>131</v>
      </c>
      <c r="C24" s="197" t="s">
        <v>170</v>
      </c>
      <c r="D24" s="198">
        <v>1</v>
      </c>
      <c r="E24" s="199">
        <f>Production!C47</f>
        <v>3</v>
      </c>
      <c r="F24" s="199">
        <f>Production!D47</f>
        <v>3</v>
      </c>
      <c r="G24" s="199">
        <f>Production!E47</f>
        <v>3</v>
      </c>
      <c r="H24" s="199">
        <f>Production!F47</f>
        <v>3</v>
      </c>
      <c r="I24" s="199">
        <f>Production!G47</f>
        <v>3</v>
      </c>
      <c r="J24" s="199">
        <f>Production!H47</f>
        <v>3</v>
      </c>
    </row>
    <row r="25" spans="2:12" x14ac:dyDescent="0.2">
      <c r="B25" s="196" t="s">
        <v>49</v>
      </c>
      <c r="C25" s="197" t="s">
        <v>170</v>
      </c>
      <c r="D25" s="198">
        <v>1</v>
      </c>
      <c r="E25" s="199">
        <f>Production!C48</f>
        <v>365.4</v>
      </c>
      <c r="F25" s="199">
        <f>Production!D48</f>
        <v>365.4</v>
      </c>
      <c r="G25" s="199">
        <f>Production!E48</f>
        <v>365.4</v>
      </c>
      <c r="H25" s="199">
        <f>Production!F48</f>
        <v>365.4</v>
      </c>
      <c r="I25" s="199">
        <f>Production!G48</f>
        <v>365.4</v>
      </c>
      <c r="J25" s="199">
        <f>Production!H48</f>
        <v>365.4</v>
      </c>
    </row>
    <row r="26" spans="2:12" x14ac:dyDescent="0.2">
      <c r="B26" s="196" t="s">
        <v>38</v>
      </c>
      <c r="C26" s="197" t="s">
        <v>170</v>
      </c>
      <c r="D26" s="198">
        <v>1</v>
      </c>
      <c r="E26" s="199">
        <f>Production!C50</f>
        <v>0</v>
      </c>
      <c r="F26" s="199">
        <f>Production!D50</f>
        <v>0</v>
      </c>
      <c r="G26" s="199">
        <f>Production!E50</f>
        <v>0</v>
      </c>
      <c r="H26" s="199">
        <f>Production!F50</f>
        <v>0</v>
      </c>
      <c r="I26" s="199">
        <f>Production!G50</f>
        <v>0</v>
      </c>
      <c r="J26" s="199">
        <f>Production!H50</f>
        <v>0</v>
      </c>
    </row>
    <row r="28" spans="2:12" x14ac:dyDescent="0.2">
      <c r="E28" s="200"/>
      <c r="F28" s="200"/>
      <c r="G28" s="200"/>
      <c r="H28" s="200"/>
      <c r="I28" s="200"/>
      <c r="J28" s="200"/>
    </row>
    <row r="29" spans="2:12" x14ac:dyDescent="0.2">
      <c r="B29" s="201" t="s">
        <v>169</v>
      </c>
      <c r="C29" s="202"/>
      <c r="D29" s="203"/>
      <c r="E29" s="204">
        <f t="shared" ref="E29:J29" si="1">SUM(E30)</f>
        <v>700.68905086158986</v>
      </c>
      <c r="F29" s="204">
        <f t="shared" si="1"/>
        <v>849.76347645799876</v>
      </c>
      <c r="G29" s="204">
        <f t="shared" si="1"/>
        <v>1157.9635836458688</v>
      </c>
      <c r="H29" s="204">
        <f t="shared" si="1"/>
        <v>1095.2469169792018</v>
      </c>
      <c r="I29" s="204">
        <f t="shared" si="1"/>
        <v>1377.5591545211505</v>
      </c>
      <c r="J29" s="204">
        <f t="shared" si="1"/>
        <v>1431.7585839039107</v>
      </c>
    </row>
    <row r="30" spans="2:12" s="207" customFormat="1" ht="11.25" x14ac:dyDescent="0.2">
      <c r="B30" s="205" t="s">
        <v>166</v>
      </c>
      <c r="C30" s="180"/>
      <c r="D30" s="181"/>
      <c r="E30" s="206">
        <f t="shared" ref="E30:J30" si="2">SUMIF($C$3:$C$26,"VC",E3:E26)</f>
        <v>700.68905086158986</v>
      </c>
      <c r="F30" s="206">
        <f t="shared" si="2"/>
        <v>849.76347645799876</v>
      </c>
      <c r="G30" s="206">
        <f t="shared" si="2"/>
        <v>1157.9635836458688</v>
      </c>
      <c r="H30" s="206">
        <f t="shared" si="2"/>
        <v>1095.2469169792018</v>
      </c>
      <c r="I30" s="206">
        <f t="shared" si="2"/>
        <v>1377.5591545211505</v>
      </c>
      <c r="J30" s="206">
        <f t="shared" si="2"/>
        <v>1431.7585839039107</v>
      </c>
    </row>
    <row r="31" spans="2:12" x14ac:dyDescent="0.2">
      <c r="B31" s="201" t="s">
        <v>165</v>
      </c>
      <c r="C31" s="202"/>
      <c r="D31" s="203"/>
      <c r="E31" s="204">
        <f t="shared" ref="E31:J31" si="3">SUM(E32:E34)</f>
        <v>1618.4990840590449</v>
      </c>
      <c r="F31" s="204">
        <f t="shared" si="3"/>
        <v>3179.6136267166039</v>
      </c>
      <c r="G31" s="204">
        <f t="shared" si="3"/>
        <v>3486.7170115922268</v>
      </c>
      <c r="H31" s="204">
        <f t="shared" si="3"/>
        <v>3825.5170115922265</v>
      </c>
      <c r="I31" s="204">
        <f t="shared" si="3"/>
        <v>4006.3404883359922</v>
      </c>
      <c r="J31" s="204">
        <f t="shared" si="3"/>
        <v>3833.4910589532315</v>
      </c>
    </row>
    <row r="32" spans="2:12" s="207" customFormat="1" ht="11.25" x14ac:dyDescent="0.2">
      <c r="B32" s="205" t="s">
        <v>265</v>
      </c>
      <c r="C32" s="180"/>
      <c r="D32" s="181"/>
      <c r="E32" s="206">
        <f t="shared" ref="E32:J32" si="4">SUMIF($C$3:$C$26,"FC",E3:E26)</f>
        <v>802.85416342412441</v>
      </c>
      <c r="F32" s="206">
        <f t="shared" si="4"/>
        <v>832.43640449438203</v>
      </c>
      <c r="G32" s="206">
        <f t="shared" si="4"/>
        <v>844.27629730651211</v>
      </c>
      <c r="H32" s="206">
        <f t="shared" si="4"/>
        <v>860.27629730651211</v>
      </c>
      <c r="I32" s="206">
        <f t="shared" si="4"/>
        <v>872.2140597645639</v>
      </c>
      <c r="J32" s="206">
        <f t="shared" si="4"/>
        <v>872.16463038180348</v>
      </c>
      <c r="K32" s="206">
        <f>SUM(E32:J32)</f>
        <v>5084.2218526778979</v>
      </c>
      <c r="L32" s="438" t="s">
        <v>166</v>
      </c>
    </row>
    <row r="33" spans="2:12" s="207" customFormat="1" ht="11.25" x14ac:dyDescent="0.2">
      <c r="B33" s="205" t="s">
        <v>259</v>
      </c>
      <c r="C33" s="180"/>
      <c r="D33" s="181"/>
      <c r="E33" s="206">
        <f>-'P&amp;L, CashFlow'!D9</f>
        <v>815.6449206349206</v>
      </c>
      <c r="F33" s="206">
        <f>-'P&amp;L, CashFlow'!E9</f>
        <v>1931.9772222222223</v>
      </c>
      <c r="G33" s="206">
        <f>-'P&amp;L, CashFlow'!F9</f>
        <v>2256.0407142857143</v>
      </c>
      <c r="H33" s="206">
        <f>-'P&amp;L, CashFlow'!G9</f>
        <v>2658.0407142857143</v>
      </c>
      <c r="I33" s="206">
        <f>-'P&amp;L, CashFlow'!H9</f>
        <v>2961.3264285714281</v>
      </c>
      <c r="J33" s="206">
        <f>-'P&amp;L, CashFlow'!I9</f>
        <v>2961.3264285714281</v>
      </c>
      <c r="K33" s="206">
        <f>SUM(E33:J33)</f>
        <v>13584.356428571429</v>
      </c>
      <c r="L33" s="438" t="s">
        <v>92</v>
      </c>
    </row>
    <row r="34" spans="2:12" s="207" customFormat="1" ht="11.25" x14ac:dyDescent="0.2">
      <c r="B34" s="205" t="s">
        <v>338</v>
      </c>
      <c r="C34" s="180"/>
      <c r="D34" s="181"/>
      <c r="E34" s="206">
        <f>-'P&amp;L, CashFlow'!D8</f>
        <v>0</v>
      </c>
      <c r="F34" s="206">
        <f>-'P&amp;L, CashFlow'!E8</f>
        <v>415.2</v>
      </c>
      <c r="G34" s="206">
        <f>-'P&amp;L, CashFlow'!F8</f>
        <v>386.40000000000003</v>
      </c>
      <c r="H34" s="206">
        <f>-'P&amp;L, CashFlow'!G8</f>
        <v>307.2</v>
      </c>
      <c r="I34" s="206">
        <f>-'P&amp;L, CashFlow'!H8</f>
        <v>172.8</v>
      </c>
      <c r="J34" s="206">
        <f>-'P&amp;L, CashFlow'!I8</f>
        <v>0</v>
      </c>
      <c r="K34" s="206">
        <f>SUM(E34:J34)</f>
        <v>1281.5999999999999</v>
      </c>
      <c r="L34" s="438" t="s">
        <v>372</v>
      </c>
    </row>
    <row r="35" spans="2:12" x14ac:dyDescent="0.2">
      <c r="B35" s="201" t="s">
        <v>172</v>
      </c>
      <c r="C35" s="202"/>
      <c r="D35" s="203"/>
      <c r="E35" s="204">
        <f t="shared" ref="E35:J35" si="5">E29+E31</f>
        <v>2319.1881349206346</v>
      </c>
      <c r="F35" s="204">
        <f t="shared" si="5"/>
        <v>4029.3771031746028</v>
      </c>
      <c r="G35" s="204">
        <f t="shared" si="5"/>
        <v>4644.6805952380955</v>
      </c>
      <c r="H35" s="204">
        <f t="shared" si="5"/>
        <v>4920.7639285714286</v>
      </c>
      <c r="I35" s="204">
        <f t="shared" si="5"/>
        <v>5383.8996428571427</v>
      </c>
      <c r="J35" s="204">
        <f t="shared" si="5"/>
        <v>5265.2496428571421</v>
      </c>
    </row>
    <row r="36" spans="2:12" s="210" customFormat="1" x14ac:dyDescent="0.2">
      <c r="B36" s="208" t="s">
        <v>173</v>
      </c>
      <c r="C36" s="194"/>
      <c r="D36" s="192"/>
      <c r="E36" s="209">
        <f>E35+'P&amp;L, CashFlow'!D3+'P&amp;L, CashFlow'!D5+'P&amp;L, CashFlow'!D8+'P&amp;L, CashFlow'!D9</f>
        <v>1051.6832142857138</v>
      </c>
      <c r="F36" s="209">
        <f>F35+'P&amp;L, CashFlow'!E3+'P&amp;L, CashFlow'!E5+'P&amp;L, CashFlow'!E8+'P&amp;L, CashFlow'!E9</f>
        <v>241.46986034115116</v>
      </c>
      <c r="G36" s="209">
        <f>G35+'P&amp;L, CashFlow'!F3+'P&amp;L, CashFlow'!F5+'P&amp;L, CashFlow'!F8+'P&amp;L, CashFlow'!F9</f>
        <v>152.42660874200465</v>
      </c>
      <c r="H36" s="209">
        <f>H35+'P&amp;L, CashFlow'!G3+'P&amp;L, CashFlow'!G5+'P&amp;L, CashFlow'!G8+'P&amp;L, CashFlow'!G9</f>
        <v>-428.81439339019153</v>
      </c>
      <c r="I36" s="209">
        <f>I35+'P&amp;L, CashFlow'!H3+'P&amp;L, CashFlow'!H5+'P&amp;L, CashFlow'!H8+'P&amp;L, CashFlow'!H9</f>
        <v>-535.45764498933886</v>
      </c>
      <c r="J36" s="209">
        <f>J35+'P&amp;L, CashFlow'!I3+'P&amp;L, CashFlow'!I5+'P&amp;L, CashFlow'!I8+'P&amp;L, CashFlow'!I9</f>
        <v>-481.30764498933922</v>
      </c>
    </row>
    <row r="38" spans="2:12" x14ac:dyDescent="0.2">
      <c r="B38" s="179" t="s">
        <v>283</v>
      </c>
      <c r="E38" s="209"/>
      <c r="F38" s="200">
        <f>Production!D5</f>
        <v>925</v>
      </c>
      <c r="G38" s="200">
        <f>Production!E5</f>
        <v>1300</v>
      </c>
      <c r="H38" s="200">
        <f>Production!F5</f>
        <v>1800</v>
      </c>
      <c r="I38" s="200">
        <f>Production!G5</f>
        <v>2175</v>
      </c>
      <c r="J38" s="200">
        <f>Production!H5</f>
        <v>2175</v>
      </c>
    </row>
    <row r="39" spans="2:12" x14ac:dyDescent="0.2">
      <c r="B39" s="179" t="s">
        <v>279</v>
      </c>
      <c r="D39" s="181" t="s">
        <v>167</v>
      </c>
      <c r="E39" s="211"/>
      <c r="F39" s="212">
        <f t="shared" ref="F39:J39" si="6">F29/F38</f>
        <v>0.9186632177924311</v>
      </c>
      <c r="G39" s="212">
        <f t="shared" si="6"/>
        <v>0.89074121818912977</v>
      </c>
      <c r="H39" s="212">
        <f t="shared" si="6"/>
        <v>0.60847050943288994</v>
      </c>
      <c r="I39" s="212">
        <f t="shared" si="6"/>
        <v>0.63336053081432209</v>
      </c>
      <c r="J39" s="212">
        <f t="shared" si="6"/>
        <v>0.65827980869145319</v>
      </c>
    </row>
    <row r="40" spans="2:12" x14ac:dyDescent="0.2">
      <c r="B40" s="179" t="s">
        <v>281</v>
      </c>
      <c r="D40" s="181" t="s">
        <v>174</v>
      </c>
      <c r="E40" s="211"/>
      <c r="F40" s="212">
        <f>Production!D10</f>
        <v>5</v>
      </c>
      <c r="G40" s="212">
        <f>Production!E10</f>
        <v>5</v>
      </c>
      <c r="H40" s="212">
        <f>Production!F10</f>
        <v>5</v>
      </c>
      <c r="I40" s="212">
        <f>Production!G10</f>
        <v>5</v>
      </c>
      <c r="J40" s="212">
        <f>Production!H10</f>
        <v>5</v>
      </c>
    </row>
    <row r="41" spans="2:12" x14ac:dyDescent="0.2">
      <c r="B41" s="179" t="s">
        <v>282</v>
      </c>
      <c r="D41" s="181" t="s">
        <v>174</v>
      </c>
      <c r="E41" s="213"/>
      <c r="F41" s="214">
        <f t="shared" ref="F41:J41" si="7">F40-F39</f>
        <v>4.0813367822075692</v>
      </c>
      <c r="G41" s="214">
        <f t="shared" si="7"/>
        <v>4.1092587818108699</v>
      </c>
      <c r="H41" s="214">
        <f t="shared" si="7"/>
        <v>4.3915294905671098</v>
      </c>
      <c r="I41" s="214">
        <f t="shared" si="7"/>
        <v>4.366639469185678</v>
      </c>
      <c r="J41" s="214">
        <f t="shared" si="7"/>
        <v>4.3417201913085464</v>
      </c>
    </row>
    <row r="42" spans="2:12" ht="13.5" thickBot="1" x14ac:dyDescent="0.25">
      <c r="E42" s="210"/>
    </row>
    <row r="43" spans="2:12" ht="13.5" thickBot="1" x14ac:dyDescent="0.25">
      <c r="B43" s="215" t="s">
        <v>284</v>
      </c>
      <c r="C43" s="216"/>
      <c r="D43" s="217" t="s">
        <v>95</v>
      </c>
      <c r="E43" s="218"/>
      <c r="F43" s="219">
        <f>F31/F41</f>
        <v>779.06181145795347</v>
      </c>
      <c r="G43" s="219">
        <f>G31/G41</f>
        <v>848.50266111877693</v>
      </c>
      <c r="H43" s="219">
        <f>H31/H41</f>
        <v>871.11267721401771</v>
      </c>
      <c r="I43" s="219">
        <f>I31/I41</f>
        <v>917.48826909291938</v>
      </c>
      <c r="J43" s="219">
        <f>J31/J41</f>
        <v>882.94290973132922</v>
      </c>
    </row>
    <row r="44" spans="2:12" x14ac:dyDescent="0.2">
      <c r="B44" s="179" t="s">
        <v>175</v>
      </c>
      <c r="D44" s="181" t="s">
        <v>176</v>
      </c>
      <c r="F44" s="220">
        <f>(F38-F43)/F38</f>
        <v>0.15777101464005031</v>
      </c>
      <c r="G44" s="220">
        <f>(G38-G43)/G38</f>
        <v>0.34730564529324853</v>
      </c>
      <c r="H44" s="220">
        <f>(H38-H43)/H38</f>
        <v>0.51604851265887908</v>
      </c>
      <c r="I44" s="220">
        <f>(I38-I43)/I38</f>
        <v>0.57816631306072674</v>
      </c>
      <c r="J44" s="220">
        <f>(J38-J43)/J38</f>
        <v>0.594049236905136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Y31"/>
  <sheetViews>
    <sheetView showGridLines="0" topLeftCell="D1" workbookViewId="0">
      <selection activeCell="O8" sqref="O8:X8"/>
    </sheetView>
  </sheetViews>
  <sheetFormatPr defaultRowHeight="12.75" x14ac:dyDescent="0.2"/>
  <cols>
    <col min="1" max="1" width="9.140625" style="281"/>
    <col min="2" max="2" width="3.85546875" style="281" customWidth="1"/>
    <col min="3" max="3" width="26.140625" style="281" customWidth="1"/>
    <col min="4" max="4" width="22.42578125" style="281" bestFit="1" customWidth="1"/>
    <col min="5" max="5" width="12" style="281" customWidth="1"/>
    <col min="6" max="6" width="3.28515625" style="281" customWidth="1"/>
    <col min="7" max="7" width="4.85546875" style="281" customWidth="1"/>
    <col min="8" max="8" width="17.5703125" style="281" bestFit="1" customWidth="1"/>
    <col min="9" max="10" width="6.42578125" style="281" customWidth="1"/>
    <col min="11" max="11" width="4.5703125" style="281" customWidth="1"/>
    <col min="12" max="13" width="9.140625" style="281"/>
    <col min="14" max="14" width="14.5703125" style="281" bestFit="1" customWidth="1"/>
    <col min="15" max="24" width="6.85546875" style="281" customWidth="1"/>
    <col min="25" max="16384" width="9.140625" style="281"/>
  </cols>
  <sheetData>
    <row r="1" spans="2:25" x14ac:dyDescent="0.2">
      <c r="P1" s="282" t="s">
        <v>211</v>
      </c>
    </row>
    <row r="2" spans="2:25" x14ac:dyDescent="0.2">
      <c r="B2" s="283"/>
      <c r="C2" s="284" t="s">
        <v>204</v>
      </c>
      <c r="D2" s="285"/>
      <c r="E2" s="286"/>
      <c r="G2" s="283"/>
      <c r="H2" s="284" t="s">
        <v>205</v>
      </c>
      <c r="I2" s="285"/>
      <c r="J2" s="285"/>
      <c r="K2" s="286"/>
      <c r="O2" s="287">
        <v>1</v>
      </c>
      <c r="P2" s="287">
        <v>2</v>
      </c>
      <c r="Q2" s="287">
        <v>3</v>
      </c>
      <c r="R2" s="287">
        <v>4</v>
      </c>
      <c r="S2" s="287">
        <v>5</v>
      </c>
      <c r="T2" s="287">
        <v>6</v>
      </c>
      <c r="U2" s="287">
        <v>7</v>
      </c>
      <c r="V2" s="287">
        <v>8</v>
      </c>
      <c r="W2" s="287">
        <v>9</v>
      </c>
      <c r="X2" s="287">
        <v>10</v>
      </c>
    </row>
    <row r="3" spans="2:25" x14ac:dyDescent="0.2">
      <c r="B3" s="288"/>
      <c r="C3" s="289"/>
      <c r="D3" s="289"/>
      <c r="E3" s="290"/>
      <c r="G3" s="288"/>
      <c r="H3" s="289"/>
      <c r="I3" s="289"/>
      <c r="J3" s="289"/>
      <c r="K3" s="290"/>
      <c r="O3" s="291">
        <f>O8</f>
        <v>-10.94205988095238</v>
      </c>
      <c r="P3" s="291">
        <f>O3+P8</f>
        <v>-17.232561646671407</v>
      </c>
      <c r="Q3" s="291">
        <f t="shared" ref="Q3:X3" si="0">P3+Q8</f>
        <v>-16.017417396991235</v>
      </c>
      <c r="R3" s="291">
        <f t="shared" si="0"/>
        <v>-12.824224946884625</v>
      </c>
      <c r="S3" s="291">
        <f t="shared" si="0"/>
        <v>-7.4859267036010415</v>
      </c>
      <c r="T3" s="291">
        <f t="shared" si="0"/>
        <v>5.9461539682541975E-2</v>
      </c>
      <c r="U3" s="291">
        <f t="shared" si="0"/>
        <v>7.6048497829661255</v>
      </c>
      <c r="V3" s="291">
        <f t="shared" si="0"/>
        <v>15.15023802624971</v>
      </c>
      <c r="W3" s="291">
        <f t="shared" si="0"/>
        <v>22.695626269533292</v>
      </c>
      <c r="X3" s="291">
        <f t="shared" si="0"/>
        <v>30.241014512816875</v>
      </c>
    </row>
    <row r="4" spans="2:25" ht="13.5" thickBot="1" x14ac:dyDescent="0.25">
      <c r="B4" s="288"/>
      <c r="C4" s="281" t="s">
        <v>208</v>
      </c>
      <c r="D4" s="292" t="s">
        <v>193</v>
      </c>
      <c r="E4" s="290"/>
      <c r="G4" s="288"/>
      <c r="H4" s="293"/>
      <c r="I4" s="289"/>
      <c r="J4" s="289"/>
      <c r="K4" s="290"/>
      <c r="O4" s="294"/>
      <c r="P4" s="295" t="str">
        <f t="shared" ref="P4:S4" si="1">IF(AND(O3&lt;0,P3&gt;0),P2,"")</f>
        <v/>
      </c>
      <c r="Q4" s="295" t="str">
        <f t="shared" si="1"/>
        <v/>
      </c>
      <c r="R4" s="295" t="str">
        <f t="shared" si="1"/>
        <v/>
      </c>
      <c r="S4" s="295" t="str">
        <f t="shared" si="1"/>
        <v/>
      </c>
      <c r="T4" s="295">
        <f>IF(AND(S3&lt;0,T3&gt;0),T2,"")</f>
        <v>6</v>
      </c>
      <c r="U4" s="295" t="str">
        <f t="shared" ref="U4:X4" si="2">IF(AND(T3&lt;0,U3&gt;0),U2,"")</f>
        <v/>
      </c>
      <c r="V4" s="295" t="str">
        <f t="shared" si="2"/>
        <v/>
      </c>
      <c r="W4" s="295" t="str">
        <f t="shared" si="2"/>
        <v/>
      </c>
      <c r="X4" s="295" t="str">
        <f t="shared" si="2"/>
        <v/>
      </c>
    </row>
    <row r="5" spans="2:25" x14ac:dyDescent="0.2">
      <c r="B5" s="288"/>
      <c r="C5" s="296" t="s">
        <v>191</v>
      </c>
      <c r="D5" s="297">
        <v>42740</v>
      </c>
      <c r="E5" s="298"/>
      <c r="F5" s="299"/>
      <c r="G5" s="300"/>
      <c r="H5" s="301"/>
      <c r="I5" s="301"/>
      <c r="J5" s="289"/>
      <c r="K5" s="290"/>
    </row>
    <row r="6" spans="2:25" s="294" customFormat="1" x14ac:dyDescent="0.2">
      <c r="B6" s="302"/>
      <c r="C6" s="303" t="s">
        <v>177</v>
      </c>
      <c r="D6" s="304" t="s">
        <v>183</v>
      </c>
      <c r="E6" s="305"/>
      <c r="G6" s="302"/>
      <c r="H6" s="306"/>
      <c r="I6" s="306"/>
      <c r="J6" s="306"/>
      <c r="K6" s="307"/>
      <c r="N6" s="281"/>
      <c r="O6" s="443" t="s">
        <v>300</v>
      </c>
      <c r="P6" s="444"/>
      <c r="Q6" s="444"/>
      <c r="R6" s="444"/>
      <c r="S6" s="444"/>
      <c r="T6" s="445"/>
      <c r="U6" s="443" t="s">
        <v>301</v>
      </c>
      <c r="V6" s="444"/>
      <c r="W6" s="444"/>
      <c r="X6" s="445"/>
      <c r="Y6" s="308"/>
    </row>
    <row r="7" spans="2:25" s="294" customFormat="1" x14ac:dyDescent="0.2">
      <c r="B7" s="302"/>
      <c r="C7" s="303" t="s">
        <v>178</v>
      </c>
      <c r="D7" s="304">
        <v>270</v>
      </c>
      <c r="E7" s="305"/>
      <c r="G7" s="302"/>
      <c r="H7" s="303" t="s">
        <v>180</v>
      </c>
      <c r="I7" s="309">
        <f>J17/J14</f>
        <v>2.3333333333333335</v>
      </c>
      <c r="J7" s="306"/>
      <c r="K7" s="307"/>
      <c r="N7" s="299"/>
      <c r="O7" s="310" t="s">
        <v>290</v>
      </c>
      <c r="P7" s="310" t="s">
        <v>291</v>
      </c>
      <c r="Q7" s="310" t="s">
        <v>292</v>
      </c>
      <c r="R7" s="310" t="s">
        <v>293</v>
      </c>
      <c r="S7" s="310" t="s">
        <v>294</v>
      </c>
      <c r="T7" s="310" t="s">
        <v>295</v>
      </c>
      <c r="U7" s="310" t="s">
        <v>296</v>
      </c>
      <c r="V7" s="310" t="s">
        <v>297</v>
      </c>
      <c r="W7" s="310" t="s">
        <v>298</v>
      </c>
      <c r="X7" s="310" t="s">
        <v>299</v>
      </c>
    </row>
    <row r="8" spans="2:25" s="294" customFormat="1" x14ac:dyDescent="0.2">
      <c r="B8" s="302"/>
      <c r="C8" s="311" t="s">
        <v>179</v>
      </c>
      <c r="D8" s="312">
        <v>0.88467204600000005</v>
      </c>
      <c r="E8" s="305"/>
      <c r="G8" s="302"/>
      <c r="H8" s="311" t="s">
        <v>179</v>
      </c>
      <c r="I8" s="309">
        <f>D11*(1+I7*(1-I9))</f>
        <v>1.854824439223735</v>
      </c>
      <c r="J8" s="306"/>
      <c r="K8" s="307"/>
      <c r="N8" s="313" t="s">
        <v>100</v>
      </c>
      <c r="O8" s="314">
        <f>('P&amp;L, CashFlow'!D18+'P&amp;L, CashFlow'!D24)/1000</f>
        <v>-10.94205988095238</v>
      </c>
      <c r="P8" s="314">
        <f>('P&amp;L, CashFlow'!E18+'P&amp;L, CashFlow'!E24)/1000</f>
        <v>-6.290501765719025</v>
      </c>
      <c r="Q8" s="314">
        <f>('P&amp;L, CashFlow'!F18+'P&amp;L, CashFlow'!F24)/1000</f>
        <v>1.215144249680171</v>
      </c>
      <c r="R8" s="314">
        <f>('P&amp;L, CashFlow'!G18+'P&amp;L, CashFlow'!G24)/1000</f>
        <v>3.19319245010661</v>
      </c>
      <c r="S8" s="314">
        <f>('P&amp;L, CashFlow'!H18+'P&amp;L, CashFlow'!H24)/1000</f>
        <v>5.3382982432835835</v>
      </c>
      <c r="T8" s="314">
        <f>('P&amp;L, CashFlow'!I18+'P&amp;L, CashFlow'!I24)/1000</f>
        <v>7.5453882432835835</v>
      </c>
      <c r="U8" s="314">
        <f>T8</f>
        <v>7.5453882432835835</v>
      </c>
      <c r="V8" s="314">
        <f t="shared" ref="V8:X8" si="3">U8</f>
        <v>7.5453882432835835</v>
      </c>
      <c r="W8" s="314">
        <f t="shared" si="3"/>
        <v>7.5453882432835835</v>
      </c>
      <c r="X8" s="314">
        <f t="shared" si="3"/>
        <v>7.5453882432835835</v>
      </c>
      <c r="Y8" s="315">
        <f>SUM(O8:X8)</f>
        <v>30.241014512816875</v>
      </c>
    </row>
    <row r="9" spans="2:25" s="294" customFormat="1" x14ac:dyDescent="0.2">
      <c r="B9" s="302"/>
      <c r="C9" s="303" t="s">
        <v>180</v>
      </c>
      <c r="D9" s="316">
        <v>0.42422715773239844</v>
      </c>
      <c r="E9" s="305"/>
      <c r="G9" s="302"/>
      <c r="H9" s="303" t="s">
        <v>181</v>
      </c>
      <c r="I9" s="309">
        <f>'P&amp;L, CashFlow'!C11%</f>
        <v>0.2</v>
      </c>
      <c r="J9" s="306"/>
      <c r="K9" s="307"/>
      <c r="N9" s="313"/>
      <c r="O9" s="314"/>
      <c r="P9" s="314"/>
      <c r="Q9" s="314"/>
      <c r="R9" s="314"/>
      <c r="S9" s="314"/>
      <c r="T9" s="314"/>
      <c r="U9" s="314"/>
      <c r="V9" s="314"/>
      <c r="W9" s="314"/>
      <c r="X9" s="314"/>
    </row>
    <row r="10" spans="2:25" s="294" customFormat="1" ht="13.5" thickBot="1" x14ac:dyDescent="0.25">
      <c r="B10" s="302"/>
      <c r="C10" s="303" t="s">
        <v>181</v>
      </c>
      <c r="D10" s="316">
        <v>0.13424312799999999</v>
      </c>
      <c r="E10" s="305"/>
      <c r="G10" s="302"/>
      <c r="H10" s="306"/>
      <c r="I10" s="306"/>
      <c r="J10" s="306"/>
      <c r="K10" s="307"/>
      <c r="O10" s="317"/>
      <c r="P10" s="317"/>
      <c r="Q10" s="317"/>
      <c r="R10" s="317"/>
      <c r="S10" s="317"/>
      <c r="T10" s="317"/>
      <c r="U10" s="317"/>
      <c r="V10" s="317"/>
      <c r="W10" s="317"/>
      <c r="X10" s="317"/>
    </row>
    <row r="11" spans="2:25" s="294" customFormat="1" ht="13.5" thickBot="1" x14ac:dyDescent="0.25">
      <c r="B11" s="302"/>
      <c r="C11" s="303" t="s">
        <v>182</v>
      </c>
      <c r="D11" s="318">
        <v>0.64703178112455861</v>
      </c>
      <c r="E11" s="319"/>
      <c r="G11" s="302"/>
      <c r="H11" s="320" t="s">
        <v>203</v>
      </c>
      <c r="I11" s="321"/>
      <c r="J11" s="322" t="s">
        <v>199</v>
      </c>
      <c r="K11" s="307"/>
      <c r="R11" s="323"/>
      <c r="S11" s="323"/>
      <c r="T11" s="323"/>
      <c r="U11" s="323"/>
      <c r="V11" s="323"/>
      <c r="W11" s="323"/>
      <c r="X11" s="323"/>
    </row>
    <row r="12" spans="2:25" ht="13.5" thickBot="1" x14ac:dyDescent="0.25">
      <c r="B12" s="288"/>
      <c r="C12" s="289"/>
      <c r="D12" s="324"/>
      <c r="E12" s="325"/>
      <c r="G12" s="288"/>
      <c r="H12" s="306" t="s">
        <v>196</v>
      </c>
      <c r="I12" s="289"/>
      <c r="J12" s="289"/>
      <c r="K12" s="290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</row>
    <row r="13" spans="2:25" x14ac:dyDescent="0.2">
      <c r="B13" s="288"/>
      <c r="C13" s="296" t="s">
        <v>191</v>
      </c>
      <c r="D13" s="297">
        <v>42746</v>
      </c>
      <c r="E13" s="298"/>
      <c r="F13" s="326"/>
      <c r="G13" s="288"/>
      <c r="H13" s="327" t="s">
        <v>198</v>
      </c>
      <c r="I13" s="328">
        <f>D22+I8*D18</f>
        <v>0.1933857781842731</v>
      </c>
      <c r="J13" s="329"/>
      <c r="K13" s="290"/>
      <c r="N13" s="294"/>
    </row>
    <row r="14" spans="2:25" x14ac:dyDescent="0.2">
      <c r="B14" s="288"/>
      <c r="C14" s="303" t="s">
        <v>184</v>
      </c>
      <c r="D14" s="330" t="s">
        <v>187</v>
      </c>
      <c r="E14" s="298"/>
      <c r="G14" s="288"/>
      <c r="H14" s="331" t="s">
        <v>201</v>
      </c>
      <c r="I14" s="332">
        <f>(1+I13)/(1+D25)-1</f>
        <v>0.11458464386314859</v>
      </c>
      <c r="J14" s="333">
        <v>0.3</v>
      </c>
      <c r="K14" s="290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</row>
    <row r="15" spans="2:25" x14ac:dyDescent="0.2">
      <c r="B15" s="288"/>
      <c r="C15" s="303" t="s">
        <v>190</v>
      </c>
      <c r="D15" s="334" t="s">
        <v>188</v>
      </c>
      <c r="E15" s="298"/>
      <c r="G15" s="288"/>
      <c r="H15" s="293" t="s">
        <v>197</v>
      </c>
      <c r="I15" s="289"/>
      <c r="J15" s="289"/>
      <c r="K15" s="290"/>
      <c r="N15" s="335" t="s">
        <v>163</v>
      </c>
      <c r="O15" s="336">
        <f>IRR(O8:X8)</f>
        <v>0.19949311726238328</v>
      </c>
      <c r="P15" s="294"/>
      <c r="Q15" s="294"/>
    </row>
    <row r="16" spans="2:25" x14ac:dyDescent="0.2">
      <c r="B16" s="288"/>
      <c r="C16" s="303" t="s">
        <v>185</v>
      </c>
      <c r="D16" s="330" t="s">
        <v>189</v>
      </c>
      <c r="E16" s="298"/>
      <c r="G16" s="288"/>
      <c r="H16" s="327" t="s">
        <v>198</v>
      </c>
      <c r="I16" s="328">
        <f>'P&amp;L, CashFlow'!K42</f>
        <v>4.8000000000000001E-2</v>
      </c>
      <c r="J16" s="329"/>
      <c r="K16" s="290"/>
      <c r="N16" s="335" t="s">
        <v>209</v>
      </c>
      <c r="O16" s="337">
        <f>NPV(I18,O8:X8)</f>
        <v>15.134009315778956</v>
      </c>
      <c r="P16" s="294" t="s">
        <v>216</v>
      </c>
      <c r="Q16" s="294"/>
    </row>
    <row r="17" spans="2:25" ht="13.5" thickBot="1" x14ac:dyDescent="0.25">
      <c r="B17" s="288"/>
      <c r="C17" s="303" t="s">
        <v>186</v>
      </c>
      <c r="D17" s="338">
        <v>2.8899999999999999E-2</v>
      </c>
      <c r="E17" s="298"/>
      <c r="G17" s="288"/>
      <c r="H17" s="339" t="s">
        <v>202</v>
      </c>
      <c r="I17" s="340">
        <f>I16*(1-I9)</f>
        <v>3.8400000000000004E-2</v>
      </c>
      <c r="J17" s="333">
        <v>0.7</v>
      </c>
      <c r="K17" s="290"/>
      <c r="N17" s="335" t="s">
        <v>210</v>
      </c>
      <c r="O17" s="341">
        <f>SUM(P4:X4)</f>
        <v>6</v>
      </c>
      <c r="P17" s="294" t="s">
        <v>339</v>
      </c>
      <c r="Q17" s="294"/>
    </row>
    <row r="18" spans="2:25" ht="13.5" thickBot="1" x14ac:dyDescent="0.25">
      <c r="B18" s="288"/>
      <c r="C18" s="303" t="s">
        <v>206</v>
      </c>
      <c r="D18" s="342">
        <v>9.2399999999999996E-2</v>
      </c>
      <c r="E18" s="298"/>
      <c r="G18" s="288"/>
      <c r="H18" s="320" t="s">
        <v>200</v>
      </c>
      <c r="I18" s="321">
        <f>I14*J14+I16*(1-I9)*J17</f>
        <v>6.1255393158944578E-2</v>
      </c>
      <c r="J18" s="343"/>
      <c r="K18" s="290"/>
    </row>
    <row r="19" spans="2:25" x14ac:dyDescent="0.2">
      <c r="B19" s="288"/>
      <c r="C19" s="303" t="s">
        <v>207</v>
      </c>
      <c r="D19" s="344">
        <v>3.5499999999999997E-2</v>
      </c>
      <c r="E19" s="298"/>
      <c r="G19" s="288"/>
      <c r="H19" s="289"/>
      <c r="I19" s="289"/>
      <c r="J19" s="289"/>
      <c r="K19" s="290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</row>
    <row r="20" spans="2:25" ht="13.5" thickBot="1" x14ac:dyDescent="0.25">
      <c r="B20" s="288"/>
      <c r="C20" s="289"/>
      <c r="D20" s="345"/>
      <c r="E20" s="290"/>
      <c r="G20" s="288"/>
      <c r="H20" s="289"/>
      <c r="I20" s="289"/>
      <c r="J20" s="289"/>
      <c r="K20" s="290"/>
      <c r="N20" s="299"/>
      <c r="O20" s="346"/>
      <c r="P20" s="299"/>
      <c r="Q20" s="299"/>
      <c r="R20" s="299"/>
      <c r="S20" s="299"/>
      <c r="T20" s="299"/>
      <c r="U20" s="299"/>
      <c r="V20" s="299"/>
      <c r="W20" s="299"/>
      <c r="X20" s="299"/>
      <c r="Y20" s="299"/>
    </row>
    <row r="21" spans="2:25" x14ac:dyDescent="0.2">
      <c r="B21" s="288"/>
      <c r="C21" s="347" t="s">
        <v>191</v>
      </c>
      <c r="D21" s="348">
        <v>42992</v>
      </c>
      <c r="E21" s="290"/>
      <c r="G21" s="288"/>
      <c r="H21" s="289"/>
      <c r="I21" s="289"/>
      <c r="J21" s="289"/>
      <c r="K21" s="290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</row>
    <row r="22" spans="2:25" x14ac:dyDescent="0.2">
      <c r="B22" s="288"/>
      <c r="C22" s="349" t="s">
        <v>194</v>
      </c>
      <c r="D22" s="342">
        <v>2.1999999999999999E-2</v>
      </c>
      <c r="E22" s="290"/>
      <c r="G22" s="288"/>
      <c r="H22" s="289"/>
      <c r="I22" s="289"/>
      <c r="J22" s="289"/>
      <c r="K22" s="290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</row>
    <row r="23" spans="2:25" x14ac:dyDescent="0.2">
      <c r="B23" s="288"/>
      <c r="C23" s="289"/>
      <c r="D23" s="345"/>
      <c r="E23" s="290"/>
      <c r="G23" s="288"/>
      <c r="H23" s="289"/>
      <c r="I23" s="289"/>
      <c r="J23" s="289"/>
      <c r="K23" s="290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</row>
    <row r="24" spans="2:25" x14ac:dyDescent="0.2">
      <c r="B24" s="288"/>
      <c r="C24" s="289" t="s">
        <v>195</v>
      </c>
      <c r="D24" s="350"/>
      <c r="E24" s="290"/>
      <c r="G24" s="288"/>
      <c r="H24" s="289"/>
      <c r="I24" s="289"/>
      <c r="J24" s="289"/>
      <c r="K24" s="290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</row>
    <row r="25" spans="2:25" x14ac:dyDescent="0.2">
      <c r="B25" s="288"/>
      <c r="C25" s="349" t="s">
        <v>192</v>
      </c>
      <c r="D25" s="342">
        <v>7.0699999999999999E-2</v>
      </c>
      <c r="E25" s="290"/>
      <c r="G25" s="288"/>
      <c r="H25" s="289"/>
      <c r="I25" s="289"/>
      <c r="J25" s="289"/>
      <c r="K25" s="290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</row>
    <row r="26" spans="2:25" x14ac:dyDescent="0.2">
      <c r="B26" s="351"/>
      <c r="C26" s="352"/>
      <c r="D26" s="352"/>
      <c r="E26" s="353"/>
      <c r="G26" s="351"/>
      <c r="H26" s="352"/>
      <c r="I26" s="352"/>
      <c r="J26" s="352"/>
      <c r="K26" s="353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</row>
    <row r="27" spans="2:25" x14ac:dyDescent="0.2"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</row>
    <row r="28" spans="2:25" x14ac:dyDescent="0.2"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</row>
    <row r="29" spans="2:25" x14ac:dyDescent="0.2"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</row>
    <row r="30" spans="2:25" x14ac:dyDescent="0.2"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</row>
    <row r="31" spans="2:25" x14ac:dyDescent="0.2"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</row>
  </sheetData>
  <mergeCells count="2">
    <mergeCell ref="U6:X6"/>
    <mergeCell ref="O6:T6"/>
  </mergeCells>
  <conditionalFormatting sqref="O8:T8">
    <cfRule type="cellIs" dxfId="5" priority="9" operator="lessThan">
      <formula>0</formula>
    </cfRule>
  </conditionalFormatting>
  <conditionalFormatting sqref="U8:X8">
    <cfRule type="cellIs" dxfId="4" priority="8" operator="lessThan">
      <formula>0</formula>
    </cfRule>
  </conditionalFormatting>
  <conditionalFormatting sqref="O15">
    <cfRule type="cellIs" dxfId="3" priority="7" operator="lessThan">
      <formula>0</formula>
    </cfRule>
  </conditionalFormatting>
  <conditionalFormatting sqref="O16">
    <cfRule type="cellIs" dxfId="2" priority="6" operator="lessThan">
      <formula>0</formula>
    </cfRule>
  </conditionalFormatting>
  <conditionalFormatting sqref="O9:X9">
    <cfRule type="cellIs" dxfId="1" priority="5" operator="lessThan">
      <formula>0</formula>
    </cfRule>
  </conditionalFormatting>
  <conditionalFormatting sqref="O17">
    <cfRule type="cellIs" dxfId="0" priority="2" operator="lessThan">
      <formula>0</formula>
    </cfRule>
  </conditionalFormatting>
  <hyperlinks>
    <hyperlink ref="C22" r:id="rId1" display="US treasury rate" xr:uid="{00000000-0004-0000-0600-000000000000}"/>
    <hyperlink ref="C25" r:id="rId2" xr:uid="{00000000-0004-0000-0600-000001000000}"/>
    <hyperlink ref="D4" r:id="rId3" xr:uid="{00000000-0004-0000-0600-000002000000}"/>
  </hyperlinks>
  <pageMargins left="0.75" right="0.75" top="1" bottom="1" header="0.5" footer="0.5"/>
  <pageSetup orientation="portrait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2:AC131"/>
  <sheetViews>
    <sheetView showGridLines="0" topLeftCell="A124" zoomScale="80" zoomScaleNormal="80" workbookViewId="0">
      <selection activeCell="E100" sqref="E100"/>
    </sheetView>
  </sheetViews>
  <sheetFormatPr defaultRowHeight="12.75" x14ac:dyDescent="0.2"/>
  <cols>
    <col min="1" max="1" width="3.140625" style="221" customWidth="1"/>
    <col min="2" max="7" width="9.140625" style="221"/>
    <col min="8" max="8" width="4.42578125" style="221" customWidth="1"/>
    <col min="9" max="14" width="9.140625" style="221"/>
    <col min="15" max="15" width="7.42578125" style="221" customWidth="1"/>
    <col min="16" max="21" width="9.140625" style="221"/>
    <col min="22" max="22" width="7.28515625" style="221" bestFit="1" customWidth="1"/>
    <col min="23" max="16384" width="9.140625" style="221"/>
  </cols>
  <sheetData>
    <row r="2" spans="2:29" ht="14.25" x14ac:dyDescent="0.2">
      <c r="B2" s="222" t="s">
        <v>345</v>
      </c>
    </row>
    <row r="3" spans="2:29" x14ac:dyDescent="0.2">
      <c r="B3" s="221">
        <v>2018</v>
      </c>
      <c r="C3" s="221">
        <v>2019</v>
      </c>
      <c r="D3" s="221">
        <v>2020</v>
      </c>
      <c r="E3" s="221">
        <v>2021</v>
      </c>
      <c r="F3" s="221">
        <v>2022</v>
      </c>
      <c r="G3" s="221">
        <v>2023</v>
      </c>
      <c r="J3" s="434" t="s">
        <v>2</v>
      </c>
      <c r="K3" s="226">
        <f>CAPEX!I59/1000</f>
        <v>15.275066666666667</v>
      </c>
    </row>
    <row r="4" spans="2:29" x14ac:dyDescent="0.2">
      <c r="B4" s="223">
        <f>CAPEX!S91</f>
        <v>9438.5166666666664</v>
      </c>
      <c r="C4" s="223">
        <f>CAPEX!T91</f>
        <v>8650.6833333333343</v>
      </c>
      <c r="D4" s="223">
        <f>CAPEX!U91</f>
        <v>2494.6666666666656</v>
      </c>
      <c r="E4" s="223">
        <f>CAPEX!V91</f>
        <v>2814.0000000000005</v>
      </c>
      <c r="F4" s="223">
        <f>CAPEX!W91</f>
        <v>2123</v>
      </c>
      <c r="G4" s="223">
        <f>CAPEX!X91</f>
        <v>0</v>
      </c>
      <c r="J4" s="434" t="s">
        <v>56</v>
      </c>
      <c r="K4" s="226">
        <f>CAPEX!I86/1000</f>
        <v>4.1475</v>
      </c>
      <c r="O4" s="5" t="s">
        <v>43</v>
      </c>
      <c r="P4" s="225">
        <f>CAPEX!I52</f>
        <v>10730</v>
      </c>
      <c r="U4" t="s">
        <v>3</v>
      </c>
      <c r="V4" s="225">
        <f>SUM(CAPEX!I62:I64,CAPEX!I82:I83)</f>
        <v>1862.5</v>
      </c>
      <c r="AB4" s="224" t="s">
        <v>16</v>
      </c>
      <c r="AC4" s="225">
        <f>CAPEX!I16</f>
        <v>1684.8</v>
      </c>
    </row>
    <row r="5" spans="2:29" x14ac:dyDescent="0.2">
      <c r="J5" s="434" t="s">
        <v>1</v>
      </c>
      <c r="K5" s="226">
        <f>CAPEX!I39/1000+CAPEX!I11/1000</f>
        <v>5.2983000000000002</v>
      </c>
      <c r="O5" s="5" t="s">
        <v>44</v>
      </c>
      <c r="P5" s="225">
        <f>CAPEX!I53</f>
        <v>1293.4000000000001</v>
      </c>
      <c r="U5" t="s">
        <v>365</v>
      </c>
      <c r="V5" s="225">
        <f>SUM(CAPEX!I65,CAPEX!I70,CAPEX!I72:I75)</f>
        <v>881.25</v>
      </c>
      <c r="AB5" s="5" t="s">
        <v>19</v>
      </c>
      <c r="AC5" s="225">
        <f>CAPEX!I30</f>
        <v>1380</v>
      </c>
    </row>
    <row r="6" spans="2:29" x14ac:dyDescent="0.2">
      <c r="J6" s="434" t="s">
        <v>88</v>
      </c>
      <c r="K6" s="226">
        <f>CAPEX!I89/1000</f>
        <v>0.8</v>
      </c>
      <c r="O6" s="5" t="s">
        <v>42</v>
      </c>
      <c r="P6" s="225">
        <f>CAPEX!I51</f>
        <v>986.66666666666674</v>
      </c>
      <c r="U6" t="s">
        <v>366</v>
      </c>
      <c r="V6" s="225">
        <f>SUM(CAPEX!I66:I69,CAPEX!I71)</f>
        <v>762.5</v>
      </c>
      <c r="AB6" s="437" t="s">
        <v>50</v>
      </c>
      <c r="AC6" s="225">
        <f>CAPEX!I15</f>
        <v>1435.5</v>
      </c>
    </row>
    <row r="7" spans="2:29" x14ac:dyDescent="0.2">
      <c r="O7" s="5" t="s">
        <v>368</v>
      </c>
      <c r="P7" s="225">
        <f>CAPEX!I55</f>
        <v>895</v>
      </c>
      <c r="U7" t="s">
        <v>45</v>
      </c>
      <c r="V7" s="225">
        <f>SUM(CAPEX!I76:I81,CAPEX!I84)</f>
        <v>453.75</v>
      </c>
      <c r="AB7" s="5" t="s">
        <v>21</v>
      </c>
      <c r="AC7" s="225">
        <f>CAPEX!I14</f>
        <v>390</v>
      </c>
    </row>
    <row r="8" spans="2:29" x14ac:dyDescent="0.2">
      <c r="O8" s="5" t="s">
        <v>39</v>
      </c>
      <c r="P8" s="225">
        <f>CAPEX!I42</f>
        <v>620</v>
      </c>
      <c r="U8" t="s">
        <v>367</v>
      </c>
      <c r="V8" s="225">
        <f>CAPEX!I85</f>
        <v>187.5</v>
      </c>
      <c r="AB8" s="5" t="s">
        <v>3</v>
      </c>
      <c r="AC8" s="225">
        <f>CAPEX!I25</f>
        <v>260</v>
      </c>
    </row>
    <row r="9" spans="2:29" x14ac:dyDescent="0.2">
      <c r="O9" s="5" t="s">
        <v>369</v>
      </c>
      <c r="P9" s="225">
        <f>CAPEX!I46</f>
        <v>400</v>
      </c>
      <c r="V9" s="228">
        <f>SUM(V4:V8)</f>
        <v>4147.5</v>
      </c>
      <c r="AB9" s="5" t="s">
        <v>20</v>
      </c>
      <c r="AC9" s="225">
        <f>CAPEX!I34</f>
        <v>12</v>
      </c>
    </row>
    <row r="10" spans="2:29" x14ac:dyDescent="0.2">
      <c r="O10" s="5" t="s">
        <v>45</v>
      </c>
      <c r="P10" s="225">
        <f>CAPEX!I54</f>
        <v>250</v>
      </c>
      <c r="AB10" s="5" t="s">
        <v>110</v>
      </c>
      <c r="AC10" s="225">
        <f>CAPEX!I36</f>
        <v>11</v>
      </c>
    </row>
    <row r="11" spans="2:29" x14ac:dyDescent="0.2">
      <c r="O11" s="5" t="s">
        <v>114</v>
      </c>
      <c r="P11" s="225">
        <f>CAPEX!I45</f>
        <v>100</v>
      </c>
    </row>
    <row r="18" spans="2:17" ht="14.25" x14ac:dyDescent="0.2">
      <c r="B18" s="222"/>
      <c r="I18" s="222"/>
      <c r="P18" s="222"/>
    </row>
    <row r="19" spans="2:17" x14ac:dyDescent="0.2">
      <c r="B19" s="221">
        <v>2017</v>
      </c>
      <c r="C19" s="221">
        <v>2018</v>
      </c>
      <c r="D19" s="221">
        <v>2019</v>
      </c>
      <c r="E19" s="221">
        <v>2020</v>
      </c>
      <c r="F19" s="221">
        <v>2021</v>
      </c>
      <c r="G19" s="221">
        <v>2022</v>
      </c>
    </row>
    <row r="20" spans="2:17" x14ac:dyDescent="0.2">
      <c r="B20" s="225">
        <f>Production!C5</f>
        <v>0</v>
      </c>
      <c r="C20" s="225">
        <f>Production!D5</f>
        <v>925</v>
      </c>
      <c r="D20" s="225">
        <f>Production!E5</f>
        <v>1300</v>
      </c>
      <c r="E20" s="225">
        <f>Production!F5</f>
        <v>1800</v>
      </c>
      <c r="F20" s="225">
        <f>Production!G5</f>
        <v>2175</v>
      </c>
      <c r="G20" s="225">
        <f>Production!H5</f>
        <v>2175</v>
      </c>
      <c r="I20" s="434" t="s">
        <v>1</v>
      </c>
      <c r="J20" s="229">
        <f>Production!I25</f>
        <v>2149.7492857142852</v>
      </c>
      <c r="P20" s="45" t="s">
        <v>149</v>
      </c>
      <c r="Q20" s="225">
        <f>Production!I14</f>
        <v>6548.28</v>
      </c>
    </row>
    <row r="21" spans="2:17" x14ac:dyDescent="0.2">
      <c r="I21" s="434" t="s">
        <v>2</v>
      </c>
      <c r="J21" s="229">
        <f>Production!I31</f>
        <v>4963.4533333333338</v>
      </c>
      <c r="P21" s="45" t="s">
        <v>25</v>
      </c>
      <c r="Q21" s="225">
        <f>Production!I15</f>
        <v>719.96428571428544</v>
      </c>
    </row>
    <row r="22" spans="2:17" x14ac:dyDescent="0.2">
      <c r="I22" s="434" t="s">
        <v>56</v>
      </c>
      <c r="J22" s="229">
        <f>Production!I36</f>
        <v>1461.8400000000001</v>
      </c>
      <c r="P22" s="45" t="s">
        <v>46</v>
      </c>
      <c r="Q22" s="225">
        <f>Production!I16</f>
        <v>558.33333333333326</v>
      </c>
    </row>
    <row r="23" spans="2:17" x14ac:dyDescent="0.2">
      <c r="I23" s="434" t="s">
        <v>88</v>
      </c>
      <c r="J23" s="229">
        <f>Production!I42</f>
        <v>378.2399999999999</v>
      </c>
      <c r="P23" s="45" t="s">
        <v>161</v>
      </c>
      <c r="Q23" s="225">
        <f>Production!I17</f>
        <v>335</v>
      </c>
    </row>
    <row r="24" spans="2:17" x14ac:dyDescent="0.2">
      <c r="P24" s="45" t="s">
        <v>371</v>
      </c>
      <c r="Q24" s="225">
        <f>Production!I18</f>
        <v>264</v>
      </c>
    </row>
    <row r="25" spans="2:17" x14ac:dyDescent="0.2">
      <c r="P25" s="45" t="s">
        <v>150</v>
      </c>
      <c r="Q25" s="225">
        <f>Production!I19</f>
        <v>210.10499999999996</v>
      </c>
    </row>
    <row r="26" spans="2:17" x14ac:dyDescent="0.2">
      <c r="P26" s="45" t="s">
        <v>26</v>
      </c>
      <c r="Q26" s="225">
        <f>Production!I20</f>
        <v>185.6</v>
      </c>
    </row>
    <row r="27" spans="2:17" x14ac:dyDescent="0.2">
      <c r="P27" s="45" t="s">
        <v>78</v>
      </c>
      <c r="Q27" s="225">
        <f>Production!I21</f>
        <v>72</v>
      </c>
    </row>
    <row r="28" spans="2:17" x14ac:dyDescent="0.2">
      <c r="P28" s="45" t="s">
        <v>91</v>
      </c>
      <c r="Q28" s="225">
        <f>Production!I22</f>
        <v>60</v>
      </c>
    </row>
    <row r="34" spans="2:29" ht="14.25" x14ac:dyDescent="0.2">
      <c r="B34" s="222"/>
      <c r="I34" s="222"/>
      <c r="P34" s="222"/>
      <c r="W34" s="222"/>
    </row>
    <row r="36" spans="2:29" x14ac:dyDescent="0.2">
      <c r="B36" s="223">
        <f>'P&amp;L, CashFlow'!D2</f>
        <v>0</v>
      </c>
      <c r="C36" s="223">
        <f>'P&amp;L, CashFlow'!E2</f>
        <v>4625</v>
      </c>
      <c r="D36" s="223">
        <f>'P&amp;L, CashFlow'!F2</f>
        <v>6500</v>
      </c>
      <c r="E36" s="223">
        <f>'P&amp;L, CashFlow'!G2</f>
        <v>9000</v>
      </c>
      <c r="F36" s="223">
        <f>'P&amp;L, CashFlow'!H2</f>
        <v>10875</v>
      </c>
      <c r="G36" s="223">
        <f>'P&amp;L, CashFlow'!I2</f>
        <v>10875</v>
      </c>
      <c r="I36" s="223">
        <f>'P&amp;L, CashFlow'!D4</f>
        <v>0</v>
      </c>
      <c r="J36" s="223">
        <f>'P&amp;L, CashFlow'!E4</f>
        <v>3636.1299793887706</v>
      </c>
      <c r="K36" s="223">
        <f>'P&amp;L, CashFlow'!F4</f>
        <v>5110.2367277896237</v>
      </c>
      <c r="L36" s="223">
        <f>'P&amp;L, CashFlow'!G4</f>
        <v>7075.7123923240943</v>
      </c>
      <c r="M36" s="223">
        <f>'P&amp;L, CashFlow'!H4</f>
        <v>8549.8191407249469</v>
      </c>
      <c r="N36" s="223">
        <f>'P&amp;L, CashFlow'!I4</f>
        <v>8549.8191407249469</v>
      </c>
      <c r="P36" s="225">
        <f>'P&amp;L, CashFlow'!D6</f>
        <v>-451.86</v>
      </c>
      <c r="Q36" s="225">
        <f>'P&amp;L, CashFlow'!E6</f>
        <v>3184.2699793887705</v>
      </c>
      <c r="R36" s="225">
        <f>'P&amp;L, CashFlow'!F6</f>
        <v>4650.1867277896235</v>
      </c>
      <c r="S36" s="225">
        <f>'P&amp;L, CashFlow'!G6</f>
        <v>6615.6623923240941</v>
      </c>
      <c r="T36" s="225">
        <f>'P&amp;L, CashFlow'!H6</f>
        <v>8089.7691407249467</v>
      </c>
      <c r="U36" s="225">
        <f>'P&amp;L, CashFlow'!I6</f>
        <v>8089.7691407249467</v>
      </c>
      <c r="W36" s="225">
        <f>'P&amp;L, CashFlow'!D12</f>
        <v>-1267.5049206349206</v>
      </c>
      <c r="X36" s="225">
        <f>'P&amp;L, CashFlow'!E12</f>
        <v>669.67420573323875</v>
      </c>
      <c r="Y36" s="225">
        <f>'P&amp;L, CashFlow'!F12</f>
        <v>1606.1968108031276</v>
      </c>
      <c r="Z36" s="225">
        <f>'P&amp;L, CashFlow'!G12</f>
        <v>2920.3373424307038</v>
      </c>
      <c r="AA36" s="225">
        <f>'P&amp;L, CashFlow'!H12</f>
        <v>3964.5141697228146</v>
      </c>
      <c r="AB36" s="225">
        <f>'P&amp;L, CashFlow'!I12</f>
        <v>4102.7541697228153</v>
      </c>
      <c r="AC36" s="225"/>
    </row>
    <row r="37" spans="2:29" x14ac:dyDescent="0.2">
      <c r="I37" s="231" t="e">
        <f>'P&amp;L, CashFlow'!D4/'P&amp;L, CashFlow'!D2</f>
        <v>#DIV/0!</v>
      </c>
      <c r="J37" s="231">
        <f>'P&amp;L, CashFlow'!E4/'P&amp;L, CashFlow'!E2</f>
        <v>0.78619026581378826</v>
      </c>
      <c r="K37" s="231">
        <f>'P&amp;L, CashFlow'!F4/'P&amp;L, CashFlow'!F2</f>
        <v>0.78619026581378826</v>
      </c>
      <c r="L37" s="231">
        <f>'P&amp;L, CashFlow'!G4/'P&amp;L, CashFlow'!G2</f>
        <v>0.78619026581378826</v>
      </c>
      <c r="M37" s="231">
        <f>'P&amp;L, CashFlow'!H4/'P&amp;L, CashFlow'!H2</f>
        <v>0.78619026581378826</v>
      </c>
      <c r="N37" s="231">
        <f>'P&amp;L, CashFlow'!I4/'P&amp;L, CashFlow'!I2</f>
        <v>0.78619026581378826</v>
      </c>
    </row>
    <row r="49" spans="2:23" ht="14.25" x14ac:dyDescent="0.2">
      <c r="B49" s="222"/>
      <c r="I49" s="222" t="s">
        <v>159</v>
      </c>
      <c r="P49"/>
      <c r="Q49"/>
      <c r="R49"/>
      <c r="S49"/>
      <c r="T49"/>
      <c r="U49"/>
      <c r="W49" s="222"/>
    </row>
    <row r="50" spans="2:23" x14ac:dyDescent="0.2">
      <c r="I50" s="221">
        <v>2017</v>
      </c>
      <c r="J50" s="221">
        <v>2018</v>
      </c>
      <c r="K50" s="221">
        <v>2019</v>
      </c>
      <c r="L50" s="221">
        <v>2020</v>
      </c>
      <c r="M50" s="221">
        <v>2021</v>
      </c>
      <c r="N50" s="221">
        <v>2022</v>
      </c>
      <c r="P50"/>
      <c r="Q50"/>
      <c r="R50"/>
      <c r="S50"/>
      <c r="T50"/>
      <c r="U50"/>
    </row>
    <row r="51" spans="2:23" x14ac:dyDescent="0.2">
      <c r="B51" s="223">
        <f>'P&amp;L, CashFlow'!D18</f>
        <v>-1503.5432142857144</v>
      </c>
      <c r="C51" s="223">
        <f>'P&amp;L, CashFlow'!E18</f>
        <v>2360.1815676143096</v>
      </c>
      <c r="D51" s="223">
        <f>'P&amp;L, CashFlow'!F18</f>
        <v>3709.8109163468366</v>
      </c>
      <c r="E51" s="223">
        <f>'P&amp;L, CashFlow'!G18</f>
        <v>6007.1924501066105</v>
      </c>
      <c r="F51" s="223">
        <f>'P&amp;L, CashFlow'!H18</f>
        <v>7461.2982432835834</v>
      </c>
      <c r="G51" s="223">
        <f>'P&amp;L, CashFlow'!I18</f>
        <v>7545.3882432835835</v>
      </c>
      <c r="I51" s="434" t="s">
        <v>363</v>
      </c>
      <c r="P51"/>
      <c r="Q51"/>
      <c r="R51"/>
      <c r="S51"/>
      <c r="T51"/>
      <c r="U51"/>
    </row>
    <row r="52" spans="2:23" x14ac:dyDescent="0.2">
      <c r="I52" s="225">
        <f>SUM('P&amp;L, CashFlow'!D32:D33)</f>
        <v>5500</v>
      </c>
      <c r="J52" s="225">
        <f>SUM('P&amp;L, CashFlow'!E32:E33)</f>
        <v>3150</v>
      </c>
      <c r="K52" s="225">
        <f>SUM('P&amp;L, CashFlow'!F32:F33)</f>
        <v>-600</v>
      </c>
      <c r="L52" s="225">
        <f>SUM('P&amp;L, CashFlow'!G32:G33)</f>
        <v>-1550</v>
      </c>
      <c r="M52" s="225">
        <f>SUM('P&amp;L, CashFlow'!H32:H33)</f>
        <v>-2600</v>
      </c>
      <c r="N52" s="225">
        <f>SUM('P&amp;L, CashFlow'!I32:I33)</f>
        <v>-3900</v>
      </c>
    </row>
    <row r="53" spans="2:23" x14ac:dyDescent="0.2">
      <c r="I53" s="434" t="s">
        <v>364</v>
      </c>
    </row>
    <row r="54" spans="2:23" x14ac:dyDescent="0.2">
      <c r="I54" s="223">
        <f>SUM('P&amp;L, CashFlow'!D35:D36)</f>
        <v>5500</v>
      </c>
      <c r="J54" s="223">
        <f>SUM('P&amp;L, CashFlow'!E35:E36)</f>
        <v>3150</v>
      </c>
      <c r="K54" s="223">
        <f>SUM('P&amp;L, CashFlow'!F35:F36)</f>
        <v>-600</v>
      </c>
      <c r="L54" s="223">
        <f>SUM('P&amp;L, CashFlow'!G35:G36)</f>
        <v>-1650</v>
      </c>
      <c r="M54" s="223">
        <f>SUM('P&amp;L, CashFlow'!H35:H36)</f>
        <v>-2800</v>
      </c>
      <c r="N54" s="223">
        <f>SUM('P&amp;L, CashFlow'!I35:I36)</f>
        <v>-3600</v>
      </c>
      <c r="P54" s="232">
        <f>-'P&amp;L, CashFlow'!D8</f>
        <v>0</v>
      </c>
      <c r="Q54" s="232">
        <f>-'P&amp;L, CashFlow'!E8</f>
        <v>415.2</v>
      </c>
      <c r="R54" s="232">
        <f>-'P&amp;L, CashFlow'!F8</f>
        <v>386.40000000000003</v>
      </c>
      <c r="S54" s="232">
        <f>-'P&amp;L, CashFlow'!G8</f>
        <v>307.2</v>
      </c>
      <c r="T54" s="232">
        <f>-'P&amp;L, CashFlow'!H8</f>
        <v>172.8</v>
      </c>
      <c r="U54" s="232">
        <f>-'P&amp;L, CashFlow'!I8</f>
        <v>0</v>
      </c>
    </row>
    <row r="56" spans="2:23" x14ac:dyDescent="0.2">
      <c r="I56" s="221" t="s">
        <v>158</v>
      </c>
    </row>
    <row r="57" spans="2:23" x14ac:dyDescent="0.2">
      <c r="I57" s="225">
        <f t="shared" ref="I57:N57" si="0">I52+I54</f>
        <v>11000</v>
      </c>
      <c r="J57" s="225">
        <f t="shared" si="0"/>
        <v>6300</v>
      </c>
      <c r="K57" s="225">
        <f t="shared" si="0"/>
        <v>-1200</v>
      </c>
      <c r="L57" s="225">
        <f t="shared" si="0"/>
        <v>-3200</v>
      </c>
      <c r="M57" s="225">
        <f t="shared" si="0"/>
        <v>-5400</v>
      </c>
      <c r="N57" s="225">
        <f t="shared" si="0"/>
        <v>-7500</v>
      </c>
    </row>
    <row r="79" spans="2:25" ht="14.25" x14ac:dyDescent="0.2">
      <c r="B79" s="222"/>
      <c r="J79" s="222"/>
      <c r="P79" s="222"/>
      <c r="Y79" s="222"/>
    </row>
    <row r="81" spans="1:25" x14ac:dyDescent="0.2">
      <c r="A81" s="434" t="s">
        <v>360</v>
      </c>
      <c r="B81" s="225">
        <f>(OPEX!P32+OPEX!P49+OPEX!P73+OPEX!P82)</f>
        <v>185.04000000000002</v>
      </c>
      <c r="C81" s="225">
        <f>(OPEX!Q32+OPEX!Q49+OPEX!Q73+OPEX!Q82)</f>
        <v>224.28</v>
      </c>
      <c r="D81" s="225">
        <f>(OPEX!R32+OPEX!R49+OPEX!R73+OPEX!R82)</f>
        <v>263.96999999999997</v>
      </c>
      <c r="E81" s="225">
        <f>(OPEX!S32+OPEX!S49+OPEX!S73+OPEX!S82)</f>
        <v>263.96999999999997</v>
      </c>
      <c r="F81" s="225">
        <f>(OPEX!T32+OPEX!T49+OPEX!T73+OPEX!T82)</f>
        <v>298.17</v>
      </c>
      <c r="G81" s="225">
        <f>(OPEX!U32+OPEX!U49+OPEX!U73+OPEX!U82)</f>
        <v>332.37</v>
      </c>
      <c r="Y81" s="233"/>
    </row>
    <row r="82" spans="1:25" x14ac:dyDescent="0.2">
      <c r="A82" s="434" t="s">
        <v>361</v>
      </c>
      <c r="B82" s="225">
        <f>-'P&amp;L, CashFlow'!D11</f>
        <v>0</v>
      </c>
      <c r="C82" s="225">
        <f>-'P&amp;L, CashFlow'!E11</f>
        <v>167.41855143330969</v>
      </c>
      <c r="D82" s="225">
        <f>-'P&amp;L, CashFlow'!F11</f>
        <v>401.54920270078196</v>
      </c>
      <c r="E82" s="225">
        <f>-'P&amp;L, CashFlow'!G11</f>
        <v>730.08433560767605</v>
      </c>
      <c r="F82" s="225">
        <f>-'P&amp;L, CashFlow'!H11</f>
        <v>991.12854243070365</v>
      </c>
      <c r="G82" s="225">
        <f>-'P&amp;L, CashFlow'!I11</f>
        <v>1025.6885424307038</v>
      </c>
      <c r="O82" s="436" t="s">
        <v>169</v>
      </c>
      <c r="P82" s="235">
        <f>CVP!E29/1000</f>
        <v>0.70068905086158983</v>
      </c>
      <c r="Q82" s="235">
        <f>CVP!F29/1000</f>
        <v>0.84976347645799877</v>
      </c>
      <c r="R82" s="235">
        <f>CVP!G29/1000</f>
        <v>1.1579635836458688</v>
      </c>
      <c r="S82" s="235">
        <f>CVP!H29/1000</f>
        <v>1.0952469169792018</v>
      </c>
      <c r="T82" s="235">
        <f>CVP!I29/1000</f>
        <v>1.3775591545211505</v>
      </c>
      <c r="U82" s="235">
        <f>CVP!J29/1000</f>
        <v>1.4317585839039106</v>
      </c>
      <c r="Y82" s="233"/>
    </row>
    <row r="83" spans="1:25" x14ac:dyDescent="0.2">
      <c r="A83" s="434" t="s">
        <v>362</v>
      </c>
      <c r="B83" s="236">
        <f t="shared" ref="B83:G83" si="1">SUM(B81:B82)</f>
        <v>185.04000000000002</v>
      </c>
      <c r="C83" s="236">
        <f t="shared" si="1"/>
        <v>391.69855143330972</v>
      </c>
      <c r="D83" s="236">
        <f t="shared" si="1"/>
        <v>665.51920270078199</v>
      </c>
      <c r="E83" s="236">
        <f t="shared" si="1"/>
        <v>994.05433560767597</v>
      </c>
      <c r="F83" s="236">
        <f t="shared" si="1"/>
        <v>1289.2985424307037</v>
      </c>
      <c r="G83" s="236">
        <f t="shared" si="1"/>
        <v>1358.0585424307037</v>
      </c>
      <c r="O83" s="436" t="s">
        <v>165</v>
      </c>
      <c r="P83" s="235">
        <f>CVP!E31/1000</f>
        <v>1.618499084059045</v>
      </c>
      <c r="Q83" s="235">
        <f>CVP!F31/1000</f>
        <v>3.1796136267166037</v>
      </c>
      <c r="R83" s="235">
        <f>CVP!G31/1000</f>
        <v>3.4867170115922268</v>
      </c>
      <c r="S83" s="235">
        <f>CVP!H31/1000</f>
        <v>3.8255170115922263</v>
      </c>
      <c r="T83" s="235">
        <f>CVP!I31/1000</f>
        <v>4.0063404883359919</v>
      </c>
      <c r="U83" s="235">
        <f>CVP!J31/1000</f>
        <v>3.8334910589532316</v>
      </c>
      <c r="Y83" s="233"/>
    </row>
    <row r="84" spans="1:25" x14ac:dyDescent="0.2">
      <c r="O84" s="234" t="s">
        <v>172</v>
      </c>
      <c r="P84" s="235">
        <f t="shared" ref="P84:U84" si="2">SUM(P82:P83)</f>
        <v>2.3191881349206347</v>
      </c>
      <c r="Q84" s="235">
        <f t="shared" si="2"/>
        <v>4.0293771031746024</v>
      </c>
      <c r="R84" s="235">
        <f t="shared" si="2"/>
        <v>4.6446805952380954</v>
      </c>
      <c r="S84" s="235">
        <f t="shared" si="2"/>
        <v>4.9207639285714286</v>
      </c>
      <c r="T84" s="235">
        <f t="shared" si="2"/>
        <v>5.3838996428571422</v>
      </c>
      <c r="U84" s="235">
        <f t="shared" si="2"/>
        <v>5.2652496428571425</v>
      </c>
    </row>
    <row r="85" spans="1:25" x14ac:dyDescent="0.2">
      <c r="G85" s="237">
        <f>SUM(B81:G81)</f>
        <v>1567.8000000000002</v>
      </c>
    </row>
    <row r="86" spans="1:25" x14ac:dyDescent="0.2">
      <c r="G86" s="237">
        <f>SUM(B82:G82)</f>
        <v>3315.8691746031755</v>
      </c>
    </row>
    <row r="87" spans="1:25" x14ac:dyDescent="0.2">
      <c r="G87" s="237">
        <f>SUM(B83:G83)</f>
        <v>4883.6691746031747</v>
      </c>
    </row>
    <row r="100" spans="10:27" x14ac:dyDescent="0.2">
      <c r="R100" s="435" t="s">
        <v>350</v>
      </c>
      <c r="S100" s="435" t="s">
        <v>351</v>
      </c>
      <c r="T100" s="435" t="s">
        <v>352</v>
      </c>
      <c r="U100" s="435" t="s">
        <v>353</v>
      </c>
      <c r="V100" s="435" t="s">
        <v>354</v>
      </c>
      <c r="W100" s="435" t="s">
        <v>355</v>
      </c>
      <c r="X100" s="435" t="s">
        <v>356</v>
      </c>
      <c r="Y100" s="435" t="s">
        <v>357</v>
      </c>
      <c r="Z100" s="435" t="s">
        <v>358</v>
      </c>
      <c r="AA100" s="435" t="s">
        <v>359</v>
      </c>
    </row>
    <row r="104" spans="10:27" x14ac:dyDescent="0.2">
      <c r="J104" s="434" t="s">
        <v>347</v>
      </c>
      <c r="K104" s="223">
        <f>'P&amp;L, CashFlow'!E18</f>
        <v>2360.1815676143096</v>
      </c>
      <c r="L104" s="223">
        <f>'P&amp;L, CashFlow'!F18</f>
        <v>3709.8109163468366</v>
      </c>
      <c r="M104" s="223">
        <f>'P&amp;L, CashFlow'!G18</f>
        <v>6007.1924501066105</v>
      </c>
      <c r="N104" s="223">
        <f>'P&amp;L, CashFlow'!H18</f>
        <v>7461.2982432835834</v>
      </c>
      <c r="O104" s="223">
        <f>'P&amp;L, CashFlow'!I18</f>
        <v>7545.3882432835835</v>
      </c>
    </row>
    <row r="105" spans="10:27" x14ac:dyDescent="0.2">
      <c r="J105" s="434" t="s">
        <v>348</v>
      </c>
      <c r="K105" s="223">
        <f>'P&amp;L, CashFlow'!E24</f>
        <v>-8650.6833333333343</v>
      </c>
      <c r="L105" s="223">
        <f>'P&amp;L, CashFlow'!F24</f>
        <v>-2494.6666666666656</v>
      </c>
      <c r="M105" s="223">
        <f>'P&amp;L, CashFlow'!G24</f>
        <v>-2814.0000000000005</v>
      </c>
      <c r="N105" s="223">
        <f>'P&amp;L, CashFlow'!H24</f>
        <v>-2123</v>
      </c>
      <c r="O105" s="223">
        <f>'P&amp;L, CashFlow'!I24</f>
        <v>0</v>
      </c>
    </row>
    <row r="106" spans="10:27" x14ac:dyDescent="0.2">
      <c r="J106" s="434" t="s">
        <v>349</v>
      </c>
      <c r="K106" s="238">
        <f>SUM(K104:K105)</f>
        <v>-6290.5017657190247</v>
      </c>
      <c r="L106" s="238">
        <f>SUM(L104:L105)</f>
        <v>1215.144249680171</v>
      </c>
      <c r="M106" s="238">
        <f>SUM(M104:M105)</f>
        <v>3193.1924501066101</v>
      </c>
      <c r="N106" s="238">
        <f>SUM(N104:N105)</f>
        <v>5338.2982432835834</v>
      </c>
      <c r="O106" s="238">
        <f>SUM(O104:O105)</f>
        <v>7545.3882432835835</v>
      </c>
    </row>
    <row r="121" spans="2:9" x14ac:dyDescent="0.2">
      <c r="C121" s="239">
        <f>SUM(C122:C125)</f>
        <v>74</v>
      </c>
      <c r="D121" s="239">
        <f t="shared" ref="D121:H121" si="3">SUM(D122:D125)</f>
        <v>87</v>
      </c>
      <c r="E121" s="239">
        <f t="shared" si="3"/>
        <v>101</v>
      </c>
      <c r="F121" s="239">
        <f t="shared" si="3"/>
        <v>101</v>
      </c>
      <c r="G121" s="239">
        <f t="shared" si="3"/>
        <v>111</v>
      </c>
      <c r="H121" s="239">
        <f t="shared" si="3"/>
        <v>121</v>
      </c>
    </row>
    <row r="122" spans="2:9" x14ac:dyDescent="0.2">
      <c r="B122" s="434" t="s">
        <v>1</v>
      </c>
      <c r="C122" s="239">
        <f>OPEX!I23</f>
        <v>12</v>
      </c>
      <c r="D122" s="239">
        <f>OPEX!J23</f>
        <v>15</v>
      </c>
      <c r="E122" s="239">
        <f>OPEX!K23</f>
        <v>16</v>
      </c>
      <c r="F122" s="239">
        <f>OPEX!L23</f>
        <v>16</v>
      </c>
      <c r="G122" s="239">
        <f>OPEX!M23</f>
        <v>16</v>
      </c>
      <c r="H122" s="239">
        <f>OPEX!N23</f>
        <v>16</v>
      </c>
      <c r="I122" s="239"/>
    </row>
    <row r="123" spans="2:9" x14ac:dyDescent="0.2">
      <c r="B123" s="434" t="s">
        <v>2</v>
      </c>
      <c r="C123" s="239">
        <f>OPEX!I41</f>
        <v>30</v>
      </c>
      <c r="D123" s="239">
        <f>OPEX!J41</f>
        <v>40</v>
      </c>
      <c r="E123" s="239">
        <f>OPEX!K41</f>
        <v>50</v>
      </c>
      <c r="F123" s="239">
        <f>OPEX!L41</f>
        <v>50</v>
      </c>
      <c r="G123" s="239">
        <f>OPEX!M41</f>
        <v>60</v>
      </c>
      <c r="H123" s="239">
        <f>OPEX!N41</f>
        <v>70</v>
      </c>
    </row>
    <row r="124" spans="2:9" x14ac:dyDescent="0.2">
      <c r="B124" s="434" t="s">
        <v>56</v>
      </c>
      <c r="C124" s="239">
        <f>OPEX!I60</f>
        <v>27</v>
      </c>
      <c r="D124" s="239">
        <f>OPEX!J60</f>
        <v>27</v>
      </c>
      <c r="E124" s="239">
        <f>OPEX!K60</f>
        <v>30</v>
      </c>
      <c r="F124" s="239">
        <f>OPEX!L60</f>
        <v>30</v>
      </c>
      <c r="G124" s="239">
        <f>OPEX!M60</f>
        <v>30</v>
      </c>
      <c r="H124" s="239">
        <f>OPEX!N60</f>
        <v>30</v>
      </c>
    </row>
    <row r="125" spans="2:9" x14ac:dyDescent="0.2">
      <c r="B125" s="434" t="s">
        <v>88</v>
      </c>
      <c r="C125" s="239">
        <f>OPEX!I78</f>
        <v>5</v>
      </c>
      <c r="D125" s="239">
        <f>OPEX!J78</f>
        <v>5</v>
      </c>
      <c r="E125" s="239">
        <f>OPEX!K78</f>
        <v>5</v>
      </c>
      <c r="F125" s="239">
        <f>OPEX!L78</f>
        <v>5</v>
      </c>
      <c r="G125" s="239">
        <f>OPEX!M78</f>
        <v>5</v>
      </c>
      <c r="H125" s="239">
        <f>OPEX!N78</f>
        <v>5</v>
      </c>
    </row>
    <row r="127" spans="2:9" x14ac:dyDescent="0.2">
      <c r="C127" s="240">
        <f>SUM(C128:C131)</f>
        <v>652.79999999999995</v>
      </c>
      <c r="D127" s="240">
        <f t="shared" ref="D127:H127" si="4">SUM(D128:D131)</f>
        <v>789.59999999999991</v>
      </c>
      <c r="E127" s="240">
        <f t="shared" si="4"/>
        <v>927.89999999999986</v>
      </c>
      <c r="F127" s="240">
        <f t="shared" si="4"/>
        <v>927.89999999999986</v>
      </c>
      <c r="G127" s="240">
        <f t="shared" si="4"/>
        <v>1047.8999999999999</v>
      </c>
      <c r="H127" s="240">
        <f t="shared" si="4"/>
        <v>1167.8999999999999</v>
      </c>
    </row>
    <row r="128" spans="2:9" x14ac:dyDescent="0.2">
      <c r="B128" s="434" t="s">
        <v>1</v>
      </c>
      <c r="C128" s="240">
        <f>OPEX!P23+OPEX!P22</f>
        <v>91.800000000000011</v>
      </c>
      <c r="D128" s="240">
        <f>OPEX!Q23+OPEX!Q22</f>
        <v>108.60000000000001</v>
      </c>
      <c r="E128" s="240">
        <f>OPEX!R23+OPEX!R22</f>
        <v>115.8</v>
      </c>
      <c r="F128" s="240">
        <f>OPEX!S23+OPEX!S22</f>
        <v>115.8</v>
      </c>
      <c r="G128" s="240">
        <f>OPEX!T23+OPEX!T22</f>
        <v>115.8</v>
      </c>
      <c r="H128" s="240">
        <f>OPEX!U23+OPEX!U22</f>
        <v>115.8</v>
      </c>
    </row>
    <row r="129" spans="2:8" x14ac:dyDescent="0.2">
      <c r="B129" s="434" t="s">
        <v>2</v>
      </c>
      <c r="C129" s="240">
        <f>OPEX!P40+OPEX!P41</f>
        <v>320.40000000000003</v>
      </c>
      <c r="D129" s="240">
        <f>OPEX!Q40+OPEX!Q41</f>
        <v>440.40000000000003</v>
      </c>
      <c r="E129" s="240">
        <f>OPEX!R40+OPEX!R41</f>
        <v>560.4</v>
      </c>
      <c r="F129" s="240">
        <f>OPEX!S40+OPEX!S41</f>
        <v>560.4</v>
      </c>
      <c r="G129" s="240">
        <f>OPEX!T40+OPEX!T41</f>
        <v>680.4</v>
      </c>
      <c r="H129" s="240">
        <f>OPEX!U40+OPEX!U41</f>
        <v>800.4</v>
      </c>
    </row>
    <row r="130" spans="2:8" x14ac:dyDescent="0.2">
      <c r="B130" s="434" t="s">
        <v>56</v>
      </c>
      <c r="C130" s="240">
        <f>OPEX!P60</f>
        <v>199.8</v>
      </c>
      <c r="D130" s="240">
        <f>OPEX!Q60</f>
        <v>199.8</v>
      </c>
      <c r="E130" s="240">
        <f>OPEX!R60</f>
        <v>210.90000000000003</v>
      </c>
      <c r="F130" s="240">
        <f>OPEX!S60</f>
        <v>210.90000000000003</v>
      </c>
      <c r="G130" s="240">
        <f>OPEX!T60</f>
        <v>210.90000000000003</v>
      </c>
      <c r="H130" s="240">
        <f>OPEX!U60</f>
        <v>210.90000000000003</v>
      </c>
    </row>
    <row r="131" spans="2:8" x14ac:dyDescent="0.2">
      <c r="B131" s="434" t="s">
        <v>88</v>
      </c>
      <c r="C131" s="240">
        <f>OPEX!P78</f>
        <v>40.799999999999997</v>
      </c>
      <c r="D131" s="240">
        <f>OPEX!Q78</f>
        <v>40.799999999999997</v>
      </c>
      <c r="E131" s="240">
        <f>OPEX!R78</f>
        <v>40.799999999999997</v>
      </c>
      <c r="F131" s="240">
        <f>OPEX!S78</f>
        <v>40.799999999999997</v>
      </c>
      <c r="G131" s="240">
        <f>OPEX!T78</f>
        <v>40.799999999999997</v>
      </c>
      <c r="H131" s="240">
        <f>OPEX!U78</f>
        <v>40.799999999999997</v>
      </c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2:AC131"/>
  <sheetViews>
    <sheetView showGridLines="0" topLeftCell="A79" zoomScale="80" zoomScaleNormal="80" workbookViewId="0">
      <selection activeCell="P26" sqref="P26"/>
    </sheetView>
  </sheetViews>
  <sheetFormatPr defaultRowHeight="12.75" x14ac:dyDescent="0.2"/>
  <cols>
    <col min="1" max="1" width="3.140625" style="221" customWidth="1"/>
    <col min="2" max="7" width="9.140625" style="221"/>
    <col min="8" max="8" width="4.42578125" style="221" customWidth="1"/>
    <col min="9" max="14" width="9.140625" style="221"/>
    <col min="15" max="15" width="7.42578125" style="221" customWidth="1"/>
    <col min="16" max="21" width="9.140625" style="221"/>
    <col min="22" max="22" width="7.28515625" style="221" bestFit="1" customWidth="1"/>
    <col min="23" max="16384" width="9.140625" style="221"/>
  </cols>
  <sheetData>
    <row r="2" spans="2:29" ht="14.25" x14ac:dyDescent="0.2">
      <c r="B2" s="222" t="s">
        <v>345</v>
      </c>
    </row>
    <row r="3" spans="2:29" x14ac:dyDescent="0.2">
      <c r="B3" s="221">
        <v>2018</v>
      </c>
      <c r="C3" s="221">
        <v>2019</v>
      </c>
      <c r="D3" s="221">
        <v>2020</v>
      </c>
      <c r="E3" s="221">
        <v>2021</v>
      </c>
      <c r="F3" s="221">
        <v>2022</v>
      </c>
      <c r="G3" s="221">
        <v>2023</v>
      </c>
      <c r="J3" s="434" t="s">
        <v>223</v>
      </c>
      <c r="K3" s="226">
        <f>CAPEX!I59/1000</f>
        <v>15.275066666666667</v>
      </c>
    </row>
    <row r="4" spans="2:29" x14ac:dyDescent="0.2">
      <c r="B4" s="223">
        <f>CAPEX!S91</f>
        <v>9438.5166666666664</v>
      </c>
      <c r="C4" s="223">
        <f>CAPEX!T91</f>
        <v>8650.6833333333343</v>
      </c>
      <c r="D4" s="223">
        <f>CAPEX!U91</f>
        <v>2494.6666666666656</v>
      </c>
      <c r="E4" s="223">
        <f>CAPEX!V91</f>
        <v>2814.0000000000005</v>
      </c>
      <c r="F4" s="223">
        <f>CAPEX!W91</f>
        <v>2123</v>
      </c>
      <c r="G4" s="223">
        <f>CAPEX!X91</f>
        <v>0</v>
      </c>
      <c r="J4" s="434" t="s">
        <v>224</v>
      </c>
      <c r="K4" s="226">
        <f>CAPEX!I86/1000</f>
        <v>4.1475</v>
      </c>
      <c r="O4" s="224" t="s">
        <v>227</v>
      </c>
      <c r="P4" s="225">
        <f>CAPEX!I52</f>
        <v>10730</v>
      </c>
      <c r="U4" s="221" t="s">
        <v>235</v>
      </c>
      <c r="V4" s="225">
        <f>SUM(CAPEX!I62:I64,CAPEX!I82:I83)</f>
        <v>1862.5</v>
      </c>
      <c r="AB4" s="224" t="s">
        <v>240</v>
      </c>
      <c r="AC4" s="225">
        <f>CAPEX!I16</f>
        <v>1684.8</v>
      </c>
    </row>
    <row r="5" spans="2:29" x14ac:dyDescent="0.2">
      <c r="J5" s="434" t="s">
        <v>226</v>
      </c>
      <c r="K5" s="226">
        <f>CAPEX!I39/1000+CAPEX!I11/1000</f>
        <v>5.2983000000000002</v>
      </c>
      <c r="O5" s="224" t="s">
        <v>234</v>
      </c>
      <c r="P5" s="225">
        <f>CAPEX!I53</f>
        <v>1293.4000000000001</v>
      </c>
      <c r="U5" s="221" t="s">
        <v>236</v>
      </c>
      <c r="V5" s="225">
        <f>SUM(CAPEX!I65,CAPEX!I70,CAPEX!I72:I75)</f>
        <v>881.25</v>
      </c>
      <c r="AB5" s="224" t="s">
        <v>242</v>
      </c>
      <c r="AC5" s="225">
        <f>CAPEX!I30</f>
        <v>1380</v>
      </c>
    </row>
    <row r="6" spans="2:29" x14ac:dyDescent="0.2">
      <c r="J6" s="434" t="s">
        <v>225</v>
      </c>
      <c r="K6" s="226">
        <f>CAPEX!I89/1000</f>
        <v>0.8</v>
      </c>
      <c r="O6" s="224" t="s">
        <v>229</v>
      </c>
      <c r="P6" s="225">
        <f>CAPEX!I51</f>
        <v>986.66666666666674</v>
      </c>
      <c r="U6" s="221" t="s">
        <v>237</v>
      </c>
      <c r="V6" s="225">
        <f>SUM(CAPEX!I66:I69,CAPEX!I71)</f>
        <v>762.5</v>
      </c>
      <c r="AB6" s="227" t="s">
        <v>239</v>
      </c>
      <c r="AC6" s="225">
        <f>CAPEX!I15</f>
        <v>1435.5</v>
      </c>
    </row>
    <row r="7" spans="2:29" x14ac:dyDescent="0.2">
      <c r="O7" s="224" t="s">
        <v>233</v>
      </c>
      <c r="P7" s="225">
        <f>CAPEX!I55</f>
        <v>895</v>
      </c>
      <c r="U7" s="221" t="s">
        <v>231</v>
      </c>
      <c r="V7" s="225">
        <f>SUM(CAPEX!I76:I81,CAPEX!I84)</f>
        <v>453.75</v>
      </c>
      <c r="AB7" s="224" t="s">
        <v>241</v>
      </c>
      <c r="AC7" s="225">
        <f>CAPEX!I14</f>
        <v>390</v>
      </c>
    </row>
    <row r="8" spans="2:29" x14ac:dyDescent="0.2">
      <c r="O8" s="224" t="s">
        <v>228</v>
      </c>
      <c r="P8" s="225">
        <f>CAPEX!I42</f>
        <v>620</v>
      </c>
      <c r="U8" s="221" t="s">
        <v>238</v>
      </c>
      <c r="V8" s="225">
        <f>CAPEX!I85</f>
        <v>187.5</v>
      </c>
      <c r="AB8" s="224" t="s">
        <v>235</v>
      </c>
      <c r="AC8" s="225">
        <f>CAPEX!I25</f>
        <v>260</v>
      </c>
    </row>
    <row r="9" spans="2:29" x14ac:dyDescent="0.2">
      <c r="O9" s="224" t="s">
        <v>230</v>
      </c>
      <c r="P9" s="225">
        <f>CAPEX!I46</f>
        <v>400</v>
      </c>
      <c r="V9" s="228">
        <f>SUM(V4:V8)</f>
        <v>4147.5</v>
      </c>
      <c r="AB9" s="224" t="s">
        <v>243</v>
      </c>
      <c r="AC9" s="225">
        <f>CAPEX!I34</f>
        <v>12</v>
      </c>
    </row>
    <row r="10" spans="2:29" x14ac:dyDescent="0.2">
      <c r="O10" s="224" t="s">
        <v>231</v>
      </c>
      <c r="P10" s="225">
        <f>CAPEX!I54</f>
        <v>250</v>
      </c>
      <c r="AB10" s="224" t="s">
        <v>244</v>
      </c>
      <c r="AC10" s="225">
        <f>CAPEX!I36</f>
        <v>11</v>
      </c>
    </row>
    <row r="11" spans="2:29" x14ac:dyDescent="0.2">
      <c r="O11" s="224" t="s">
        <v>232</v>
      </c>
      <c r="P11" s="225">
        <f>CAPEX!I45</f>
        <v>100</v>
      </c>
    </row>
    <row r="18" spans="2:17" ht="14.25" x14ac:dyDescent="0.2">
      <c r="B18" s="222"/>
      <c r="I18" s="222"/>
      <c r="P18" s="222"/>
    </row>
    <row r="19" spans="2:17" x14ac:dyDescent="0.2">
      <c r="B19" s="221">
        <v>2017</v>
      </c>
      <c r="C19" s="221">
        <v>2018</v>
      </c>
      <c r="D19" s="221">
        <v>2019</v>
      </c>
      <c r="E19" s="221">
        <v>2020</v>
      </c>
      <c r="F19" s="221">
        <v>2021</v>
      </c>
      <c r="G19" s="221">
        <v>2022</v>
      </c>
    </row>
    <row r="20" spans="2:17" x14ac:dyDescent="0.2">
      <c r="B20" s="225">
        <f>Production!C5</f>
        <v>0</v>
      </c>
      <c r="C20" s="225">
        <f>Production!D5</f>
        <v>925</v>
      </c>
      <c r="D20" s="225">
        <f>Production!E5</f>
        <v>1300</v>
      </c>
      <c r="E20" s="225">
        <f>Production!F5</f>
        <v>1800</v>
      </c>
      <c r="F20" s="225">
        <f>Production!G5</f>
        <v>2175</v>
      </c>
      <c r="G20" s="225">
        <f>Production!H5</f>
        <v>2175</v>
      </c>
      <c r="I20" s="221" t="s">
        <v>247</v>
      </c>
      <c r="J20" s="229">
        <f>Production!I25</f>
        <v>2149.7492857142852</v>
      </c>
      <c r="P20" s="230" t="s">
        <v>248</v>
      </c>
      <c r="Q20" s="225">
        <f>Production!I14</f>
        <v>6548.28</v>
      </c>
    </row>
    <row r="21" spans="2:17" x14ac:dyDescent="0.2">
      <c r="I21" s="221" t="s">
        <v>223</v>
      </c>
      <c r="J21" s="229">
        <f>Production!I31</f>
        <v>4963.4533333333338</v>
      </c>
      <c r="P21" s="230" t="s">
        <v>249</v>
      </c>
      <c r="Q21" s="225">
        <f>Production!I15</f>
        <v>719.96428571428544</v>
      </c>
    </row>
    <row r="22" spans="2:17" x14ac:dyDescent="0.2">
      <c r="I22" s="221" t="s">
        <v>224</v>
      </c>
      <c r="J22" s="229">
        <f>Production!I36</f>
        <v>1461.8400000000001</v>
      </c>
      <c r="P22" s="230" t="s">
        <v>255</v>
      </c>
      <c r="Q22" s="225">
        <f>Production!I16</f>
        <v>558.33333333333326</v>
      </c>
    </row>
    <row r="23" spans="2:17" x14ac:dyDescent="0.2">
      <c r="I23" s="221" t="s">
        <v>225</v>
      </c>
      <c r="J23" s="229">
        <f>Production!I42</f>
        <v>378.2399999999999</v>
      </c>
      <c r="P23" s="230" t="s">
        <v>250</v>
      </c>
      <c r="Q23" s="225">
        <f>Production!I17</f>
        <v>335</v>
      </c>
    </row>
    <row r="24" spans="2:17" x14ac:dyDescent="0.2">
      <c r="P24" s="230" t="s">
        <v>251</v>
      </c>
      <c r="Q24" s="225">
        <f>Production!I18</f>
        <v>264</v>
      </c>
    </row>
    <row r="25" spans="2:17" x14ac:dyDescent="0.2">
      <c r="P25" s="45" t="s">
        <v>370</v>
      </c>
      <c r="Q25" s="225">
        <f>Production!I19</f>
        <v>210.10499999999996</v>
      </c>
    </row>
    <row r="26" spans="2:17" x14ac:dyDescent="0.2">
      <c r="P26" s="230" t="s">
        <v>254</v>
      </c>
      <c r="Q26" s="225">
        <f>Production!I20</f>
        <v>185.6</v>
      </c>
    </row>
    <row r="27" spans="2:17" x14ac:dyDescent="0.2">
      <c r="P27" s="230" t="s">
        <v>252</v>
      </c>
      <c r="Q27" s="225">
        <f>Production!I21</f>
        <v>72</v>
      </c>
    </row>
    <row r="28" spans="2:17" x14ac:dyDescent="0.2">
      <c r="P28" s="230" t="s">
        <v>253</v>
      </c>
      <c r="Q28" s="225">
        <f>Production!I22</f>
        <v>60</v>
      </c>
    </row>
    <row r="34" spans="2:29" ht="14.25" x14ac:dyDescent="0.2">
      <c r="B34" s="222"/>
      <c r="I34" s="222"/>
      <c r="P34" s="222"/>
      <c r="W34" s="222"/>
    </row>
    <row r="36" spans="2:29" x14ac:dyDescent="0.2">
      <c r="B36" s="223">
        <f>'P&amp;L, CashFlow'!D2</f>
        <v>0</v>
      </c>
      <c r="C36" s="223">
        <f>'P&amp;L, CashFlow'!E2</f>
        <v>4625</v>
      </c>
      <c r="D36" s="223">
        <f>'P&amp;L, CashFlow'!F2</f>
        <v>6500</v>
      </c>
      <c r="E36" s="223">
        <f>'P&amp;L, CashFlow'!G2</f>
        <v>9000</v>
      </c>
      <c r="F36" s="223">
        <f>'P&amp;L, CashFlow'!H2</f>
        <v>10875</v>
      </c>
      <c r="G36" s="223">
        <f>'P&amp;L, CashFlow'!I2</f>
        <v>10875</v>
      </c>
      <c r="I36" s="223">
        <f>'P&amp;L, CashFlow'!D4</f>
        <v>0</v>
      </c>
      <c r="J36" s="223">
        <f>'P&amp;L, CashFlow'!E4</f>
        <v>3636.1299793887706</v>
      </c>
      <c r="K36" s="223">
        <f>'P&amp;L, CashFlow'!F4</f>
        <v>5110.2367277896237</v>
      </c>
      <c r="L36" s="223">
        <f>'P&amp;L, CashFlow'!G4</f>
        <v>7075.7123923240943</v>
      </c>
      <c r="M36" s="223">
        <f>'P&amp;L, CashFlow'!H4</f>
        <v>8549.8191407249469</v>
      </c>
      <c r="N36" s="223">
        <f>'P&amp;L, CashFlow'!I4</f>
        <v>8549.8191407249469</v>
      </c>
      <c r="P36" s="225">
        <f>'P&amp;L, CashFlow'!D6</f>
        <v>-451.86</v>
      </c>
      <c r="Q36" s="225">
        <f>'P&amp;L, CashFlow'!E6</f>
        <v>3184.2699793887705</v>
      </c>
      <c r="R36" s="225">
        <f>'P&amp;L, CashFlow'!F6</f>
        <v>4650.1867277896235</v>
      </c>
      <c r="S36" s="225">
        <f>'P&amp;L, CashFlow'!G6</f>
        <v>6615.6623923240941</v>
      </c>
      <c r="T36" s="225">
        <f>'P&amp;L, CashFlow'!H6</f>
        <v>8089.7691407249467</v>
      </c>
      <c r="U36" s="225">
        <f>'P&amp;L, CashFlow'!I6</f>
        <v>8089.7691407249467</v>
      </c>
      <c r="W36" s="225">
        <f>'P&amp;L, CashFlow'!D12</f>
        <v>-1267.5049206349206</v>
      </c>
      <c r="X36" s="225">
        <f>'P&amp;L, CashFlow'!E12</f>
        <v>669.67420573323875</v>
      </c>
      <c r="Y36" s="225">
        <f>'P&amp;L, CashFlow'!F12</f>
        <v>1606.1968108031276</v>
      </c>
      <c r="Z36" s="225">
        <f>'P&amp;L, CashFlow'!G12</f>
        <v>2920.3373424307038</v>
      </c>
      <c r="AA36" s="225">
        <f>'P&amp;L, CashFlow'!H12</f>
        <v>3964.5141697228146</v>
      </c>
      <c r="AB36" s="225">
        <f>'P&amp;L, CashFlow'!I12</f>
        <v>4102.7541697228153</v>
      </c>
      <c r="AC36" s="225"/>
    </row>
    <row r="37" spans="2:29" x14ac:dyDescent="0.2">
      <c r="I37" s="231" t="e">
        <f>'P&amp;L, CashFlow'!D4/'P&amp;L, CashFlow'!D2</f>
        <v>#DIV/0!</v>
      </c>
      <c r="J37" s="231">
        <f>'P&amp;L, CashFlow'!E4/'P&amp;L, CashFlow'!E2</f>
        <v>0.78619026581378826</v>
      </c>
      <c r="K37" s="231">
        <f>'P&amp;L, CashFlow'!F4/'P&amp;L, CashFlow'!F2</f>
        <v>0.78619026581378826</v>
      </c>
      <c r="L37" s="231">
        <f>'P&amp;L, CashFlow'!G4/'P&amp;L, CashFlow'!G2</f>
        <v>0.78619026581378826</v>
      </c>
      <c r="M37" s="231">
        <f>'P&amp;L, CashFlow'!H4/'P&amp;L, CashFlow'!H2</f>
        <v>0.78619026581378826</v>
      </c>
      <c r="N37" s="231">
        <f>'P&amp;L, CashFlow'!I4/'P&amp;L, CashFlow'!I2</f>
        <v>0.78619026581378826</v>
      </c>
    </row>
    <row r="49" spans="2:23" ht="14.25" x14ac:dyDescent="0.2">
      <c r="B49" s="222"/>
      <c r="I49" s="222" t="s">
        <v>159</v>
      </c>
      <c r="P49"/>
      <c r="Q49"/>
      <c r="R49"/>
      <c r="S49"/>
      <c r="T49"/>
      <c r="U49"/>
      <c r="W49" s="222"/>
    </row>
    <row r="50" spans="2:23" x14ac:dyDescent="0.2">
      <c r="I50" s="221">
        <v>2017</v>
      </c>
      <c r="J50" s="221">
        <v>2018</v>
      </c>
      <c r="K50" s="221">
        <v>2019</v>
      </c>
      <c r="L50" s="221">
        <v>2020</v>
      </c>
      <c r="M50" s="221">
        <v>2021</v>
      </c>
      <c r="N50" s="221">
        <v>2022</v>
      </c>
      <c r="P50"/>
      <c r="Q50"/>
      <c r="R50"/>
      <c r="S50"/>
      <c r="T50"/>
      <c r="U50"/>
    </row>
    <row r="51" spans="2:23" x14ac:dyDescent="0.2">
      <c r="B51" s="223">
        <f>'P&amp;L, CashFlow'!D18</f>
        <v>-1503.5432142857144</v>
      </c>
      <c r="C51" s="223">
        <f>'P&amp;L, CashFlow'!E18</f>
        <v>2360.1815676143096</v>
      </c>
      <c r="D51" s="223">
        <f>'P&amp;L, CashFlow'!F18</f>
        <v>3709.8109163468366</v>
      </c>
      <c r="E51" s="223">
        <f>'P&amp;L, CashFlow'!G18</f>
        <v>6007.1924501066105</v>
      </c>
      <c r="F51" s="223">
        <f>'P&amp;L, CashFlow'!H18</f>
        <v>7461.2982432835834</v>
      </c>
      <c r="G51" s="223">
        <f>'P&amp;L, CashFlow'!I18</f>
        <v>7545.3882432835835</v>
      </c>
      <c r="I51" s="221" t="s">
        <v>245</v>
      </c>
      <c r="P51"/>
      <c r="Q51"/>
      <c r="R51"/>
      <c r="S51"/>
      <c r="T51"/>
      <c r="U51"/>
    </row>
    <row r="52" spans="2:23" x14ac:dyDescent="0.2">
      <c r="I52" s="225">
        <f>SUM('P&amp;L, CashFlow'!D32:D33)</f>
        <v>5500</v>
      </c>
      <c r="J52" s="225">
        <f>SUM('P&amp;L, CashFlow'!E32:E33)</f>
        <v>3150</v>
      </c>
      <c r="K52" s="225">
        <f>SUM('P&amp;L, CashFlow'!F32:F33)</f>
        <v>-600</v>
      </c>
      <c r="L52" s="225">
        <f>SUM('P&amp;L, CashFlow'!G32:G33)</f>
        <v>-1550</v>
      </c>
      <c r="M52" s="225">
        <f>SUM('P&amp;L, CashFlow'!H32:H33)</f>
        <v>-2600</v>
      </c>
      <c r="N52" s="225">
        <f>SUM('P&amp;L, CashFlow'!I32:I33)</f>
        <v>-3900</v>
      </c>
    </row>
    <row r="53" spans="2:23" x14ac:dyDescent="0.2">
      <c r="I53" s="221" t="s">
        <v>246</v>
      </c>
    </row>
    <row r="54" spans="2:23" x14ac:dyDescent="0.2">
      <c r="I54" s="223">
        <f>SUM('P&amp;L, CashFlow'!D35:D36)</f>
        <v>5500</v>
      </c>
      <c r="J54" s="223">
        <f>SUM('P&amp;L, CashFlow'!E35:E36)</f>
        <v>3150</v>
      </c>
      <c r="K54" s="223">
        <f>SUM('P&amp;L, CashFlow'!F35:F36)</f>
        <v>-600</v>
      </c>
      <c r="L54" s="223">
        <f>SUM('P&amp;L, CashFlow'!G35:G36)</f>
        <v>-1650</v>
      </c>
      <c r="M54" s="223">
        <f>SUM('P&amp;L, CashFlow'!H35:H36)</f>
        <v>-2800</v>
      </c>
      <c r="N54" s="223">
        <f>SUM('P&amp;L, CashFlow'!I35:I36)</f>
        <v>-3600</v>
      </c>
      <c r="P54" s="232">
        <f>-'P&amp;L, CashFlow'!D8</f>
        <v>0</v>
      </c>
      <c r="Q54" s="232">
        <f>-'P&amp;L, CashFlow'!E8</f>
        <v>415.2</v>
      </c>
      <c r="R54" s="232">
        <f>-'P&amp;L, CashFlow'!F8</f>
        <v>386.40000000000003</v>
      </c>
      <c r="S54" s="232">
        <f>-'P&amp;L, CashFlow'!G8</f>
        <v>307.2</v>
      </c>
      <c r="T54" s="232">
        <f>-'P&amp;L, CashFlow'!H8</f>
        <v>172.8</v>
      </c>
      <c r="U54" s="232">
        <f>-'P&amp;L, CashFlow'!I8</f>
        <v>0</v>
      </c>
    </row>
    <row r="56" spans="2:23" x14ac:dyDescent="0.2">
      <c r="I56" s="221" t="s">
        <v>158</v>
      </c>
    </row>
    <row r="57" spans="2:23" x14ac:dyDescent="0.2">
      <c r="I57" s="225">
        <f t="shared" ref="I57:N57" si="0">I52+I54</f>
        <v>11000</v>
      </c>
      <c r="J57" s="225">
        <f t="shared" si="0"/>
        <v>6300</v>
      </c>
      <c r="K57" s="225">
        <f t="shared" si="0"/>
        <v>-1200</v>
      </c>
      <c r="L57" s="225">
        <f t="shared" si="0"/>
        <v>-3200</v>
      </c>
      <c r="M57" s="225">
        <f t="shared" si="0"/>
        <v>-5400</v>
      </c>
      <c r="N57" s="225">
        <f t="shared" si="0"/>
        <v>-7500</v>
      </c>
    </row>
    <row r="79" spans="2:25" ht="14.25" x14ac:dyDescent="0.2">
      <c r="B79" s="222"/>
      <c r="J79" s="222"/>
      <c r="P79" s="222"/>
      <c r="Y79" s="222"/>
    </row>
    <row r="81" spans="2:25" x14ac:dyDescent="0.2">
      <c r="B81" s="225">
        <f>(OPEX!P32+OPEX!P49+OPEX!P73+OPEX!P82)</f>
        <v>185.04000000000002</v>
      </c>
      <c r="C81" s="225">
        <f>(OPEX!Q32+OPEX!Q49+OPEX!Q73+OPEX!Q82)</f>
        <v>224.28</v>
      </c>
      <c r="D81" s="225">
        <f>(OPEX!R32+OPEX!R49+OPEX!R73+OPEX!R82)</f>
        <v>263.96999999999997</v>
      </c>
      <c r="E81" s="225">
        <f>(OPEX!S32+OPEX!S49+OPEX!S73+OPEX!S82)</f>
        <v>263.96999999999997</v>
      </c>
      <c r="F81" s="225">
        <f>(OPEX!T32+OPEX!T49+OPEX!T73+OPEX!T82)</f>
        <v>298.17</v>
      </c>
      <c r="G81" s="225">
        <f>(OPEX!U32+OPEX!U49+OPEX!U73+OPEX!U82)</f>
        <v>332.37</v>
      </c>
      <c r="Y81" s="233"/>
    </row>
    <row r="82" spans="2:25" x14ac:dyDescent="0.2">
      <c r="B82" s="225">
        <f>-'P&amp;L, CashFlow'!D11</f>
        <v>0</v>
      </c>
      <c r="C82" s="225">
        <f>-'P&amp;L, CashFlow'!E11</f>
        <v>167.41855143330969</v>
      </c>
      <c r="D82" s="225">
        <f>-'P&amp;L, CashFlow'!F11</f>
        <v>401.54920270078196</v>
      </c>
      <c r="E82" s="225">
        <f>-'P&amp;L, CashFlow'!G11</f>
        <v>730.08433560767605</v>
      </c>
      <c r="F82" s="225">
        <f>-'P&amp;L, CashFlow'!H11</f>
        <v>991.12854243070365</v>
      </c>
      <c r="G82" s="225">
        <f>-'P&amp;L, CashFlow'!I11</f>
        <v>1025.6885424307038</v>
      </c>
      <c r="O82" s="234" t="s">
        <v>279</v>
      </c>
      <c r="P82" s="235">
        <f>CVP!E29/1000</f>
        <v>0.70068905086158983</v>
      </c>
      <c r="Q82" s="235">
        <f>CVP!F29/1000</f>
        <v>0.84976347645799877</v>
      </c>
      <c r="R82" s="235">
        <f>CVP!G29/1000</f>
        <v>1.1579635836458688</v>
      </c>
      <c r="S82" s="235">
        <f>CVP!H29/1000</f>
        <v>1.0952469169792018</v>
      </c>
      <c r="T82" s="235">
        <f>CVP!I29/1000</f>
        <v>1.3775591545211505</v>
      </c>
      <c r="U82" s="235">
        <f>CVP!J29/1000</f>
        <v>1.4317585839039106</v>
      </c>
      <c r="Y82" s="233"/>
    </row>
    <row r="83" spans="2:25" x14ac:dyDescent="0.2">
      <c r="B83" s="236">
        <f t="shared" ref="B83:G83" si="1">SUM(B81:B82)</f>
        <v>185.04000000000002</v>
      </c>
      <c r="C83" s="236">
        <f t="shared" si="1"/>
        <v>391.69855143330972</v>
      </c>
      <c r="D83" s="236">
        <f t="shared" si="1"/>
        <v>665.51920270078199</v>
      </c>
      <c r="E83" s="236">
        <f t="shared" si="1"/>
        <v>994.05433560767597</v>
      </c>
      <c r="F83" s="236">
        <f t="shared" si="1"/>
        <v>1289.2985424307037</v>
      </c>
      <c r="G83" s="236">
        <f t="shared" si="1"/>
        <v>1358.0585424307037</v>
      </c>
      <c r="O83" s="234" t="s">
        <v>280</v>
      </c>
      <c r="P83" s="235">
        <f>CVP!E31/1000</f>
        <v>1.618499084059045</v>
      </c>
      <c r="Q83" s="235">
        <f>CVP!F31/1000</f>
        <v>3.1796136267166037</v>
      </c>
      <c r="R83" s="235">
        <f>CVP!G31/1000</f>
        <v>3.4867170115922268</v>
      </c>
      <c r="S83" s="235">
        <f>CVP!H31/1000</f>
        <v>3.8255170115922263</v>
      </c>
      <c r="T83" s="235">
        <f>CVP!I31/1000</f>
        <v>4.0063404883359919</v>
      </c>
      <c r="U83" s="235">
        <f>CVP!J31/1000</f>
        <v>3.8334910589532316</v>
      </c>
      <c r="Y83" s="233"/>
    </row>
    <row r="84" spans="2:25" x14ac:dyDescent="0.2">
      <c r="O84" s="234" t="s">
        <v>172</v>
      </c>
      <c r="P84" s="235">
        <f t="shared" ref="P84:U84" si="2">SUM(P82:P83)</f>
        <v>2.3191881349206347</v>
      </c>
      <c r="Q84" s="235">
        <f t="shared" si="2"/>
        <v>4.0293771031746024</v>
      </c>
      <c r="R84" s="235">
        <f t="shared" si="2"/>
        <v>4.6446805952380954</v>
      </c>
      <c r="S84" s="235">
        <f t="shared" si="2"/>
        <v>4.9207639285714286</v>
      </c>
      <c r="T84" s="235">
        <f t="shared" si="2"/>
        <v>5.3838996428571422</v>
      </c>
      <c r="U84" s="235">
        <f t="shared" si="2"/>
        <v>5.2652496428571425</v>
      </c>
    </row>
    <row r="85" spans="2:25" x14ac:dyDescent="0.2">
      <c r="G85" s="237">
        <f>SUM(B81:G81)</f>
        <v>1567.8000000000002</v>
      </c>
    </row>
    <row r="86" spans="2:25" x14ac:dyDescent="0.2">
      <c r="G86" s="237">
        <f>SUM(B82:G82)</f>
        <v>3315.8691746031755</v>
      </c>
    </row>
    <row r="87" spans="2:25" x14ac:dyDescent="0.2">
      <c r="G87" s="237">
        <f>SUM(B83:G83)</f>
        <v>4883.6691746031747</v>
      </c>
    </row>
    <row r="104" spans="10:15" x14ac:dyDescent="0.2">
      <c r="J104" s="221" t="s">
        <v>265</v>
      </c>
      <c r="K104" s="223">
        <f>'P&amp;L, CashFlow'!E18</f>
        <v>2360.1815676143096</v>
      </c>
      <c r="L104" s="223">
        <f>'P&amp;L, CashFlow'!F18</f>
        <v>3709.8109163468366</v>
      </c>
      <c r="M104" s="223">
        <f>'P&amp;L, CashFlow'!G18</f>
        <v>6007.1924501066105</v>
      </c>
      <c r="N104" s="223">
        <f>'P&amp;L, CashFlow'!H18</f>
        <v>7461.2982432835834</v>
      </c>
      <c r="O104" s="223">
        <f>'P&amp;L, CashFlow'!I18</f>
        <v>7545.3882432835835</v>
      </c>
    </row>
    <row r="105" spans="10:15" x14ac:dyDescent="0.2">
      <c r="J105" s="221" t="s">
        <v>268</v>
      </c>
      <c r="K105" s="223">
        <f>'P&amp;L, CashFlow'!E24</f>
        <v>-8650.6833333333343</v>
      </c>
      <c r="L105" s="223">
        <f>'P&amp;L, CashFlow'!F24</f>
        <v>-2494.6666666666656</v>
      </c>
      <c r="M105" s="223">
        <f>'P&amp;L, CashFlow'!G24</f>
        <v>-2814.0000000000005</v>
      </c>
      <c r="N105" s="223">
        <f>'P&amp;L, CashFlow'!H24</f>
        <v>-2123</v>
      </c>
      <c r="O105" s="223">
        <f>'P&amp;L, CashFlow'!I24</f>
        <v>0</v>
      </c>
    </row>
    <row r="106" spans="10:15" x14ac:dyDescent="0.2">
      <c r="J106" s="434" t="s">
        <v>346</v>
      </c>
      <c r="K106" s="238">
        <f>SUM(K104:K105)</f>
        <v>-6290.5017657190247</v>
      </c>
      <c r="L106" s="238">
        <f>SUM(L104:L105)</f>
        <v>1215.144249680171</v>
      </c>
      <c r="M106" s="238">
        <f>SUM(M104:M105)</f>
        <v>3193.1924501066101</v>
      </c>
      <c r="N106" s="238">
        <f>SUM(N104:N105)</f>
        <v>5338.2982432835834</v>
      </c>
      <c r="O106" s="238">
        <f>SUM(O104:O105)</f>
        <v>7545.3882432835835</v>
      </c>
    </row>
    <row r="121" spans="2:9" x14ac:dyDescent="0.2">
      <c r="C121" s="239">
        <f>SUM(C122:C125)</f>
        <v>74</v>
      </c>
      <c r="D121" s="239">
        <f t="shared" ref="D121:H121" si="3">SUM(D122:D125)</f>
        <v>87</v>
      </c>
      <c r="E121" s="239">
        <f t="shared" si="3"/>
        <v>101</v>
      </c>
      <c r="F121" s="239">
        <f t="shared" si="3"/>
        <v>101</v>
      </c>
      <c r="G121" s="239">
        <f t="shared" si="3"/>
        <v>111</v>
      </c>
      <c r="H121" s="239">
        <f t="shared" si="3"/>
        <v>121</v>
      </c>
    </row>
    <row r="122" spans="2:9" x14ac:dyDescent="0.2">
      <c r="B122" s="221" t="s">
        <v>226</v>
      </c>
      <c r="C122" s="239">
        <f>OPEX!I23</f>
        <v>12</v>
      </c>
      <c r="D122" s="239">
        <f>OPEX!J23</f>
        <v>15</v>
      </c>
      <c r="E122" s="239">
        <f>OPEX!K23</f>
        <v>16</v>
      </c>
      <c r="F122" s="239">
        <f>OPEX!L23</f>
        <v>16</v>
      </c>
      <c r="G122" s="239">
        <f>OPEX!M23</f>
        <v>16</v>
      </c>
      <c r="H122" s="239">
        <f>OPEX!N23</f>
        <v>16</v>
      </c>
      <c r="I122" s="239"/>
    </row>
    <row r="123" spans="2:9" x14ac:dyDescent="0.2">
      <c r="B123" s="221" t="s">
        <v>223</v>
      </c>
      <c r="C123" s="239">
        <f>OPEX!I41</f>
        <v>30</v>
      </c>
      <c r="D123" s="239">
        <f>OPEX!J41</f>
        <v>40</v>
      </c>
      <c r="E123" s="239">
        <f>OPEX!K41</f>
        <v>50</v>
      </c>
      <c r="F123" s="239">
        <f>OPEX!L41</f>
        <v>50</v>
      </c>
      <c r="G123" s="239">
        <f>OPEX!M41</f>
        <v>60</v>
      </c>
      <c r="H123" s="239">
        <f>OPEX!N41</f>
        <v>70</v>
      </c>
    </row>
    <row r="124" spans="2:9" x14ac:dyDescent="0.2">
      <c r="B124" s="221" t="s">
        <v>224</v>
      </c>
      <c r="C124" s="239">
        <f>OPEX!I60</f>
        <v>27</v>
      </c>
      <c r="D124" s="239">
        <f>OPEX!J60</f>
        <v>27</v>
      </c>
      <c r="E124" s="239">
        <f>OPEX!K60</f>
        <v>30</v>
      </c>
      <c r="F124" s="239">
        <f>OPEX!L60</f>
        <v>30</v>
      </c>
      <c r="G124" s="239">
        <f>OPEX!M60</f>
        <v>30</v>
      </c>
      <c r="H124" s="239">
        <f>OPEX!N60</f>
        <v>30</v>
      </c>
    </row>
    <row r="125" spans="2:9" x14ac:dyDescent="0.2">
      <c r="B125" s="221" t="s">
        <v>225</v>
      </c>
      <c r="C125" s="239">
        <f>OPEX!I78</f>
        <v>5</v>
      </c>
      <c r="D125" s="239">
        <f>OPEX!J78</f>
        <v>5</v>
      </c>
      <c r="E125" s="239">
        <f>OPEX!K78</f>
        <v>5</v>
      </c>
      <c r="F125" s="239">
        <f>OPEX!L78</f>
        <v>5</v>
      </c>
      <c r="G125" s="239">
        <f>OPEX!M78</f>
        <v>5</v>
      </c>
      <c r="H125" s="239">
        <f>OPEX!N78</f>
        <v>5</v>
      </c>
    </row>
    <row r="127" spans="2:9" x14ac:dyDescent="0.2">
      <c r="C127" s="240">
        <f>SUM(C128:C131)</f>
        <v>652.79999999999995</v>
      </c>
      <c r="D127" s="240">
        <f t="shared" ref="D127:H127" si="4">SUM(D128:D131)</f>
        <v>789.59999999999991</v>
      </c>
      <c r="E127" s="240">
        <f t="shared" si="4"/>
        <v>927.89999999999986</v>
      </c>
      <c r="F127" s="240">
        <f t="shared" si="4"/>
        <v>927.89999999999986</v>
      </c>
      <c r="G127" s="240">
        <f t="shared" si="4"/>
        <v>1047.8999999999999</v>
      </c>
      <c r="H127" s="240">
        <f t="shared" si="4"/>
        <v>1167.8999999999999</v>
      </c>
    </row>
    <row r="128" spans="2:9" x14ac:dyDescent="0.2">
      <c r="B128" s="221" t="s">
        <v>226</v>
      </c>
      <c r="C128" s="240">
        <f>OPEX!P23+OPEX!P22</f>
        <v>91.800000000000011</v>
      </c>
      <c r="D128" s="240">
        <f>OPEX!Q23+OPEX!Q22</f>
        <v>108.60000000000001</v>
      </c>
      <c r="E128" s="240">
        <f>OPEX!R23+OPEX!R22</f>
        <v>115.8</v>
      </c>
      <c r="F128" s="240">
        <f>OPEX!S23+OPEX!S22</f>
        <v>115.8</v>
      </c>
      <c r="G128" s="240">
        <f>OPEX!T23+OPEX!T22</f>
        <v>115.8</v>
      </c>
      <c r="H128" s="240">
        <f>OPEX!U23+OPEX!U22</f>
        <v>115.8</v>
      </c>
    </row>
    <row r="129" spans="2:8" x14ac:dyDescent="0.2">
      <c r="B129" s="221" t="s">
        <v>223</v>
      </c>
      <c r="C129" s="240">
        <f>OPEX!P40+OPEX!P41</f>
        <v>320.40000000000003</v>
      </c>
      <c r="D129" s="240">
        <f>OPEX!Q40+OPEX!Q41</f>
        <v>440.40000000000003</v>
      </c>
      <c r="E129" s="240">
        <f>OPEX!R40+OPEX!R41</f>
        <v>560.4</v>
      </c>
      <c r="F129" s="240">
        <f>OPEX!S40+OPEX!S41</f>
        <v>560.4</v>
      </c>
      <c r="G129" s="240">
        <f>OPEX!T40+OPEX!T41</f>
        <v>680.4</v>
      </c>
      <c r="H129" s="240">
        <f>OPEX!U40+OPEX!U41</f>
        <v>800.4</v>
      </c>
    </row>
    <row r="130" spans="2:8" x14ac:dyDescent="0.2">
      <c r="B130" s="221" t="s">
        <v>224</v>
      </c>
      <c r="C130" s="240">
        <f>OPEX!P60</f>
        <v>199.8</v>
      </c>
      <c r="D130" s="240">
        <f>OPEX!Q60</f>
        <v>199.8</v>
      </c>
      <c r="E130" s="240">
        <f>OPEX!R60</f>
        <v>210.90000000000003</v>
      </c>
      <c r="F130" s="240">
        <f>OPEX!S60</f>
        <v>210.90000000000003</v>
      </c>
      <c r="G130" s="240">
        <f>OPEX!T60</f>
        <v>210.90000000000003</v>
      </c>
      <c r="H130" s="240">
        <f>OPEX!U60</f>
        <v>210.90000000000003</v>
      </c>
    </row>
    <row r="131" spans="2:8" x14ac:dyDescent="0.2">
      <c r="B131" s="221" t="s">
        <v>225</v>
      </c>
      <c r="C131" s="240">
        <f>OPEX!P78</f>
        <v>40.799999999999997</v>
      </c>
      <c r="D131" s="240">
        <f>OPEX!Q78</f>
        <v>40.799999999999997</v>
      </c>
      <c r="E131" s="240">
        <f>OPEX!R78</f>
        <v>40.799999999999997</v>
      </c>
      <c r="F131" s="240">
        <f>OPEX!S78</f>
        <v>40.799999999999997</v>
      </c>
      <c r="G131" s="240">
        <f>OPEX!T78</f>
        <v>40.799999999999997</v>
      </c>
      <c r="H131" s="240">
        <f>OPEX!U78</f>
        <v>40.799999999999997</v>
      </c>
    </row>
  </sheetData>
  <sortState ref="P20:Q28">
    <sortCondition descending="1" ref="Q2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parameters</vt:lpstr>
      <vt:lpstr>CAPEX</vt:lpstr>
      <vt:lpstr>OPEX</vt:lpstr>
      <vt:lpstr>Production</vt:lpstr>
      <vt:lpstr>P&amp;L, CashFlow</vt:lpstr>
      <vt:lpstr>CVP</vt:lpstr>
      <vt:lpstr>WACC</vt:lpstr>
      <vt:lpstr>RU</vt:lpstr>
      <vt:lpstr>EN</vt:lpstr>
      <vt:lpstr>Gantt</vt:lpstr>
      <vt:lpstr>text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Dmytro Stashchuk</dc:creator>
  <cp:lastModifiedBy>Dmytro Stashchuk</cp:lastModifiedBy>
  <dcterms:created xsi:type="dcterms:W3CDTF">2016-06-29T18:30:47Z</dcterms:created>
  <dcterms:modified xsi:type="dcterms:W3CDTF">2018-10-28T14:34:21Z</dcterms:modified>
</cp:coreProperties>
</file>