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5805" activeTab="5"/>
  </bookViews>
  <sheets>
    <sheet name="Умова" sheetId="6" r:id="rId1"/>
    <sheet name="Лаб1" sheetId="1" r:id="rId2"/>
    <sheet name="Лаб2" sheetId="2" r:id="rId3"/>
    <sheet name="Лаб3" sheetId="3" r:id="rId4"/>
    <sheet name="Лаб4" sheetId="5" r:id="rId5"/>
    <sheet name="Лаб5" sheetId="7" r:id="rId6"/>
  </sheets>
  <calcPr calcId="125725"/>
</workbook>
</file>

<file path=xl/calcChain.xml><?xml version="1.0" encoding="utf-8"?>
<calcChain xmlns="http://schemas.openxmlformats.org/spreadsheetml/2006/main">
  <c r="L26" i="5"/>
  <c r="M38" l="1"/>
  <c r="F140" i="7"/>
  <c r="F139"/>
  <c r="F137"/>
  <c r="F121" l="1"/>
  <c r="E44"/>
  <c r="F147" l="1"/>
  <c r="E28"/>
  <c r="E29"/>
  <c r="D6"/>
  <c r="F144"/>
  <c r="C113"/>
  <c r="B113"/>
  <c r="C112"/>
  <c r="B112"/>
  <c r="C111"/>
  <c r="B111"/>
  <c r="C110"/>
  <c r="B110"/>
  <c r="C109"/>
  <c r="B109"/>
  <c r="C108"/>
  <c r="B108"/>
  <c r="C107"/>
  <c r="B107"/>
  <c r="C106"/>
  <c r="B106"/>
  <c r="C105"/>
  <c r="B105"/>
  <c r="C104"/>
  <c r="B104"/>
  <c r="C103"/>
  <c r="B103"/>
  <c r="C102"/>
  <c r="B102"/>
  <c r="C101"/>
  <c r="B101"/>
  <c r="C100"/>
  <c r="B100"/>
  <c r="C99"/>
  <c r="B99"/>
  <c r="C98"/>
  <c r="B98"/>
  <c r="C97"/>
  <c r="B97"/>
  <c r="B89"/>
  <c r="B88"/>
  <c r="B87"/>
  <c r="B86"/>
  <c r="B85"/>
  <c r="B84"/>
  <c r="B83"/>
  <c r="B82"/>
  <c r="B81"/>
  <c r="B80"/>
  <c r="B79"/>
  <c r="B78"/>
  <c r="B77"/>
  <c r="B76"/>
  <c r="B75"/>
  <c r="B74"/>
  <c r="B73"/>
  <c r="D66"/>
  <c r="D65"/>
  <c r="D64"/>
  <c r="D63"/>
  <c r="D62"/>
  <c r="D61"/>
  <c r="D60"/>
  <c r="D59"/>
  <c r="D58"/>
  <c r="D57"/>
  <c r="D56"/>
  <c r="D55"/>
  <c r="D54"/>
  <c r="D53"/>
  <c r="D52"/>
  <c r="D51"/>
  <c r="D50"/>
  <c r="D44"/>
  <c r="E43"/>
  <c r="D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D29"/>
  <c r="D28"/>
  <c r="D21"/>
  <c r="D20"/>
  <c r="D19"/>
  <c r="D18"/>
  <c r="D17"/>
  <c r="D16"/>
  <c r="D15"/>
  <c r="D14"/>
  <c r="D13"/>
  <c r="D12"/>
  <c r="D11"/>
  <c r="D10"/>
  <c r="D9"/>
  <c r="D8"/>
  <c r="D7"/>
  <c r="D5"/>
  <c r="O37" i="6"/>
  <c r="N37"/>
  <c r="M37"/>
  <c r="L37"/>
  <c r="K15"/>
  <c r="D15"/>
  <c r="K13"/>
  <c r="F13"/>
  <c r="E13"/>
  <c r="D13"/>
  <c r="C13"/>
  <c r="B13"/>
  <c r="B15" s="1"/>
  <c r="I12"/>
  <c r="H12"/>
  <c r="K10"/>
  <c r="D10"/>
  <c r="F9"/>
  <c r="E9"/>
  <c r="D9"/>
  <c r="C9"/>
  <c r="B9"/>
  <c r="B10" s="1"/>
  <c r="K8"/>
  <c r="I8"/>
  <c r="M43" i="3"/>
  <c r="H13" a="1"/>
  <c r="H14" s="1"/>
  <c r="E26"/>
  <c r="D59" i="2"/>
  <c r="M57"/>
  <c r="L57"/>
  <c r="K57"/>
  <c r="J57"/>
  <c r="G67" i="1"/>
  <c r="G69"/>
  <c r="K70" i="3"/>
  <c r="K69"/>
  <c r="K67"/>
  <c r="K30" i="5"/>
  <c r="D43"/>
  <c r="E43" s="1"/>
  <c r="F43" s="1"/>
  <c r="E8" a="1"/>
  <c r="E9" s="1"/>
  <c r="C21"/>
  <c r="B21"/>
  <c r="M30"/>
  <c r="C44"/>
  <c r="B44"/>
  <c r="I8" i="7" l="1" a="1"/>
  <c r="J10" s="1"/>
  <c r="H55" a="1"/>
  <c r="H56" s="1"/>
  <c r="H102" a="1"/>
  <c r="H103" s="1"/>
  <c r="G76" a="1"/>
  <c r="G77" s="1"/>
  <c r="I30" a="1"/>
  <c r="K30" s="1"/>
  <c r="I57"/>
  <c r="I55"/>
  <c r="H8" i="6"/>
  <c r="H17" i="3"/>
  <c r="H15"/>
  <c r="H13"/>
  <c r="I16"/>
  <c r="I14"/>
  <c r="I17"/>
  <c r="I15"/>
  <c r="I13"/>
  <c r="H16"/>
  <c r="E12" i="5"/>
  <c r="E10"/>
  <c r="E8"/>
  <c r="F12"/>
  <c r="F10"/>
  <c r="F8"/>
  <c r="F11"/>
  <c r="F9"/>
  <c r="E11"/>
  <c r="K12" i="7" l="1"/>
  <c r="J12"/>
  <c r="I12"/>
  <c r="H59"/>
  <c r="K8"/>
  <c r="J11"/>
  <c r="I11"/>
  <c r="K10"/>
  <c r="H57"/>
  <c r="K11"/>
  <c r="J8"/>
  <c r="E21" s="1"/>
  <c r="F21" s="1"/>
  <c r="G21" s="1"/>
  <c r="I8"/>
  <c r="I9"/>
  <c r="I10"/>
  <c r="F145" s="1"/>
  <c r="K9"/>
  <c r="J9"/>
  <c r="H105"/>
  <c r="H106"/>
  <c r="I106"/>
  <c r="F122" s="1"/>
  <c r="H104"/>
  <c r="I103"/>
  <c r="G76"/>
  <c r="D74" s="1"/>
  <c r="E74" s="1"/>
  <c r="F74" s="1"/>
  <c r="G79"/>
  <c r="H79"/>
  <c r="H76"/>
  <c r="H77"/>
  <c r="H58"/>
  <c r="H55"/>
  <c r="E50" s="1"/>
  <c r="F50" s="1"/>
  <c r="G50" s="1"/>
  <c r="I58"/>
  <c r="G80"/>
  <c r="H80"/>
  <c r="I104"/>
  <c r="H102"/>
  <c r="I59"/>
  <c r="I56"/>
  <c r="G78"/>
  <c r="H78"/>
  <c r="I102"/>
  <c r="I105"/>
  <c r="I32"/>
  <c r="F148" s="1"/>
  <c r="J32"/>
  <c r="L31"/>
  <c r="K33"/>
  <c r="L32"/>
  <c r="L33"/>
  <c r="K32"/>
  <c r="I31"/>
  <c r="L30"/>
  <c r="J31"/>
  <c r="K31"/>
  <c r="I30"/>
  <c r="F36" s="1"/>
  <c r="G36" s="1"/>
  <c r="H36" s="1"/>
  <c r="I34"/>
  <c r="J30"/>
  <c r="J34"/>
  <c r="F119" s="1"/>
  <c r="K34"/>
  <c r="I33"/>
  <c r="L34"/>
  <c r="J33"/>
  <c r="F120"/>
  <c r="D75"/>
  <c r="E75" s="1"/>
  <c r="F75" s="1"/>
  <c r="D73"/>
  <c r="E73" s="1"/>
  <c r="F73" s="1"/>
  <c r="D88"/>
  <c r="E88" s="1"/>
  <c r="F88" s="1"/>
  <c r="D86"/>
  <c r="E86" s="1"/>
  <c r="F86" s="1"/>
  <c r="D84"/>
  <c r="E84" s="1"/>
  <c r="F84" s="1"/>
  <c r="D82"/>
  <c r="E82" s="1"/>
  <c r="F82" s="1"/>
  <c r="D80"/>
  <c r="E80" s="1"/>
  <c r="F80" s="1"/>
  <c r="D78"/>
  <c r="E78" s="1"/>
  <c r="F78" s="1"/>
  <c r="E52"/>
  <c r="F52" s="1"/>
  <c r="G52" s="1"/>
  <c r="E65"/>
  <c r="F65" s="1"/>
  <c r="G65" s="1"/>
  <c r="E61"/>
  <c r="F61" s="1"/>
  <c r="G61" s="1"/>
  <c r="E57"/>
  <c r="F57" s="1"/>
  <c r="G57" s="1"/>
  <c r="E53"/>
  <c r="F53" s="1"/>
  <c r="G53" s="1"/>
  <c r="E18"/>
  <c r="F18" s="1"/>
  <c r="G18" s="1"/>
  <c r="E14"/>
  <c r="F14" s="1"/>
  <c r="G14" s="1"/>
  <c r="E10"/>
  <c r="F10" s="1"/>
  <c r="G10" s="1"/>
  <c r="E6"/>
  <c r="F6" s="1"/>
  <c r="G6" s="1"/>
  <c r="F35"/>
  <c r="G35" s="1"/>
  <c r="H35" s="1"/>
  <c r="D113"/>
  <c r="E113" s="1"/>
  <c r="F113" s="1"/>
  <c r="D100"/>
  <c r="E100" s="1"/>
  <c r="F100" s="1"/>
  <c r="D97"/>
  <c r="E97" s="1"/>
  <c r="F97" s="1"/>
  <c r="D98"/>
  <c r="E98" s="1"/>
  <c r="F98" s="1"/>
  <c r="D99"/>
  <c r="E99" s="1"/>
  <c r="F99" s="1"/>
  <c r="D31" i="5"/>
  <c r="E31" s="1"/>
  <c r="D29"/>
  <c r="E29" s="1"/>
  <c r="D42"/>
  <c r="E42" s="1"/>
  <c r="D40"/>
  <c r="E40" s="1"/>
  <c r="D38"/>
  <c r="E38" s="1"/>
  <c r="D36"/>
  <c r="E36" s="1"/>
  <c r="D34"/>
  <c r="E34" s="1"/>
  <c r="D32"/>
  <c r="E32" s="1"/>
  <c r="D30"/>
  <c r="E30" s="1"/>
  <c r="D28"/>
  <c r="E28" s="1"/>
  <c r="D41"/>
  <c r="E41" s="1"/>
  <c r="D39"/>
  <c r="E39" s="1"/>
  <c r="D37"/>
  <c r="E37" s="1"/>
  <c r="D35"/>
  <c r="E35" s="1"/>
  <c r="D33"/>
  <c r="E33" s="1"/>
  <c r="D27"/>
  <c r="E5" i="7" l="1"/>
  <c r="F5" s="1"/>
  <c r="G5" s="1"/>
  <c r="F37"/>
  <c r="G37" s="1"/>
  <c r="H37" s="1"/>
  <c r="E8"/>
  <c r="F8" s="1"/>
  <c r="G8" s="1"/>
  <c r="E12"/>
  <c r="F12" s="1"/>
  <c r="G12" s="1"/>
  <c r="E16"/>
  <c r="F16" s="1"/>
  <c r="G16" s="1"/>
  <c r="E20"/>
  <c r="F20" s="1"/>
  <c r="G20" s="1"/>
  <c r="D101"/>
  <c r="E101" s="1"/>
  <c r="F101" s="1"/>
  <c r="F114" s="1" a="1"/>
  <c r="F34"/>
  <c r="G34" s="1"/>
  <c r="H34" s="1"/>
  <c r="E7"/>
  <c r="F7" s="1"/>
  <c r="G7" s="1"/>
  <c r="E11"/>
  <c r="F11" s="1"/>
  <c r="G11" s="1"/>
  <c r="E15"/>
  <c r="F15" s="1"/>
  <c r="G15" s="1"/>
  <c r="E19"/>
  <c r="F19" s="1"/>
  <c r="G19" s="1"/>
  <c r="F118"/>
  <c r="F28"/>
  <c r="G28" s="1"/>
  <c r="E9"/>
  <c r="F9" s="1"/>
  <c r="G9" s="1"/>
  <c r="E13"/>
  <c r="F13" s="1"/>
  <c r="G13" s="1"/>
  <c r="E17"/>
  <c r="F17" s="1"/>
  <c r="G17" s="1"/>
  <c r="F40"/>
  <c r="G40" s="1"/>
  <c r="H40" s="1"/>
  <c r="D112"/>
  <c r="E112" s="1"/>
  <c r="F112" s="1"/>
  <c r="D111"/>
  <c r="E111" s="1"/>
  <c r="F111" s="1"/>
  <c r="D110"/>
  <c r="E110" s="1"/>
  <c r="F110" s="1"/>
  <c r="D109"/>
  <c r="E109" s="1"/>
  <c r="F109" s="1"/>
  <c r="D108"/>
  <c r="E108" s="1"/>
  <c r="F108" s="1"/>
  <c r="D107"/>
  <c r="E107" s="1"/>
  <c r="F107" s="1"/>
  <c r="D106"/>
  <c r="E106" s="1"/>
  <c r="F106" s="1"/>
  <c r="D105"/>
  <c r="E105" s="1"/>
  <c r="F105" s="1"/>
  <c r="D104"/>
  <c r="E104" s="1"/>
  <c r="F104" s="1"/>
  <c r="D103"/>
  <c r="E103" s="1"/>
  <c r="F103" s="1"/>
  <c r="D102"/>
  <c r="E102" s="1"/>
  <c r="F102" s="1"/>
  <c r="D77"/>
  <c r="E77" s="1"/>
  <c r="F77" s="1"/>
  <c r="D81"/>
  <c r="E81" s="1"/>
  <c r="F81" s="1"/>
  <c r="D85"/>
  <c r="E85" s="1"/>
  <c r="F85" s="1"/>
  <c r="D89"/>
  <c r="E89" s="1"/>
  <c r="F89" s="1"/>
  <c r="D76"/>
  <c r="E76" s="1"/>
  <c r="F76" s="1"/>
  <c r="D79"/>
  <c r="E79" s="1"/>
  <c r="F79" s="1"/>
  <c r="D83"/>
  <c r="E83" s="1"/>
  <c r="F83" s="1"/>
  <c r="D87"/>
  <c r="E87" s="1"/>
  <c r="F87" s="1"/>
  <c r="E54"/>
  <c r="F54" s="1"/>
  <c r="G54" s="1"/>
  <c r="E58"/>
  <c r="F58" s="1"/>
  <c r="G58" s="1"/>
  <c r="E62"/>
  <c r="F62" s="1"/>
  <c r="G62" s="1"/>
  <c r="E66"/>
  <c r="F66" s="1"/>
  <c r="G66" s="1"/>
  <c r="F130" s="1"/>
  <c r="E56"/>
  <c r="F56" s="1"/>
  <c r="G56" s="1"/>
  <c r="E60"/>
  <c r="F60" s="1"/>
  <c r="G60" s="1"/>
  <c r="E64"/>
  <c r="F64" s="1"/>
  <c r="G64" s="1"/>
  <c r="E51"/>
  <c r="F51" s="1"/>
  <c r="G51" s="1"/>
  <c r="E55"/>
  <c r="F55" s="1"/>
  <c r="G55" s="1"/>
  <c r="E59"/>
  <c r="F59" s="1"/>
  <c r="G59" s="1"/>
  <c r="E63"/>
  <c r="F63" s="1"/>
  <c r="G63" s="1"/>
  <c r="F31"/>
  <c r="G31" s="1"/>
  <c r="H31" s="1"/>
  <c r="F30"/>
  <c r="G30" s="1"/>
  <c r="H30" s="1"/>
  <c r="F33"/>
  <c r="G33" s="1"/>
  <c r="H33" s="1"/>
  <c r="F32"/>
  <c r="G32" s="1"/>
  <c r="H32" s="1"/>
  <c r="F44"/>
  <c r="F43"/>
  <c r="G43" s="1"/>
  <c r="H43" s="1"/>
  <c r="F42"/>
  <c r="G42" s="1"/>
  <c r="H42" s="1"/>
  <c r="F29"/>
  <c r="G29" s="1"/>
  <c r="H29" s="1"/>
  <c r="F39"/>
  <c r="G39" s="1"/>
  <c r="H39" s="1"/>
  <c r="F38"/>
  <c r="G38" s="1"/>
  <c r="H38" s="1"/>
  <c r="F41"/>
  <c r="G41" s="1"/>
  <c r="H41" s="1"/>
  <c r="H28"/>
  <c r="I43" i="5"/>
  <c r="G43"/>
  <c r="H43" s="1"/>
  <c r="I37"/>
  <c r="F37"/>
  <c r="G37"/>
  <c r="H37" s="1"/>
  <c r="F30"/>
  <c r="G30"/>
  <c r="H30" s="1"/>
  <c r="I30"/>
  <c r="G38"/>
  <c r="H38" s="1"/>
  <c r="I38"/>
  <c r="F38"/>
  <c r="I31"/>
  <c r="F31"/>
  <c r="G31"/>
  <c r="H31" s="1"/>
  <c r="I35"/>
  <c r="F35"/>
  <c r="G35"/>
  <c r="H35" s="1"/>
  <c r="F28"/>
  <c r="G36"/>
  <c r="H36" s="1"/>
  <c r="I36"/>
  <c r="F36"/>
  <c r="I29"/>
  <c r="F29"/>
  <c r="G29"/>
  <c r="H29" s="1"/>
  <c r="I33"/>
  <c r="F33"/>
  <c r="G33"/>
  <c r="H33" s="1"/>
  <c r="I41"/>
  <c r="F41"/>
  <c r="G41"/>
  <c r="H41" s="1"/>
  <c r="G34"/>
  <c r="H34" s="1"/>
  <c r="I34"/>
  <c r="F34"/>
  <c r="G42"/>
  <c r="H42" s="1"/>
  <c r="I42"/>
  <c r="F42"/>
  <c r="E27"/>
  <c r="I28" s="1"/>
  <c r="D44"/>
  <c r="I39"/>
  <c r="F39"/>
  <c r="G39"/>
  <c r="H39" s="1"/>
  <c r="G32"/>
  <c r="H32" s="1"/>
  <c r="I32"/>
  <c r="F32"/>
  <c r="G40"/>
  <c r="H40" s="1"/>
  <c r="I40"/>
  <c r="F40"/>
  <c r="M54" i="3"/>
  <c r="G82"/>
  <c r="I52"/>
  <c r="H52"/>
  <c r="G52"/>
  <c r="F52"/>
  <c r="M42"/>
  <c r="I35"/>
  <c r="L36" a="1"/>
  <c r="L37" s="1"/>
  <c r="F36"/>
  <c r="F37"/>
  <c r="F38"/>
  <c r="F39"/>
  <c r="F40"/>
  <c r="F41"/>
  <c r="F42"/>
  <c r="F43"/>
  <c r="F44"/>
  <c r="F45"/>
  <c r="F46"/>
  <c r="F47"/>
  <c r="F48"/>
  <c r="F49"/>
  <c r="F50"/>
  <c r="F51"/>
  <c r="F35"/>
  <c r="C35" a="1"/>
  <c r="C36" s="1"/>
  <c r="F90" i="7" l="1"/>
  <c r="F131" s="1"/>
  <c r="F114"/>
  <c r="F132" s="1"/>
  <c r="G44"/>
  <c r="H44" s="1"/>
  <c r="H45" s="1"/>
  <c r="F129" s="1"/>
  <c r="I44" i="5"/>
  <c r="G28"/>
  <c r="F27"/>
  <c r="F44" s="1"/>
  <c r="E44"/>
  <c r="L40" i="3"/>
  <c r="L38"/>
  <c r="L36"/>
  <c r="M40"/>
  <c r="M38"/>
  <c r="M36"/>
  <c r="M39"/>
  <c r="M37"/>
  <c r="L39"/>
  <c r="D38"/>
  <c r="D36"/>
  <c r="D39"/>
  <c r="D37"/>
  <c r="D35"/>
  <c r="C39"/>
  <c r="C37"/>
  <c r="C35"/>
  <c r="C38"/>
  <c r="L27" i="5" l="1"/>
  <c r="G44"/>
  <c r="H28"/>
  <c r="H44" s="1"/>
  <c r="L36" s="1"/>
  <c r="E24" i="3" l="1"/>
  <c r="E13" a="1"/>
  <c r="E14" s="1"/>
  <c r="F14"/>
  <c r="F16"/>
  <c r="F6"/>
  <c r="G81"/>
  <c r="F81"/>
  <c r="F80"/>
  <c r="G80" s="1"/>
  <c r="G79"/>
  <c r="F79"/>
  <c r="G78"/>
  <c r="F78"/>
  <c r="G77"/>
  <c r="F77"/>
  <c r="F76"/>
  <c r="G76" s="1"/>
  <c r="G75"/>
  <c r="F75"/>
  <c r="G74"/>
  <c r="F74"/>
  <c r="G73"/>
  <c r="F73"/>
  <c r="G72"/>
  <c r="F72"/>
  <c r="G71"/>
  <c r="F71"/>
  <c r="F70"/>
  <c r="G70" s="1"/>
  <c r="F69"/>
  <c r="G69" s="1"/>
  <c r="G68"/>
  <c r="F68"/>
  <c r="G67"/>
  <c r="F67"/>
  <c r="G66"/>
  <c r="F66"/>
  <c r="G65"/>
  <c r="F65"/>
  <c r="B38" i="2"/>
  <c r="M58"/>
  <c r="L58"/>
  <c r="K58"/>
  <c r="J58"/>
  <c r="E20"/>
  <c r="D20"/>
  <c r="C20"/>
  <c r="E19"/>
  <c r="G58" s="1"/>
  <c r="D19"/>
  <c r="F58" s="1"/>
  <c r="C19"/>
  <c r="E58" s="1"/>
  <c r="B20"/>
  <c r="B19"/>
  <c r="D58" s="1"/>
  <c r="B30" a="1"/>
  <c r="D30" s="1"/>
  <c r="G11"/>
  <c r="G10"/>
  <c r="G9"/>
  <c r="I5"/>
  <c r="I4"/>
  <c r="H4"/>
  <c r="M29"/>
  <c r="H18"/>
  <c r="H19" s="1"/>
  <c r="I106" i="1" a="1"/>
  <c r="K106" s="1"/>
  <c r="I88"/>
  <c r="O64"/>
  <c r="B19"/>
  <c r="D19"/>
  <c r="C19"/>
  <c r="E19"/>
  <c r="I35" a="1"/>
  <c r="I37" s="1"/>
  <c r="D35" a="1"/>
  <c r="F35" s="1"/>
  <c r="B24" a="1"/>
  <c r="D24" s="1"/>
  <c r="P8"/>
  <c r="P7"/>
  <c r="O7"/>
  <c r="R7"/>
  <c r="E17" i="3" l="1"/>
  <c r="E15"/>
  <c r="E13"/>
  <c r="F17"/>
  <c r="F15"/>
  <c r="F13"/>
  <c r="E16"/>
  <c r="G43"/>
  <c r="H43" s="1"/>
  <c r="D73" s="1"/>
  <c r="G42" i="2"/>
  <c r="G44"/>
  <c r="G46"/>
  <c r="G48"/>
  <c r="G50"/>
  <c r="G52"/>
  <c r="G54"/>
  <c r="G57"/>
  <c r="F42"/>
  <c r="F43"/>
  <c r="F44"/>
  <c r="F45"/>
  <c r="F46"/>
  <c r="F47"/>
  <c r="F48"/>
  <c r="F49"/>
  <c r="F50"/>
  <c r="F51"/>
  <c r="F52"/>
  <c r="F53"/>
  <c r="F54"/>
  <c r="F55"/>
  <c r="F56"/>
  <c r="F57"/>
  <c r="D42"/>
  <c r="D43"/>
  <c r="D44"/>
  <c r="D45"/>
  <c r="D46"/>
  <c r="D47"/>
  <c r="D48"/>
  <c r="D49"/>
  <c r="D50"/>
  <c r="D51"/>
  <c r="D52"/>
  <c r="D53"/>
  <c r="D54"/>
  <c r="D55"/>
  <c r="D56"/>
  <c r="D57"/>
  <c r="G43"/>
  <c r="G45"/>
  <c r="G47"/>
  <c r="G49"/>
  <c r="G51"/>
  <c r="G53"/>
  <c r="G55"/>
  <c r="G56"/>
  <c r="E42"/>
  <c r="E43"/>
  <c r="E44"/>
  <c r="E45"/>
  <c r="E46"/>
  <c r="E47"/>
  <c r="E48"/>
  <c r="E49"/>
  <c r="E50"/>
  <c r="E51"/>
  <c r="E52"/>
  <c r="E53"/>
  <c r="E54"/>
  <c r="E55"/>
  <c r="E56"/>
  <c r="E57"/>
  <c r="E34"/>
  <c r="E33"/>
  <c r="E32"/>
  <c r="E31"/>
  <c r="E30"/>
  <c r="B34"/>
  <c r="B33"/>
  <c r="B32"/>
  <c r="B31"/>
  <c r="B30"/>
  <c r="C34"/>
  <c r="C33"/>
  <c r="C32"/>
  <c r="C31"/>
  <c r="C30"/>
  <c r="D34"/>
  <c r="D33"/>
  <c r="D32"/>
  <c r="D31"/>
  <c r="I110" i="1"/>
  <c r="I109"/>
  <c r="I108"/>
  <c r="I107"/>
  <c r="I106"/>
  <c r="J110"/>
  <c r="J109"/>
  <c r="J108"/>
  <c r="J107"/>
  <c r="J106"/>
  <c r="L110"/>
  <c r="L109"/>
  <c r="L108"/>
  <c r="L107"/>
  <c r="L106"/>
  <c r="K110"/>
  <c r="K109"/>
  <c r="K108"/>
  <c r="K107"/>
  <c r="I35"/>
  <c r="I38"/>
  <c r="I36"/>
  <c r="E38"/>
  <c r="E37"/>
  <c r="E36"/>
  <c r="E35"/>
  <c r="G38"/>
  <c r="G37"/>
  <c r="G36"/>
  <c r="G35"/>
  <c r="D38"/>
  <c r="D37"/>
  <c r="D36"/>
  <c r="D35"/>
  <c r="L35" s="1" a="1"/>
  <c r="N37" s="1"/>
  <c r="F38"/>
  <c r="F37"/>
  <c r="F36"/>
  <c r="P27"/>
  <c r="L27"/>
  <c r="H27"/>
  <c r="D27"/>
  <c r="Q26"/>
  <c r="M26"/>
  <c r="I26"/>
  <c r="E26"/>
  <c r="R25"/>
  <c r="N25"/>
  <c r="J25"/>
  <c r="F25"/>
  <c r="B25"/>
  <c r="O24"/>
  <c r="K24"/>
  <c r="G24"/>
  <c r="C24"/>
  <c r="R27"/>
  <c r="N27"/>
  <c r="J27"/>
  <c r="F27"/>
  <c r="B27"/>
  <c r="O26"/>
  <c r="K26"/>
  <c r="G26"/>
  <c r="C26"/>
  <c r="P25"/>
  <c r="L25"/>
  <c r="H25"/>
  <c r="D25"/>
  <c r="Q24"/>
  <c r="M24"/>
  <c r="I24"/>
  <c r="E24"/>
  <c r="O27"/>
  <c r="K27"/>
  <c r="G27"/>
  <c r="C27"/>
  <c r="P26"/>
  <c r="L26"/>
  <c r="H26"/>
  <c r="D26"/>
  <c r="Q25"/>
  <c r="M25"/>
  <c r="I25"/>
  <c r="E25"/>
  <c r="R24"/>
  <c r="N24"/>
  <c r="J24"/>
  <c r="F24"/>
  <c r="B24"/>
  <c r="Q27"/>
  <c r="M27"/>
  <c r="I27"/>
  <c r="E27"/>
  <c r="R26"/>
  <c r="N26"/>
  <c r="J26"/>
  <c r="F26"/>
  <c r="B26"/>
  <c r="O25"/>
  <c r="K25"/>
  <c r="G25"/>
  <c r="C25"/>
  <c r="P24"/>
  <c r="L24"/>
  <c r="H24"/>
  <c r="N38" l="1"/>
  <c r="O36"/>
  <c r="O35"/>
  <c r="M35"/>
  <c r="M37"/>
  <c r="O38"/>
  <c r="M36"/>
  <c r="M38"/>
  <c r="L35"/>
  <c r="L37"/>
  <c r="L36"/>
  <c r="L38"/>
  <c r="N36"/>
  <c r="O37"/>
  <c r="N35"/>
  <c r="G45" i="3"/>
  <c r="H45" s="1"/>
  <c r="D75" s="1"/>
  <c r="G49"/>
  <c r="H49" s="1"/>
  <c r="D79" s="1"/>
  <c r="G39"/>
  <c r="H39" s="1"/>
  <c r="D69" s="1"/>
  <c r="G40"/>
  <c r="H40" s="1"/>
  <c r="D70" s="1"/>
  <c r="G50"/>
  <c r="H50" s="1"/>
  <c r="D80" s="1"/>
  <c r="G46"/>
  <c r="H46" s="1"/>
  <c r="D76" s="1"/>
  <c r="G41"/>
  <c r="H41" s="1"/>
  <c r="D71" s="1"/>
  <c r="G37"/>
  <c r="H37" s="1"/>
  <c r="D67" s="1"/>
  <c r="G51"/>
  <c r="H51" s="1"/>
  <c r="D81" s="1"/>
  <c r="G47"/>
  <c r="H47" s="1"/>
  <c r="D77" s="1"/>
  <c r="G44"/>
  <c r="H44" s="1"/>
  <c r="D74" s="1"/>
  <c r="G36"/>
  <c r="H36" s="1"/>
  <c r="D66" s="1"/>
  <c r="G42"/>
  <c r="H42" s="1"/>
  <c r="D72" s="1"/>
  <c r="G38"/>
  <c r="H38" s="1"/>
  <c r="D68" s="1"/>
  <c r="G48"/>
  <c r="H48" s="1"/>
  <c r="D78" s="1"/>
  <c r="E59" i="2"/>
  <c r="F59"/>
  <c r="G59"/>
  <c r="G35" i="3" l="1"/>
  <c r="H35" s="1"/>
  <c r="D65" l="1"/>
  <c r="L52" l="1"/>
  <c r="I44"/>
  <c r="I43"/>
  <c r="I42"/>
  <c r="I41"/>
  <c r="I40"/>
  <c r="I39"/>
  <c r="I38"/>
  <c r="I37"/>
  <c r="I36"/>
  <c r="I51"/>
  <c r="I50"/>
  <c r="I49"/>
  <c r="I48"/>
  <c r="I47"/>
  <c r="I46"/>
  <c r="I45"/>
  <c r="K52"/>
  <c r="E93" i="1" a="1"/>
  <c r="H93" l="1"/>
  <c r="E93"/>
  <c r="F93"/>
  <c r="G93"/>
  <c r="E95" l="1"/>
  <c r="N8" l="1"/>
  <c r="N9"/>
  <c r="O9"/>
  <c r="S35" l="1" a="1"/>
  <c r="S36" l="1"/>
  <c r="S38"/>
  <c r="S35"/>
  <c r="B42" s="1" a="1"/>
  <c r="S37"/>
  <c r="B44" l="1"/>
  <c r="B45"/>
  <c r="B51"/>
  <c r="B50"/>
  <c r="B48"/>
  <c r="B58"/>
  <c r="B49"/>
  <c r="B55"/>
  <c r="B54"/>
  <c r="B52"/>
  <c r="B57"/>
  <c r="B42"/>
  <c r="B53"/>
  <c r="B46"/>
  <c r="B43"/>
  <c r="B56"/>
  <c r="B47"/>
  <c r="E107"/>
  <c r="D107"/>
  <c r="F107"/>
  <c r="G91"/>
  <c r="B59" l="1"/>
  <c r="C47"/>
  <c r="G47" s="1"/>
  <c r="C56"/>
  <c r="G56" s="1"/>
  <c r="C50"/>
  <c r="G50" s="1"/>
  <c r="C53"/>
  <c r="G53" s="1"/>
  <c r="C54"/>
  <c r="G54" s="1"/>
  <c r="C58"/>
  <c r="G58" s="1"/>
  <c r="C51"/>
  <c r="G51" s="1"/>
  <c r="C52"/>
  <c r="G52" s="1"/>
  <c r="C49"/>
  <c r="G49" s="1"/>
  <c r="C43"/>
  <c r="G43" s="1"/>
  <c r="C57"/>
  <c r="G57" s="1"/>
  <c r="C45"/>
  <c r="G45" s="1"/>
  <c r="C48"/>
  <c r="G48" s="1"/>
  <c r="C46"/>
  <c r="G46" s="1"/>
  <c r="C44"/>
  <c r="G44" s="1"/>
  <c r="C42"/>
  <c r="C55"/>
  <c r="G55" s="1"/>
  <c r="G42" l="1"/>
  <c r="G59" s="1"/>
  <c r="K64" s="1"/>
  <c r="D78" s="1"/>
  <c r="E98" l="1"/>
  <c r="H98" s="1"/>
  <c r="F102" s="1"/>
  <c r="D79"/>
  <c r="C80"/>
  <c r="E78"/>
  <c r="C81"/>
  <c r="D80"/>
  <c r="G80" s="1"/>
  <c r="I80" s="1"/>
  <c r="K80" s="1"/>
  <c r="B78"/>
  <c r="G78" s="1"/>
  <c r="I78" s="1"/>
  <c r="K78" s="1"/>
  <c r="C78"/>
  <c r="E81"/>
  <c r="G81" s="1"/>
  <c r="I81" s="1"/>
  <c r="K81" s="1"/>
  <c r="I102"/>
  <c r="C79"/>
  <c r="G79" s="1"/>
  <c r="I79" s="1"/>
  <c r="K79" s="1"/>
  <c r="B81"/>
  <c r="E79"/>
  <c r="B80"/>
  <c r="E80"/>
  <c r="B79"/>
  <c r="D81"/>
  <c r="I54"/>
  <c r="K54"/>
  <c r="K45"/>
  <c r="K58"/>
  <c r="K52"/>
  <c r="K51"/>
  <c r="I46"/>
  <c r="K50"/>
  <c r="I55"/>
  <c r="K55"/>
  <c r="I53"/>
  <c r="I49"/>
  <c r="I43"/>
  <c r="K57"/>
  <c r="K53"/>
  <c r="I48"/>
  <c r="I44"/>
  <c r="K46"/>
  <c r="K56"/>
  <c r="I58"/>
  <c r="I52"/>
  <c r="I56"/>
  <c r="K44"/>
  <c r="I50"/>
  <c r="I51"/>
  <c r="I45"/>
  <c r="K49"/>
  <c r="I57"/>
  <c r="K47"/>
  <c r="K43"/>
  <c r="K48"/>
  <c r="I47"/>
  <c r="I42"/>
  <c r="K42"/>
  <c r="I59" l="1"/>
  <c r="M64" s="1"/>
  <c r="K59"/>
  <c r="K62" a="1"/>
  <c r="K62" l="1"/>
  <c r="E65"/>
  <c r="E67" s="1"/>
  <c r="E69" l="1"/>
  <c r="R9"/>
  <c r="F106"/>
  <c r="F108" s="1"/>
  <c r="R8"/>
  <c r="E106"/>
  <c r="E108"/>
  <c r="D106"/>
  <c r="D108" s="1"/>
  <c r="I112" l="1"/>
  <c r="J112"/>
  <c r="K112" l="1"/>
  <c r="L112"/>
  <c r="G5" i="2"/>
  <c r="G6"/>
  <c r="H14"/>
  <c r="H16" s="1"/>
  <c r="H6"/>
  <c r="C25" a="1"/>
  <c r="D27" s="1"/>
  <c r="C26" l="1"/>
  <c r="D26"/>
  <c r="K30" s="1"/>
  <c r="C27"/>
  <c r="E27"/>
  <c r="K31" s="1"/>
  <c r="E25"/>
  <c r="H33" s="1"/>
  <c r="G33" s="1"/>
  <c r="C25"/>
  <c r="D25"/>
  <c r="E26"/>
  <c r="H32" l="1"/>
  <c r="G32" s="1"/>
  <c r="K29"/>
  <c r="H31"/>
  <c r="G31" s="1"/>
  <c r="E36"/>
  <c r="B36"/>
  <c r="D36"/>
  <c r="C36"/>
  <c r="K68" i="3"/>
  <c r="F128" i="7"/>
  <c r="G22"/>
  <c r="F136"/>
  <c r="C59" i="1"/>
  <c r="B20" i="3"/>
  <c r="F138" i="7"/>
  <c r="G67"/>
</calcChain>
</file>

<file path=xl/sharedStrings.xml><?xml version="1.0" encoding="utf-8"?>
<sst xmlns="http://schemas.openxmlformats.org/spreadsheetml/2006/main" count="439" uniqueCount="304">
  <si>
    <t>Х1</t>
  </si>
  <si>
    <t>Х2</t>
  </si>
  <si>
    <t>Х3</t>
  </si>
  <si>
    <t>Y</t>
  </si>
  <si>
    <t>Х0</t>
  </si>
  <si>
    <t>Кореляційне відношення</t>
  </si>
  <si>
    <t>Матриця</t>
  </si>
  <si>
    <t>X=</t>
  </si>
  <si>
    <t>середнє значення</t>
  </si>
  <si>
    <t>транспонована</t>
  </si>
  <si>
    <t>Xt=</t>
  </si>
  <si>
    <t xml:space="preserve">Розрахунок </t>
  </si>
  <si>
    <t>b0</t>
  </si>
  <si>
    <t>оцінок параметрів</t>
  </si>
  <si>
    <t>XtX=</t>
  </si>
  <si>
    <t>XtY=</t>
  </si>
  <si>
    <t>(XtX)-1=</t>
  </si>
  <si>
    <t>b = (XtX)-1 *  XtY  =</t>
  </si>
  <si>
    <t>b1</t>
  </si>
  <si>
    <t>b2</t>
  </si>
  <si>
    <t>b3</t>
  </si>
  <si>
    <t>Розрахунок детермінованої та стохастичної складових моделі</t>
  </si>
  <si>
    <t>Дисперсійний аналіз</t>
  </si>
  <si>
    <t>№ з/п</t>
  </si>
  <si>
    <t>Y*</t>
  </si>
  <si>
    <t>e=Y-Y*</t>
  </si>
  <si>
    <t>e2</t>
  </si>
  <si>
    <t>(Y*-Ycep)^2</t>
  </si>
  <si>
    <t>(Y-Ycep)^2</t>
  </si>
  <si>
    <t>Σ</t>
  </si>
  <si>
    <t>D(e)=</t>
  </si>
  <si>
    <t>D(Y*)=</t>
  </si>
  <si>
    <t>D(Y)=</t>
  </si>
  <si>
    <t>Перевірка</t>
  </si>
  <si>
    <t>Незміщені оцінки для дисперсій</t>
  </si>
  <si>
    <r>
      <t>s</t>
    </r>
    <r>
      <rPr>
        <b/>
        <vertAlign val="superscript"/>
        <sz val="10"/>
        <rFont val="Arial Cyr"/>
        <charset val="204"/>
      </rPr>
      <t>2</t>
    </r>
    <r>
      <rPr>
        <b/>
        <sz val="10"/>
        <rFont val="Arial Cyr"/>
        <charset val="204"/>
      </rPr>
      <t>(e)=</t>
    </r>
  </si>
  <si>
    <r>
      <t>s</t>
    </r>
    <r>
      <rPr>
        <b/>
        <vertAlign val="superscript"/>
        <sz val="10"/>
        <rFont val="Arial Cyr"/>
        <charset val="204"/>
      </rPr>
      <t>2</t>
    </r>
    <r>
      <rPr>
        <b/>
        <sz val="10"/>
        <rFont val="Arial Cyr"/>
        <charset val="204"/>
      </rPr>
      <t>(Y*)=</t>
    </r>
  </si>
  <si>
    <r>
      <t>s</t>
    </r>
    <r>
      <rPr>
        <b/>
        <vertAlign val="superscript"/>
        <sz val="10"/>
        <rFont val="Arial Cyr"/>
        <charset val="204"/>
      </rPr>
      <t>2</t>
    </r>
    <r>
      <rPr>
        <b/>
        <sz val="10"/>
        <rFont val="Arial Cyr"/>
        <charset val="204"/>
      </rPr>
      <t>(Y)=</t>
    </r>
  </si>
  <si>
    <t>Перевірка достовірності моделі</t>
  </si>
  <si>
    <r>
      <t>R</t>
    </r>
    <r>
      <rPr>
        <b/>
        <vertAlign val="superscript"/>
        <sz val="10"/>
        <rFont val="Arial Cyr"/>
        <charset val="204"/>
      </rPr>
      <t>2</t>
    </r>
    <r>
      <rPr>
        <b/>
        <sz val="10"/>
        <rFont val="Arial Cyr"/>
        <charset val="204"/>
      </rPr>
      <t>=</t>
    </r>
  </si>
  <si>
    <t>t=</t>
  </si>
  <si>
    <r>
      <t>t</t>
    </r>
    <r>
      <rPr>
        <b/>
        <vertAlign val="subscript"/>
        <sz val="10"/>
        <rFont val="Arial Cyr"/>
        <charset val="204"/>
      </rPr>
      <t>критичне</t>
    </r>
    <r>
      <rPr>
        <b/>
        <sz val="10"/>
        <rFont val="Arial Cyr"/>
        <charset val="204"/>
      </rPr>
      <t>=</t>
    </r>
  </si>
  <si>
    <t>Висновок:</t>
  </si>
  <si>
    <t>F=</t>
  </si>
  <si>
    <r>
      <t>F</t>
    </r>
    <r>
      <rPr>
        <b/>
        <vertAlign val="subscript"/>
        <sz val="10"/>
        <rFont val="Arial Cyr"/>
        <charset val="204"/>
      </rPr>
      <t>критичне</t>
    </r>
    <r>
      <rPr>
        <b/>
        <sz val="10"/>
        <rFont val="Arial Cyr"/>
        <charset val="204"/>
      </rPr>
      <t>=</t>
    </r>
  </si>
  <si>
    <t>Перевірка достовірності оцінок параметрів</t>
  </si>
  <si>
    <t>Дисперсійно-коваріаційна</t>
  </si>
  <si>
    <t>Дисперсії</t>
  </si>
  <si>
    <t>Станд.похибки</t>
  </si>
  <si>
    <t>t-критерії</t>
  </si>
  <si>
    <t>матриця оцінок параметрів</t>
  </si>
  <si>
    <t>cov(b)=</t>
  </si>
  <si>
    <t>Прогноз</t>
  </si>
  <si>
    <t>Xpt=</t>
  </si>
  <si>
    <t>Xp=</t>
  </si>
  <si>
    <t xml:space="preserve">    Точковий прогноз</t>
  </si>
  <si>
    <t>Y*p=</t>
  </si>
  <si>
    <t>Розрахунок</t>
  </si>
  <si>
    <t>дисперсії</t>
  </si>
  <si>
    <r>
      <t>Xp*(XtX)</t>
    </r>
    <r>
      <rPr>
        <b/>
        <vertAlign val="superscript"/>
        <sz val="10"/>
        <rFont val="Arial Cyr"/>
        <charset val="204"/>
      </rPr>
      <t>-1</t>
    </r>
    <r>
      <rPr>
        <b/>
        <sz val="10"/>
        <rFont val="Arial Cyr"/>
        <charset val="204"/>
      </rPr>
      <t>=</t>
    </r>
  </si>
  <si>
    <t>прогнозу</t>
  </si>
  <si>
    <r>
      <t>Xp*(XtX)</t>
    </r>
    <r>
      <rPr>
        <b/>
        <vertAlign val="superscript"/>
        <sz val="10"/>
        <rFont val="Arial Cyr"/>
        <charset val="204"/>
      </rPr>
      <t>-1</t>
    </r>
    <r>
      <rPr>
        <b/>
        <sz val="10"/>
        <rFont val="Arial Cyr"/>
        <charset val="204"/>
      </rPr>
      <t>*Xtp=</t>
    </r>
  </si>
  <si>
    <t>Дисперсія прогнозу</t>
  </si>
  <si>
    <t>Похибка прогнозу</t>
  </si>
  <si>
    <r>
      <t>s</t>
    </r>
    <r>
      <rPr>
        <b/>
        <vertAlign val="superscript"/>
        <sz val="10"/>
        <rFont val="Arial Cyr"/>
        <charset val="204"/>
      </rPr>
      <t>2</t>
    </r>
    <r>
      <rPr>
        <b/>
        <sz val="10"/>
        <rFont val="Arial Cyr"/>
        <charset val="204"/>
      </rPr>
      <t>(Yp)=</t>
    </r>
  </si>
  <si>
    <r>
      <t>s</t>
    </r>
    <r>
      <rPr>
        <b/>
        <sz val="10"/>
        <rFont val="Arial Cyr"/>
        <charset val="204"/>
      </rPr>
      <t>(Yp)=</t>
    </r>
  </si>
  <si>
    <t xml:space="preserve">  Інтервальнийий прогноз</t>
  </si>
  <si>
    <t>Нижня межа для Y*p</t>
  </si>
  <si>
    <t>Верхня межа для Y*p</t>
  </si>
  <si>
    <t>Економічні показники моделі</t>
  </si>
  <si>
    <t>Розрахунок функцією "ЛІНІЙН"</t>
  </si>
  <si>
    <t>Вектор оцінки параметрів рівний першому рядку Матриці "ЛИНЕЙН",</t>
  </si>
  <si>
    <t>X1</t>
  </si>
  <si>
    <t>X2</t>
  </si>
  <si>
    <t>X3</t>
  </si>
  <si>
    <t>другий рядок містить значення стандартних похибок, коефіцієнт множинної детермінації рівний, F-критерій рівний, D(ε) рівна, D(Y*) рівна, степінь свободи рівна</t>
  </si>
  <si>
    <t>Середня ефективність</t>
  </si>
  <si>
    <t xml:space="preserve">Оцінки </t>
  </si>
  <si>
    <t>Гранична ефективність</t>
  </si>
  <si>
    <t>Похибки</t>
  </si>
  <si>
    <t>Коєфіціент еластичності</t>
  </si>
  <si>
    <t>12 ВАР</t>
  </si>
  <si>
    <t>Кореляційна матриця</t>
  </si>
  <si>
    <t>найбільший вплив</t>
  </si>
  <si>
    <t>D( r )</t>
  </si>
  <si>
    <t>хі-критерій</t>
  </si>
  <si>
    <t>СТУПЕНі СВОБОДИ</t>
  </si>
  <si>
    <t>КРИТИЧНЕ ЗНАЧЕННЯ ХІ -КВАДРАТА</t>
  </si>
  <si>
    <t>F критерій</t>
  </si>
  <si>
    <t>f критичне</t>
  </si>
  <si>
    <t xml:space="preserve"> </t>
  </si>
  <si>
    <t>х1</t>
  </si>
  <si>
    <t>x2</t>
  </si>
  <si>
    <t>x3</t>
  </si>
  <si>
    <t>відхилення</t>
  </si>
  <si>
    <t>5) обчислити оцінки параметрів такої моделі, перевірити достовірність як моделі, так  і оцінок параметрів.</t>
  </si>
  <si>
    <t>оцінки</t>
  </si>
  <si>
    <t>t критерій</t>
  </si>
  <si>
    <t>r</t>
  </si>
  <si>
    <t>похибки</t>
  </si>
  <si>
    <t>НОРМАЛІЗОВАНА</t>
  </si>
  <si>
    <t>Сума</t>
  </si>
  <si>
    <t>Коефіці єнт фондо віддачі</t>
  </si>
  <si>
    <t>Витрати на виробництво, млн.грн.</t>
  </si>
  <si>
    <t>Тест Гольдфельда- Кванта</t>
  </si>
  <si>
    <t>c</t>
  </si>
  <si>
    <t xml:space="preserve">  </t>
  </si>
  <si>
    <t>1 модель</t>
  </si>
  <si>
    <t>2 модель</t>
  </si>
  <si>
    <r>
      <t>R</t>
    </r>
    <r>
      <rPr>
        <sz val="10"/>
        <rFont val="Arial Cyr"/>
        <charset val="204"/>
      </rPr>
      <t>²</t>
    </r>
  </si>
  <si>
    <t>F-критерій</t>
  </si>
  <si>
    <t>D(ε)</t>
  </si>
  <si>
    <t>ступені свободи</t>
  </si>
  <si>
    <t>Критична точка</t>
  </si>
  <si>
    <t>Тест Глейсера</t>
  </si>
  <si>
    <t>1 гетероскедастичність</t>
  </si>
  <si>
    <t xml:space="preserve">      </t>
  </si>
  <si>
    <t>ε</t>
  </si>
  <si>
    <t>ABS(ε)</t>
  </si>
  <si>
    <t>Е</t>
  </si>
  <si>
    <t>а2</t>
  </si>
  <si>
    <t>а0</t>
  </si>
  <si>
    <t>Е=а0+а2*х+ε</t>
  </si>
  <si>
    <t>Тест рангової кореляції  Спірмена</t>
  </si>
  <si>
    <t>dx</t>
  </si>
  <si>
    <t>dε</t>
  </si>
  <si>
    <t>δ</t>
  </si>
  <si>
    <t>δ²</t>
  </si>
  <si>
    <t>Коцфіцієнт рангової кореляції знаходиться в зазначених межах.</t>
  </si>
  <si>
    <t xml:space="preserve">     </t>
  </si>
  <si>
    <t>t</t>
  </si>
  <si>
    <r>
      <t>Так як критичне значення більше за розрахункове, то гетероскедастичності немає, зв</t>
    </r>
    <r>
      <rPr>
        <sz val="10"/>
        <rFont val="Arial Cyr"/>
        <charset val="204"/>
      </rPr>
      <t>’</t>
    </r>
    <r>
      <rPr>
        <sz val="11"/>
        <color theme="1"/>
        <rFont val="Calibri"/>
        <family val="2"/>
        <charset val="204"/>
        <scheme val="minor"/>
      </rPr>
      <t>язок несуттєвий</t>
    </r>
  </si>
  <si>
    <t>К1=4</t>
  </si>
  <si>
    <t>К2=4</t>
  </si>
  <si>
    <t>сер. Знач.</t>
  </si>
  <si>
    <t xml:space="preserve">                     Лабораторна робота №4</t>
  </si>
  <si>
    <t>№</t>
  </si>
  <si>
    <t xml:space="preserve">Вартість </t>
  </si>
  <si>
    <t xml:space="preserve">Витрати </t>
  </si>
  <si>
    <t>Прибуток</t>
  </si>
  <si>
    <t>Активи</t>
  </si>
  <si>
    <t>п/п</t>
  </si>
  <si>
    <t>У</t>
  </si>
  <si>
    <t>E</t>
  </si>
  <si>
    <t>E^2</t>
  </si>
  <si>
    <t>D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</si>
  <si>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204"/>
      </rPr>
      <t>^2</t>
    </r>
  </si>
  <si>
    <t>Et*Et-1</t>
  </si>
  <si>
    <t xml:space="preserve">            Лінійн</t>
  </si>
  <si>
    <t>сума</t>
  </si>
  <si>
    <t>Критерій Дарбіна-Вотсона</t>
  </si>
  <si>
    <t>DW=</t>
  </si>
  <si>
    <t>D(W)l=</t>
  </si>
  <si>
    <t>D(W)u=</t>
  </si>
  <si>
    <t>р=</t>
  </si>
  <si>
    <t>D(W)l*=</t>
  </si>
  <si>
    <t>D(W)u*=</t>
  </si>
  <si>
    <t>Критерій фон Неймана</t>
  </si>
  <si>
    <t>Q=</t>
  </si>
  <si>
    <t>Розглядаємо часткові інтервали за додатнього параметра р:</t>
  </si>
  <si>
    <t>Так як F-критерій Фішера більше табличного значення, що складає 3,41 то  можна стверджувати, що коефіцієнт детермінації та модель є статистично значущими та достовірними.</t>
  </si>
  <si>
    <t>Так як критерій Стьюдента  більше табличного значення, що складає 2,160369 то  можна стверджувати, що модель є статистично значущою  та достовірною.</t>
  </si>
  <si>
    <t>Розрахуємо визначник кореляційної матриці та перевіримо його відмінність від одиниці</t>
  </si>
  <si>
    <t>Вектор елементів парної кореляції</t>
  </si>
  <si>
    <t>Знайдемо матрицю, обернену до кореляційної, і на основі її елементів:</t>
  </si>
  <si>
    <t xml:space="preserve">Висновки: </t>
  </si>
  <si>
    <t xml:space="preserve">X2 корелює з іншими змінними і  має на У найбільший вплив. </t>
  </si>
  <si>
    <t>Хі-квадрат&gt;Хі-квадрат критичне.</t>
  </si>
  <si>
    <t>отже в моделі присутня мультиколінеарність.</t>
  </si>
  <si>
    <t xml:space="preserve">F1;F2;F3&gt;F-критичне. Це означає суттєву залежність: першого регресора від 2 та 3; 2 від 1 та 3; Тобто, усі змінні корелюють (мають суттєві зв`зки з іншими регресорами), є взаємозалежними. </t>
  </si>
  <si>
    <t xml:space="preserve"> F-критерій</t>
  </si>
  <si>
    <t>Так як F-критерій менша за критичне значення то гетероскедастичності не має</t>
  </si>
  <si>
    <t>R</t>
  </si>
  <si>
    <t>R²</t>
  </si>
  <si>
    <t>Висновок</t>
  </si>
  <si>
    <t>Критична точка більша за розраховане значення, то зв'язок суттєвий, гетероскедастичность відсутня</t>
  </si>
  <si>
    <t>Критична точка менша  за t критерії, а2 суттєво відрізняється, гетероскедастичность відсутня</t>
  </si>
  <si>
    <t>T критерій</t>
  </si>
  <si>
    <t>Fкр=</t>
  </si>
  <si>
    <t>F критичне=</t>
  </si>
  <si>
    <t>Умова</t>
  </si>
  <si>
    <t>А</t>
  </si>
  <si>
    <t>Б</t>
  </si>
  <si>
    <t>В</t>
  </si>
  <si>
    <t>Г</t>
  </si>
  <si>
    <t>Ѓ</t>
  </si>
  <si>
    <t>Д</t>
  </si>
  <si>
    <t>Є</t>
  </si>
  <si>
    <t>Ж</t>
  </si>
  <si>
    <t>З</t>
  </si>
  <si>
    <t>И</t>
  </si>
  <si>
    <t>І</t>
  </si>
  <si>
    <t>Ї</t>
  </si>
  <si>
    <t>Й</t>
  </si>
  <si>
    <t>К</t>
  </si>
  <si>
    <t>Л</t>
  </si>
  <si>
    <t>М</t>
  </si>
  <si>
    <t>Н</t>
  </si>
  <si>
    <t>О</t>
  </si>
  <si>
    <t>П</t>
  </si>
  <si>
    <t>Р</t>
  </si>
  <si>
    <t>С</t>
  </si>
  <si>
    <t>Т</t>
  </si>
  <si>
    <t>Ф</t>
  </si>
  <si>
    <t>Х</t>
  </si>
  <si>
    <t>Ц</t>
  </si>
  <si>
    <t>Ч</t>
  </si>
  <si>
    <t>Ш</t>
  </si>
  <si>
    <t>Щ</t>
  </si>
  <si>
    <t>Ь</t>
  </si>
  <si>
    <t>Ю</t>
  </si>
  <si>
    <t>Я</t>
  </si>
  <si>
    <t>Сума коду імені</t>
  </si>
  <si>
    <t>л</t>
  </si>
  <si>
    <t>і</t>
  </si>
  <si>
    <t>н</t>
  </si>
  <si>
    <t>а</t>
  </si>
  <si>
    <t>Сума цифр</t>
  </si>
  <si>
    <t>А=</t>
  </si>
  <si>
    <t>Добуток цифр імені</t>
  </si>
  <si>
    <t>В=</t>
  </si>
  <si>
    <t>Сума коду прізв</t>
  </si>
  <si>
    <t>у</t>
  </si>
  <si>
    <t>к</t>
  </si>
  <si>
    <t>ш</t>
  </si>
  <si>
    <t>С=</t>
  </si>
  <si>
    <t>Добуток прізв</t>
  </si>
  <si>
    <t>D=</t>
  </si>
  <si>
    <t>Табл1</t>
  </si>
  <si>
    <t>Варіант №12</t>
  </si>
  <si>
    <t>А+В=3+9=12</t>
  </si>
  <si>
    <t>число парне , отже відтинаємо з кінця</t>
  </si>
  <si>
    <t>С=4</t>
  </si>
  <si>
    <t>D=9</t>
  </si>
  <si>
    <t>d</t>
  </si>
  <si>
    <t>n=</t>
  </si>
  <si>
    <t>m=</t>
  </si>
  <si>
    <t>середне значення</t>
  </si>
  <si>
    <t>1)Поліном 2-ї степені</t>
  </si>
  <si>
    <t>У*</t>
  </si>
  <si>
    <t>e</t>
  </si>
  <si>
    <r>
      <t>У=в0+в1х+в2х</t>
    </r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+е</t>
    </r>
  </si>
  <si>
    <t>Лінiаризація моделі</t>
  </si>
  <si>
    <r>
      <t>х</t>
    </r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= t</t>
    </r>
  </si>
  <si>
    <t>y=b0+b1x+b2t</t>
  </si>
  <si>
    <t>"Лінійн"</t>
  </si>
  <si>
    <t>2) Поліном 3-ї степені</t>
  </si>
  <si>
    <r>
      <t>Y=b0+b1x1+b2x</t>
    </r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+b3x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+e</t>
    </r>
  </si>
  <si>
    <t>z</t>
  </si>
  <si>
    <t>y*</t>
  </si>
  <si>
    <t>Лініаризація</t>
  </si>
  <si>
    <r>
      <t>x</t>
    </r>
    <r>
      <rPr>
        <vertAlign val="superscript"/>
        <sz val="11"/>
        <color theme="1"/>
        <rFont val="Calibri"/>
        <family val="2"/>
        <charset val="204"/>
        <scheme val="minor"/>
      </rPr>
      <t xml:space="preserve">2  </t>
    </r>
    <r>
      <rPr>
        <sz val="11"/>
        <color theme="1"/>
        <rFont val="Calibri"/>
        <family val="2"/>
        <charset val="204"/>
        <scheme val="minor"/>
      </rPr>
      <t>=t</t>
    </r>
  </si>
  <si>
    <r>
      <t>x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=z</t>
    </r>
  </si>
  <si>
    <t>y=b0+b1x1+b2t+b3z+e</t>
  </si>
  <si>
    <t>3)      У=в0+в1/х+е</t>
  </si>
  <si>
    <t>1/х=t</t>
  </si>
  <si>
    <t>Y= b0+b1t+e</t>
  </si>
  <si>
    <t>Логарифмування</t>
  </si>
  <si>
    <t>f</t>
  </si>
  <si>
    <t>f*</t>
  </si>
  <si>
    <t>ln(y)=b0+b1x+ln(e)</t>
  </si>
  <si>
    <t>ln(y)=f</t>
  </si>
  <si>
    <t xml:space="preserve">Лініаризація </t>
  </si>
  <si>
    <t>f=b0+b1x+ln(e)</t>
  </si>
  <si>
    <t>5)     Степенева ф-я</t>
  </si>
  <si>
    <r>
      <t>Y=b0x</t>
    </r>
    <r>
      <rPr>
        <vertAlign val="superscript"/>
        <sz val="11"/>
        <color theme="1"/>
        <rFont val="Calibri"/>
        <family val="2"/>
        <charset val="204"/>
        <scheme val="minor"/>
      </rPr>
      <t>b</t>
    </r>
    <r>
      <rPr>
        <sz val="11"/>
        <color theme="1"/>
        <rFont val="Calibri"/>
        <family val="2"/>
        <charset val="204"/>
        <scheme val="minor"/>
      </rPr>
      <t>e</t>
    </r>
  </si>
  <si>
    <t>ln(y)=ln(b0)+b1ln(x)+ln(e)</t>
  </si>
  <si>
    <t>ln(y)=f,ln(b0)=a0,ln(x)=t</t>
  </si>
  <si>
    <t>f=a0+b1t+ln(e)</t>
  </si>
  <si>
    <t>Критерії вибору моделі</t>
  </si>
  <si>
    <t>1)Коеф.множинної детермін.</t>
  </si>
  <si>
    <r>
      <t>R</t>
    </r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(1)=</t>
    </r>
  </si>
  <si>
    <t>за даним критерієм 1-ша модель найкраща</t>
  </si>
  <si>
    <r>
      <t>R</t>
    </r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(2)=</t>
    </r>
  </si>
  <si>
    <r>
      <t>R</t>
    </r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(3)=</t>
    </r>
  </si>
  <si>
    <r>
      <t>R</t>
    </r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(4)=</t>
    </r>
  </si>
  <si>
    <r>
      <t>R</t>
    </r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(5)=</t>
    </r>
  </si>
  <si>
    <t>2)Критерій Акаїте(АІС)</t>
  </si>
  <si>
    <t>АІС(1)=</t>
  </si>
  <si>
    <t>АІС(2)=</t>
  </si>
  <si>
    <t>АІС(3)=</t>
  </si>
  <si>
    <t>АІС(4)=</t>
  </si>
  <si>
    <t>АІС(5)=</t>
  </si>
  <si>
    <t>3) Критерій Чоу</t>
  </si>
  <si>
    <t>Fk=</t>
  </si>
  <si>
    <t>при 1,2 регресорах</t>
  </si>
  <si>
    <t>Ввід додаткових регресорів погіршує модель</t>
  </si>
  <si>
    <t>при 1,3 регресорах</t>
  </si>
  <si>
    <t>Сума:</t>
  </si>
  <si>
    <r>
      <t>4)     Y=E</t>
    </r>
    <r>
      <rPr>
        <i/>
        <u/>
        <vertAlign val="superscript"/>
        <sz val="11"/>
        <color theme="1"/>
        <rFont val="Calibri"/>
        <family val="2"/>
        <charset val="204"/>
        <scheme val="minor"/>
      </rPr>
      <t>b0+b1x</t>
    </r>
    <r>
      <rPr>
        <i/>
        <u/>
        <sz val="11"/>
        <color theme="1"/>
        <rFont val="Calibri"/>
        <family val="2"/>
        <charset val="204"/>
        <scheme val="minor"/>
      </rPr>
      <t>*e</t>
    </r>
  </si>
  <si>
    <t>4) Критерій Шварца</t>
  </si>
  <si>
    <t>BIC(1)=</t>
  </si>
  <si>
    <t>BIC(2)=</t>
  </si>
  <si>
    <t>BIC(3)=</t>
  </si>
  <si>
    <t>BIC(4)=</t>
  </si>
  <si>
    <t>BIC(5)=</t>
  </si>
  <si>
    <r>
      <t xml:space="preserve">параметр </t>
    </r>
    <r>
      <rPr>
        <sz val="11"/>
        <color theme="1"/>
        <rFont val="Symbol"/>
        <family val="1"/>
        <charset val="2"/>
      </rPr>
      <t>V=</t>
    </r>
  </si>
  <si>
    <r>
      <t>Qk(p&gt;</t>
    </r>
    <r>
      <rPr>
        <sz val="11"/>
        <color theme="1"/>
        <rFont val="Symbol"/>
        <family val="1"/>
        <charset val="2"/>
      </rPr>
      <t>0)</t>
    </r>
    <r>
      <rPr>
        <sz val="11"/>
        <color theme="1"/>
        <rFont val="Calibri"/>
        <family val="2"/>
        <charset val="204"/>
        <scheme val="minor"/>
      </rPr>
      <t>=</t>
    </r>
  </si>
  <si>
    <t xml:space="preserve"> так як &lt;2, отже відсутня додатня автокореляція</t>
  </si>
  <si>
    <t>Залишки мають автокореляцію</t>
  </si>
  <si>
    <t>D(W)l&gt;DW</t>
  </si>
  <si>
    <t>Висновок : DW= 0,83, що входить в проміжок від 0 до DWl</t>
  </si>
  <si>
    <t>0&lt;0,83&lt;1,14</t>
  </si>
  <si>
    <t>отже, висновок наявна додатня автокореляція</t>
  </si>
</sst>
</file>

<file path=xl/styles.xml><?xml version="1.0" encoding="utf-8"?>
<styleSheet xmlns="http://schemas.openxmlformats.org/spreadsheetml/2006/main">
  <numFmts count="12">
    <numFmt numFmtId="164" formatCode="0.000"/>
    <numFmt numFmtId="165" formatCode="0.0"/>
    <numFmt numFmtId="166" formatCode="0.000000"/>
    <numFmt numFmtId="167" formatCode="0.00000"/>
    <numFmt numFmtId="168" formatCode="0.00000000"/>
    <numFmt numFmtId="169" formatCode="0.0000"/>
    <numFmt numFmtId="170" formatCode="0.000000000"/>
    <numFmt numFmtId="171" formatCode="0.00000000000000"/>
    <numFmt numFmtId="172" formatCode="0.0000000000000"/>
    <numFmt numFmtId="173" formatCode="0.0000000"/>
    <numFmt numFmtId="174" formatCode="0.000000000000"/>
    <numFmt numFmtId="175" formatCode="0.000000000000000"/>
  </numFmts>
  <fonts count="5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</font>
    <font>
      <sz val="8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vertAlign val="superscript"/>
      <sz val="10"/>
      <name val="Arial Cyr"/>
      <charset val="204"/>
    </font>
    <font>
      <b/>
      <vertAlign val="subscript"/>
      <sz val="10"/>
      <name val="Arial Cyr"/>
      <charset val="204"/>
    </font>
    <font>
      <sz val="10"/>
      <color rgb="FFFF000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indexed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7"/>
      <name val="Times New Roman"/>
      <family val="1"/>
      <charset val="204"/>
    </font>
    <font>
      <sz val="7"/>
      <name val="Latha"/>
      <family val="2"/>
    </font>
    <font>
      <i/>
      <sz val="14"/>
      <name val="Arial"/>
      <family val="2"/>
      <charset val="204"/>
    </font>
    <font>
      <sz val="14"/>
      <name val="Arial Cyr"/>
      <charset val="204"/>
    </font>
    <font>
      <sz val="14"/>
      <name val="Arial"/>
      <family val="2"/>
      <charset val="204"/>
    </font>
    <font>
      <i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Symbol"/>
      <family val="1"/>
      <charset val="2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u/>
      <sz val="7"/>
      <name val="Times New Roman"/>
      <family val="1"/>
      <charset val="204"/>
    </font>
    <font>
      <i/>
      <u/>
      <sz val="9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i/>
      <u/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Cambria"/>
      <family val="1"/>
      <charset val="204"/>
      <scheme val="major"/>
    </font>
    <font>
      <sz val="7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u/>
      <sz val="14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  <font>
      <i/>
      <u/>
      <sz val="10"/>
      <name val="Arial"/>
      <family val="2"/>
      <charset val="204"/>
    </font>
    <font>
      <sz val="11"/>
      <name val="Arial Cyr"/>
      <charset val="204"/>
    </font>
    <font>
      <sz val="11"/>
      <color theme="3" tint="-0.249977111117893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i/>
      <u/>
      <sz val="16"/>
      <color indexed="10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i/>
      <u/>
      <sz val="14"/>
      <color theme="1"/>
      <name val="Calibri"/>
      <family val="2"/>
      <charset val="204"/>
      <scheme val="minor"/>
    </font>
    <font>
      <i/>
      <u/>
      <sz val="12"/>
      <color theme="1"/>
      <name val="Calibri"/>
      <family val="2"/>
      <charset val="204"/>
      <scheme val="minor"/>
    </font>
    <font>
      <i/>
      <u/>
      <vertAlign val="superscript"/>
      <sz val="1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2" fillId="0" borderId="1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3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2" fontId="5" fillId="0" borderId="0" xfId="0" applyNumberFormat="1" applyFont="1"/>
    <xf numFmtId="0" fontId="5" fillId="0" borderId="0" xfId="0" applyFont="1" applyAlignment="1">
      <alignment horizontal="right"/>
    </xf>
    <xf numFmtId="0" fontId="5" fillId="0" borderId="0" xfId="0" applyFont="1"/>
    <xf numFmtId="165" fontId="5" fillId="0" borderId="0" xfId="0" applyNumberFormat="1" applyFont="1"/>
    <xf numFmtId="0" fontId="8" fillId="0" borderId="0" xfId="0" applyFont="1"/>
    <xf numFmtId="0" fontId="9" fillId="0" borderId="0" xfId="0" applyFont="1" applyAlignment="1">
      <alignment horizontal="center"/>
    </xf>
    <xf numFmtId="0" fontId="5" fillId="0" borderId="1" xfId="0" applyFont="1" applyBorder="1"/>
    <xf numFmtId="166" fontId="0" fillId="0" borderId="1" xfId="0" applyNumberFormat="1" applyBorder="1"/>
    <xf numFmtId="166" fontId="5" fillId="0" borderId="1" xfId="0" applyNumberFormat="1" applyFont="1" applyBorder="1"/>
    <xf numFmtId="167" fontId="0" fillId="0" borderId="0" xfId="0" applyNumberFormat="1"/>
    <xf numFmtId="0" fontId="5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167" fontId="0" fillId="0" borderId="1" xfId="0" applyNumberFormat="1" applyBorder="1"/>
    <xf numFmtId="0" fontId="10" fillId="2" borderId="2" xfId="0" applyFont="1" applyFill="1" applyBorder="1" applyAlignment="1">
      <alignment horizontal="right" vertical="top" wrapText="1"/>
    </xf>
    <xf numFmtId="0" fontId="10" fillId="2" borderId="3" xfId="0" applyFont="1" applyFill="1" applyBorder="1" applyAlignment="1">
      <alignment horizontal="right" vertical="top" wrapText="1"/>
    </xf>
    <xf numFmtId="0" fontId="10" fillId="2" borderId="4" xfId="0" applyFont="1" applyFill="1" applyBorder="1" applyAlignment="1">
      <alignment horizontal="right" vertical="top" wrapText="1"/>
    </xf>
    <xf numFmtId="0" fontId="10" fillId="2" borderId="5" xfId="0" applyFont="1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right" wrapText="1"/>
    </xf>
    <xf numFmtId="0" fontId="0" fillId="0" borderId="0" xfId="0" applyBorder="1"/>
    <xf numFmtId="0" fontId="2" fillId="0" borderId="0" xfId="0" applyFont="1" applyFill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10" fillId="2" borderId="7" xfId="0" applyFont="1" applyFill="1" applyBorder="1" applyAlignment="1">
      <alignment horizontal="right" vertical="top" wrapText="1"/>
    </xf>
    <xf numFmtId="0" fontId="10" fillId="2" borderId="8" xfId="0" applyFont="1" applyFill="1" applyBorder="1" applyAlignment="1">
      <alignment horizontal="right" vertical="top" wrapText="1"/>
    </xf>
    <xf numFmtId="0" fontId="2" fillId="0" borderId="10" xfId="0" applyFont="1" applyFill="1" applyBorder="1" applyAlignment="1">
      <alignment horizontal="right" wrapText="1"/>
    </xf>
    <xf numFmtId="0" fontId="2" fillId="0" borderId="11" xfId="0" applyFont="1" applyFill="1" applyBorder="1" applyAlignment="1">
      <alignment horizontal="right" wrapText="1"/>
    </xf>
    <xf numFmtId="0" fontId="2" fillId="0" borderId="12" xfId="0" applyFont="1" applyFill="1" applyBorder="1" applyAlignment="1">
      <alignment horizontal="right" wrapText="1"/>
    </xf>
    <xf numFmtId="0" fontId="2" fillId="0" borderId="13" xfId="0" applyFont="1" applyBorder="1" applyAlignment="1">
      <alignment horizontal="right" wrapText="1"/>
    </xf>
    <xf numFmtId="0" fontId="2" fillId="0" borderId="14" xfId="0" applyFont="1" applyBorder="1" applyAlignment="1">
      <alignment horizontal="right" wrapText="1"/>
    </xf>
    <xf numFmtId="0" fontId="2" fillId="0" borderId="15" xfId="0" applyFont="1" applyBorder="1" applyAlignment="1">
      <alignment horizontal="right" wrapText="1"/>
    </xf>
    <xf numFmtId="0" fontId="2" fillId="0" borderId="16" xfId="0" applyFont="1" applyBorder="1" applyAlignment="1">
      <alignment horizontal="right" wrapText="1"/>
    </xf>
    <xf numFmtId="0" fontId="2" fillId="0" borderId="17" xfId="0" applyFont="1" applyBorder="1" applyAlignment="1">
      <alignment horizontal="right" wrapText="1"/>
    </xf>
    <xf numFmtId="0" fontId="11" fillId="0" borderId="0" xfId="0" applyFont="1" applyFill="1" applyAlignment="1">
      <alignment horizontal="center"/>
    </xf>
    <xf numFmtId="0" fontId="11" fillId="0" borderId="0" xfId="0" applyFont="1"/>
    <xf numFmtId="0" fontId="12" fillId="0" borderId="0" xfId="0" applyFont="1"/>
    <xf numFmtId="0" fontId="11" fillId="0" borderId="1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1" fillId="0" borderId="0" xfId="0" applyFont="1" applyAlignment="1">
      <alignment horizontal="right"/>
    </xf>
    <xf numFmtId="0" fontId="13" fillId="0" borderId="0" xfId="0" applyFont="1" applyFill="1" applyAlignment="1">
      <alignment horizontal="center"/>
    </xf>
    <xf numFmtId="0" fontId="11" fillId="0" borderId="0" xfId="0" applyFont="1" applyBorder="1" applyAlignment="1">
      <alignment horizontal="right" wrapText="1"/>
    </xf>
    <xf numFmtId="0" fontId="13" fillId="0" borderId="0" xfId="0" applyFont="1" applyFill="1" applyAlignment="1">
      <alignment horizontal="center" wrapText="1"/>
    </xf>
    <xf numFmtId="0" fontId="14" fillId="0" borderId="1" xfId="0" applyFont="1" applyFill="1" applyBorder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horizontal="center" wrapText="1"/>
    </xf>
    <xf numFmtId="0" fontId="15" fillId="0" borderId="0" xfId="0" applyFont="1"/>
    <xf numFmtId="164" fontId="12" fillId="0" borderId="0" xfId="0" applyNumberFormat="1" applyFont="1"/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indent="1"/>
    </xf>
    <xf numFmtId="0" fontId="11" fillId="0" borderId="0" xfId="0" applyFont="1" applyFill="1" applyBorder="1" applyAlignment="1">
      <alignment horizontal="right" wrapText="1"/>
    </xf>
    <xf numFmtId="0" fontId="12" fillId="0" borderId="0" xfId="0" applyFont="1" applyBorder="1" applyAlignment="1">
      <alignment horizontal="right" wrapText="1"/>
    </xf>
    <xf numFmtId="0" fontId="12" fillId="0" borderId="0" xfId="0" applyFont="1" applyAlignment="1">
      <alignment horizontal="right"/>
    </xf>
    <xf numFmtId="0" fontId="11" fillId="0" borderId="0" xfId="0" applyFont="1" applyFill="1" applyBorder="1"/>
    <xf numFmtId="0" fontId="17" fillId="0" borderId="0" xfId="0" applyFont="1"/>
    <xf numFmtId="0" fontId="1" fillId="0" borderId="0" xfId="0" applyFont="1"/>
    <xf numFmtId="1" fontId="0" fillId="0" borderId="0" xfId="0" applyNumberFormat="1"/>
    <xf numFmtId="0" fontId="11" fillId="0" borderId="0" xfId="0" applyFont="1" applyBorder="1"/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right"/>
    </xf>
    <xf numFmtId="164" fontId="11" fillId="0" borderId="0" xfId="0" applyNumberFormat="1" applyFont="1" applyBorder="1"/>
    <xf numFmtId="0" fontId="11" fillId="3" borderId="0" xfId="0" applyFont="1" applyFill="1" applyBorder="1"/>
    <xf numFmtId="0" fontId="11" fillId="3" borderId="0" xfId="0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left" indent="1"/>
    </xf>
    <xf numFmtId="0" fontId="11" fillId="0" borderId="0" xfId="0" applyFont="1" applyFill="1" applyBorder="1" applyAlignment="1">
      <alignment horizontal="left" vertical="center"/>
    </xf>
    <xf numFmtId="0" fontId="16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18" fillId="0" borderId="0" xfId="0" applyFont="1" applyFill="1"/>
    <xf numFmtId="0" fontId="0" fillId="0" borderId="1" xfId="0" applyFill="1" applyBorder="1"/>
    <xf numFmtId="16" fontId="0" fillId="0" borderId="0" xfId="0" applyNumberFormat="1" applyFill="1"/>
    <xf numFmtId="0" fontId="10" fillId="0" borderId="0" xfId="0" applyFont="1" applyFill="1"/>
    <xf numFmtId="0" fontId="1" fillId="0" borderId="9" xfId="0" applyFont="1" applyFill="1" applyBorder="1" applyAlignment="1">
      <alignment horizontal="center" vertical="top" wrapText="1"/>
    </xf>
    <xf numFmtId="0" fontId="19" fillId="0" borderId="1" xfId="0" applyFont="1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6" xfId="0" applyFill="1" applyBorder="1"/>
    <xf numFmtId="0" fontId="20" fillId="0" borderId="0" xfId="0" applyFont="1" applyFill="1"/>
    <xf numFmtId="0" fontId="9" fillId="0" borderId="1" xfId="0" applyFont="1" applyFill="1" applyBorder="1"/>
    <xf numFmtId="0" fontId="21" fillId="0" borderId="0" xfId="0" applyFont="1" applyFill="1"/>
    <xf numFmtId="0" fontId="0" fillId="0" borderId="20" xfId="0" applyFill="1" applyBorder="1"/>
    <xf numFmtId="0" fontId="22" fillId="3" borderId="21" xfId="0" applyFont="1" applyFill="1" applyBorder="1" applyAlignment="1">
      <alignment horizontal="right" vertical="top" wrapText="1"/>
    </xf>
    <xf numFmtId="0" fontId="1" fillId="3" borderId="21" xfId="0" applyFont="1" applyFill="1" applyBorder="1" applyAlignment="1">
      <alignment horizontal="right" vertical="top" wrapText="1"/>
    </xf>
    <xf numFmtId="0" fontId="22" fillId="3" borderId="22" xfId="0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0" fontId="0" fillId="0" borderId="0" xfId="0" applyFill="1" applyBorder="1"/>
    <xf numFmtId="169" fontId="0" fillId="0" borderId="20" xfId="0" applyNumberFormat="1" applyFill="1" applyBorder="1"/>
    <xf numFmtId="0" fontId="22" fillId="3" borderId="1" xfId="0" applyFont="1" applyFill="1" applyBorder="1" applyAlignment="1">
      <alignment horizontal="right" vertical="top" wrapText="1"/>
    </xf>
    <xf numFmtId="0" fontId="24" fillId="0" borderId="0" xfId="0" applyFont="1" applyFill="1"/>
    <xf numFmtId="0" fontId="0" fillId="0" borderId="23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 applyAlignment="1">
      <alignment vertical="center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center"/>
    </xf>
    <xf numFmtId="0" fontId="26" fillId="0" borderId="1" xfId="0" applyFont="1" applyBorder="1"/>
    <xf numFmtId="0" fontId="27" fillId="0" borderId="1" xfId="0" applyFont="1" applyBorder="1"/>
    <xf numFmtId="0" fontId="0" fillId="0" borderId="15" xfId="0" applyBorder="1"/>
    <xf numFmtId="0" fontId="0" fillId="0" borderId="17" xfId="0" applyBorder="1"/>
    <xf numFmtId="2" fontId="0" fillId="0" borderId="1" xfId="0" applyNumberFormat="1" applyBorder="1"/>
    <xf numFmtId="0" fontId="28" fillId="0" borderId="0" xfId="0" applyFont="1"/>
    <xf numFmtId="0" fontId="0" fillId="0" borderId="0" xfId="0" applyAlignment="1">
      <alignment horizontal="center"/>
    </xf>
    <xf numFmtId="0" fontId="25" fillId="0" borderId="1" xfId="0" applyFont="1" applyBorder="1" applyAlignment="1">
      <alignment horizontal="center" vertical="top" wrapText="1"/>
    </xf>
    <xf numFmtId="0" fontId="29" fillId="0" borderId="0" xfId="0" applyFont="1"/>
    <xf numFmtId="0" fontId="0" fillId="0" borderId="24" xfId="0" applyBorder="1"/>
    <xf numFmtId="0" fontId="0" fillId="0" borderId="25" xfId="0" applyBorder="1"/>
    <xf numFmtId="0" fontId="31" fillId="0" borderId="0" xfId="0" applyFont="1" applyFill="1" applyAlignment="1">
      <alignment horizontal="center"/>
    </xf>
    <xf numFmtId="0" fontId="32" fillId="4" borderId="10" xfId="0" applyFont="1" applyFill="1" applyBorder="1" applyAlignment="1">
      <alignment horizontal="center"/>
    </xf>
    <xf numFmtId="0" fontId="32" fillId="4" borderId="11" xfId="0" applyFont="1" applyFill="1" applyBorder="1" applyAlignment="1">
      <alignment horizontal="center"/>
    </xf>
    <xf numFmtId="0" fontId="32" fillId="4" borderId="12" xfId="0" applyFont="1" applyFill="1" applyBorder="1" applyAlignment="1">
      <alignment horizontal="center"/>
    </xf>
    <xf numFmtId="0" fontId="32" fillId="4" borderId="13" xfId="0" applyFont="1" applyFill="1" applyBorder="1" applyAlignment="1">
      <alignment horizontal="center"/>
    </xf>
    <xf numFmtId="0" fontId="32" fillId="4" borderId="1" xfId="0" applyFont="1" applyFill="1" applyBorder="1" applyAlignment="1">
      <alignment horizontal="center"/>
    </xf>
    <xf numFmtId="0" fontId="32" fillId="4" borderId="14" xfId="0" applyFont="1" applyFill="1" applyBorder="1" applyAlignment="1">
      <alignment horizontal="center"/>
    </xf>
    <xf numFmtId="0" fontId="32" fillId="4" borderId="15" xfId="0" applyFont="1" applyFill="1" applyBorder="1" applyAlignment="1">
      <alignment horizontal="center"/>
    </xf>
    <xf numFmtId="0" fontId="32" fillId="4" borderId="16" xfId="0" applyFont="1" applyFill="1" applyBorder="1" applyAlignment="1">
      <alignment horizontal="center"/>
    </xf>
    <xf numFmtId="0" fontId="32" fillId="4" borderId="17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34" fillId="0" borderId="0" xfId="0" applyFont="1" applyFill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33" fillId="0" borderId="12" xfId="0" applyFont="1" applyFill="1" applyBorder="1" applyAlignment="1">
      <alignment horizontal="center"/>
    </xf>
    <xf numFmtId="0" fontId="33" fillId="0" borderId="10" xfId="0" applyFont="1" applyFill="1" applyBorder="1" applyAlignment="1">
      <alignment horizontal="center"/>
    </xf>
    <xf numFmtId="0" fontId="13" fillId="0" borderId="0" xfId="0" applyFont="1" applyFill="1" applyAlignment="1">
      <alignment horizontal="left" vertical="center"/>
    </xf>
    <xf numFmtId="0" fontId="36" fillId="0" borderId="10" xfId="0" applyFont="1" applyFill="1" applyBorder="1" applyAlignment="1">
      <alignment horizontal="center"/>
    </xf>
    <xf numFmtId="0" fontId="36" fillId="0" borderId="11" xfId="0" applyFont="1" applyFill="1" applyBorder="1" applyAlignment="1">
      <alignment horizontal="center"/>
    </xf>
    <xf numFmtId="0" fontId="36" fillId="0" borderId="12" xfId="0" applyFont="1" applyFill="1" applyBorder="1" applyAlignment="1">
      <alignment horizontal="center"/>
    </xf>
    <xf numFmtId="0" fontId="36" fillId="0" borderId="13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4" xfId="0" applyFont="1" applyFill="1" applyBorder="1" applyAlignment="1">
      <alignment horizontal="center"/>
    </xf>
    <xf numFmtId="168" fontId="36" fillId="0" borderId="1" xfId="0" applyNumberFormat="1" applyFont="1" applyFill="1" applyBorder="1" applyAlignment="1">
      <alignment horizontal="center"/>
    </xf>
    <xf numFmtId="168" fontId="36" fillId="0" borderId="14" xfId="0" applyNumberFormat="1" applyFont="1" applyFill="1" applyBorder="1" applyAlignment="1">
      <alignment horizontal="center"/>
    </xf>
    <xf numFmtId="0" fontId="36" fillId="0" borderId="15" xfId="0" applyFont="1" applyFill="1" applyBorder="1" applyAlignment="1">
      <alignment horizontal="center"/>
    </xf>
    <xf numFmtId="0" fontId="36" fillId="0" borderId="16" xfId="0" applyFont="1" applyFill="1" applyBorder="1" applyAlignment="1">
      <alignment horizontal="center"/>
    </xf>
    <xf numFmtId="168" fontId="36" fillId="0" borderId="16" xfId="0" applyNumberFormat="1" applyFont="1" applyFill="1" applyBorder="1" applyAlignment="1">
      <alignment horizontal="center"/>
    </xf>
    <xf numFmtId="168" fontId="36" fillId="0" borderId="17" xfId="0" applyNumberFormat="1" applyFont="1" applyFill="1" applyBorder="1" applyAlignment="1">
      <alignment horizontal="center"/>
    </xf>
    <xf numFmtId="0" fontId="37" fillId="0" borderId="13" xfId="0" applyFont="1" applyFill="1" applyBorder="1" applyAlignment="1">
      <alignment horizontal="center"/>
    </xf>
    <xf numFmtId="168" fontId="37" fillId="0" borderId="14" xfId="0" applyNumberFormat="1" applyFont="1" applyFill="1" applyBorder="1" applyAlignment="1">
      <alignment horizontal="center"/>
    </xf>
    <xf numFmtId="0" fontId="37" fillId="0" borderId="14" xfId="0" applyFont="1" applyFill="1" applyBorder="1" applyAlignment="1">
      <alignment horizontal="center"/>
    </xf>
    <xf numFmtId="0" fontId="37" fillId="0" borderId="15" xfId="0" applyFont="1" applyFill="1" applyBorder="1" applyAlignment="1">
      <alignment horizontal="center"/>
    </xf>
    <xf numFmtId="0" fontId="37" fillId="0" borderId="17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23" fillId="0" borderId="1" xfId="0" applyFont="1" applyFill="1" applyBorder="1"/>
    <xf numFmtId="0" fontId="0" fillId="5" borderId="1" xfId="0" applyFill="1" applyBorder="1"/>
    <xf numFmtId="0" fontId="40" fillId="0" borderId="0" xfId="0" applyFont="1" applyFill="1"/>
    <xf numFmtId="0" fontId="39" fillId="6" borderId="0" xfId="0" applyFont="1" applyFill="1"/>
    <xf numFmtId="0" fontId="41" fillId="6" borderId="0" xfId="0" applyFont="1" applyFill="1"/>
    <xf numFmtId="0" fontId="1" fillId="6" borderId="1" xfId="0" applyFont="1" applyFill="1" applyBorder="1" applyAlignment="1">
      <alignment horizontal="center" vertical="top" wrapText="1"/>
    </xf>
    <xf numFmtId="0" fontId="42" fillId="0" borderId="0" xfId="0" applyFont="1" applyFill="1"/>
    <xf numFmtId="0" fontId="40" fillId="0" borderId="0" xfId="0" applyFont="1"/>
    <xf numFmtId="0" fontId="0" fillId="0" borderId="1" xfId="0" applyFont="1" applyFill="1" applyBorder="1"/>
    <xf numFmtId="0" fontId="43" fillId="0" borderId="1" xfId="0" applyFont="1" applyFill="1" applyBorder="1"/>
    <xf numFmtId="0" fontId="44" fillId="0" borderId="1" xfId="0" applyFont="1" applyFill="1" applyBorder="1"/>
    <xf numFmtId="0" fontId="45" fillId="0" borderId="0" xfId="0" applyFont="1" applyFill="1"/>
    <xf numFmtId="0" fontId="45" fillId="0" borderId="0" xfId="0" applyFont="1"/>
    <xf numFmtId="0" fontId="23" fillId="3" borderId="2" xfId="0" applyFont="1" applyFill="1" applyBorder="1"/>
    <xf numFmtId="0" fontId="46" fillId="0" borderId="0" xfId="0" applyFont="1"/>
    <xf numFmtId="0" fontId="47" fillId="0" borderId="2" xfId="0" applyFont="1" applyBorder="1" applyAlignment="1">
      <alignment horizontal="center" vertical="top" wrapText="1"/>
    </xf>
    <xf numFmtId="0" fontId="47" fillId="0" borderId="3" xfId="0" applyFont="1" applyBorder="1" applyAlignment="1">
      <alignment horizontal="center" vertical="top" wrapText="1"/>
    </xf>
    <xf numFmtId="0" fontId="48" fillId="7" borderId="4" xfId="0" applyFont="1" applyFill="1" applyBorder="1" applyAlignment="1">
      <alignment horizontal="center" vertical="top" wrapText="1"/>
    </xf>
    <xf numFmtId="0" fontId="48" fillId="7" borderId="5" xfId="0" applyFont="1" applyFill="1" applyBorder="1" applyAlignment="1">
      <alignment horizontal="center" vertical="top" wrapText="1"/>
    </xf>
    <xf numFmtId="0" fontId="47" fillId="0" borderId="4" xfId="0" applyFont="1" applyBorder="1" applyAlignment="1">
      <alignment horizontal="center" vertical="top" wrapText="1"/>
    </xf>
    <xf numFmtId="0" fontId="47" fillId="0" borderId="5" xfId="0" applyFont="1" applyBorder="1" applyAlignment="1">
      <alignment horizontal="center" vertical="top" wrapText="1"/>
    </xf>
    <xf numFmtId="0" fontId="0" fillId="7" borderId="0" xfId="0" applyFill="1"/>
    <xf numFmtId="0" fontId="1" fillId="0" borderId="26" xfId="0" applyFont="1" applyFill="1" applyBorder="1" applyAlignment="1">
      <alignment horizontal="center" vertical="top" wrapText="1"/>
    </xf>
    <xf numFmtId="0" fontId="49" fillId="2" borderId="4" xfId="0" applyFont="1" applyFill="1" applyBorder="1" applyAlignment="1">
      <alignment horizontal="right" vertical="top" wrapText="1"/>
    </xf>
    <xf numFmtId="0" fontId="49" fillId="2" borderId="5" xfId="0" applyFont="1" applyFill="1" applyBorder="1" applyAlignment="1">
      <alignment horizontal="right" vertical="top" wrapText="1"/>
    </xf>
    <xf numFmtId="0" fontId="0" fillId="0" borderId="0" xfId="0" applyAlignment="1"/>
    <xf numFmtId="0" fontId="0" fillId="0" borderId="28" xfId="0" applyBorder="1" applyAlignment="1">
      <alignment vertical="center"/>
    </xf>
    <xf numFmtId="0" fontId="0" fillId="0" borderId="19" xfId="0" applyBorder="1" applyAlignment="1">
      <alignment vertical="center"/>
    </xf>
    <xf numFmtId="0" fontId="25" fillId="0" borderId="0" xfId="0" applyFont="1" applyBorder="1" applyAlignment="1">
      <alignment horizontal="right" vertical="top" wrapText="1"/>
    </xf>
    <xf numFmtId="171" fontId="0" fillId="0" borderId="0" xfId="0" applyNumberFormat="1"/>
    <xf numFmtId="2" fontId="0" fillId="0" borderId="0" xfId="0" applyNumberFormat="1" applyBorder="1"/>
    <xf numFmtId="174" fontId="0" fillId="0" borderId="0" xfId="0" applyNumberFormat="1"/>
    <xf numFmtId="0" fontId="0" fillId="0" borderId="29" xfId="0" applyBorder="1" applyAlignment="1"/>
    <xf numFmtId="175" fontId="0" fillId="0" borderId="0" xfId="0" applyNumberFormat="1"/>
    <xf numFmtId="0" fontId="52" fillId="0" borderId="0" xfId="0" applyFont="1"/>
    <xf numFmtId="0" fontId="51" fillId="0" borderId="0" xfId="0" applyFont="1" applyAlignment="1"/>
    <xf numFmtId="0" fontId="1" fillId="3" borderId="1" xfId="0" applyFont="1" applyFill="1" applyBorder="1" applyAlignment="1">
      <alignment horizontal="right" vertical="top" wrapText="1"/>
    </xf>
    <xf numFmtId="2" fontId="0" fillId="0" borderId="20" xfId="0" applyNumberFormat="1" applyBorder="1"/>
    <xf numFmtId="0" fontId="22" fillId="3" borderId="20" xfId="0" applyFont="1" applyFill="1" applyBorder="1" applyAlignment="1">
      <alignment horizontal="right" vertical="top" wrapText="1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2" fontId="0" fillId="8" borderId="1" xfId="0" applyNumberFormat="1" applyFill="1" applyBorder="1"/>
    <xf numFmtId="0" fontId="0" fillId="8" borderId="18" xfId="0" applyFill="1" applyBorder="1"/>
    <xf numFmtId="0" fontId="0" fillId="8" borderId="1" xfId="0" applyFill="1" applyBorder="1"/>
    <xf numFmtId="0" fontId="25" fillId="8" borderId="26" xfId="0" applyFont="1" applyFill="1" applyBorder="1" applyAlignment="1">
      <alignment horizontal="right" vertical="top" wrapText="1"/>
    </xf>
    <xf numFmtId="0" fontId="0" fillId="8" borderId="0" xfId="0" applyFill="1"/>
    <xf numFmtId="170" fontId="0" fillId="0" borderId="1" xfId="0" applyNumberFormat="1" applyFont="1" applyBorder="1"/>
    <xf numFmtId="0" fontId="0" fillId="8" borderId="0" xfId="0" applyFill="1" applyAlignment="1">
      <alignment horizontal="center"/>
    </xf>
    <xf numFmtId="0" fontId="0" fillId="8" borderId="28" xfId="0" applyFill="1" applyBorder="1" applyAlignment="1">
      <alignment vertical="center"/>
    </xf>
    <xf numFmtId="0" fontId="0" fillId="8" borderId="28" xfId="0" applyFill="1" applyBorder="1"/>
    <xf numFmtId="0" fontId="0" fillId="8" borderId="19" xfId="0" applyFill="1" applyBorder="1"/>
    <xf numFmtId="173" fontId="0" fillId="0" borderId="1" xfId="0" applyNumberFormat="1" applyBorder="1"/>
    <xf numFmtId="0" fontId="25" fillId="0" borderId="13" xfId="0" applyFont="1" applyBorder="1" applyAlignment="1">
      <alignment horizontal="right" vertical="top" wrapText="1"/>
    </xf>
    <xf numFmtId="0" fontId="0" fillId="8" borderId="10" xfId="0" applyFill="1" applyBorder="1" applyAlignment="1">
      <alignment horizontal="center"/>
    </xf>
    <xf numFmtId="0" fontId="0" fillId="8" borderId="11" xfId="0" applyFill="1" applyBorder="1" applyAlignment="1">
      <alignment horizontal="center" vertical="center"/>
    </xf>
    <xf numFmtId="0" fontId="0" fillId="8" borderId="11" xfId="0" applyFill="1" applyBorder="1"/>
    <xf numFmtId="0" fontId="0" fillId="8" borderId="12" xfId="0" applyFill="1" applyBorder="1"/>
    <xf numFmtId="0" fontId="52" fillId="0" borderId="0" xfId="0" applyFont="1" applyAlignment="1">
      <alignment horizontal="left"/>
    </xf>
    <xf numFmtId="0" fontId="0" fillId="0" borderId="0" xfId="0" applyAlignment="1">
      <alignment horizontal="left"/>
    </xf>
    <xf numFmtId="0" fontId="52" fillId="0" borderId="0" xfId="0" applyFont="1" applyAlignment="1">
      <alignment horizontal="center"/>
    </xf>
    <xf numFmtId="0" fontId="0" fillId="8" borderId="27" xfId="0" applyFill="1" applyBorder="1" applyAlignment="1">
      <alignment vertical="center"/>
    </xf>
    <xf numFmtId="0" fontId="0" fillId="8" borderId="19" xfId="0" applyFill="1" applyBorder="1" applyAlignment="1">
      <alignment vertical="center"/>
    </xf>
    <xf numFmtId="0" fontId="25" fillId="0" borderId="30" xfId="0" applyFont="1" applyBorder="1" applyAlignment="1">
      <alignment horizontal="right" vertical="top" wrapText="1"/>
    </xf>
    <xf numFmtId="0" fontId="22" fillId="3" borderId="6" xfId="0" applyFont="1" applyFill="1" applyBorder="1" applyAlignment="1">
      <alignment horizontal="right" vertical="top" wrapText="1"/>
    </xf>
    <xf numFmtId="0" fontId="0" fillId="0" borderId="6" xfId="0" applyBorder="1"/>
    <xf numFmtId="0" fontId="0" fillId="0" borderId="9" xfId="0" applyBorder="1"/>
    <xf numFmtId="173" fontId="0" fillId="10" borderId="13" xfId="0" applyNumberFormat="1" applyFill="1" applyBorder="1"/>
    <xf numFmtId="173" fontId="0" fillId="10" borderId="14" xfId="0" applyNumberFormat="1" applyFill="1" applyBorder="1"/>
    <xf numFmtId="173" fontId="0" fillId="10" borderId="15" xfId="0" applyNumberFormat="1" applyFill="1" applyBorder="1"/>
    <xf numFmtId="173" fontId="0" fillId="10" borderId="17" xfId="0" applyNumberFormat="1" applyFill="1" applyBorder="1"/>
    <xf numFmtId="173" fontId="0" fillId="0" borderId="0" xfId="0" applyNumberFormat="1" applyBorder="1"/>
    <xf numFmtId="173" fontId="0" fillId="0" borderId="6" xfId="0" applyNumberFormat="1" applyBorder="1"/>
    <xf numFmtId="0" fontId="0" fillId="0" borderId="31" xfId="0" applyBorder="1"/>
    <xf numFmtId="0" fontId="0" fillId="8" borderId="32" xfId="0" applyFill="1" applyBorder="1"/>
    <xf numFmtId="0" fontId="0" fillId="8" borderId="2" xfId="0" applyFill="1" applyBorder="1" applyAlignment="1">
      <alignment horizontal="center"/>
    </xf>
    <xf numFmtId="0" fontId="0" fillId="3" borderId="19" xfId="0" applyFill="1" applyBorder="1"/>
    <xf numFmtId="0" fontId="0" fillId="3" borderId="0" xfId="0" applyFill="1"/>
    <xf numFmtId="0" fontId="0" fillId="8" borderId="18" xfId="0" applyFill="1" applyBorder="1" applyAlignment="1">
      <alignment horizontal="center"/>
    </xf>
    <xf numFmtId="0" fontId="22" fillId="3" borderId="18" xfId="0" applyFont="1" applyFill="1" applyBorder="1" applyAlignment="1">
      <alignment horizontal="right" vertical="top" wrapText="1"/>
    </xf>
    <xf numFmtId="0" fontId="1" fillId="3" borderId="18" xfId="0" applyFont="1" applyFill="1" applyBorder="1" applyAlignment="1">
      <alignment horizontal="right" vertical="top" wrapText="1"/>
    </xf>
    <xf numFmtId="0" fontId="22" fillId="3" borderId="19" xfId="0" applyFont="1" applyFill="1" applyBorder="1" applyAlignment="1">
      <alignment horizontal="right" vertical="top" wrapText="1"/>
    </xf>
    <xf numFmtId="0" fontId="0" fillId="8" borderId="33" xfId="0" applyFill="1" applyBorder="1"/>
    <xf numFmtId="0" fontId="25" fillId="8" borderId="1" xfId="0" applyFont="1" applyFill="1" applyBorder="1" applyAlignment="1">
      <alignment horizontal="right" vertical="top" wrapText="1"/>
    </xf>
    <xf numFmtId="2" fontId="0" fillId="0" borderId="6" xfId="0" applyNumberFormat="1" applyBorder="1"/>
    <xf numFmtId="0" fontId="0" fillId="0" borderId="34" xfId="0" applyBorder="1"/>
    <xf numFmtId="0" fontId="0" fillId="9" borderId="1" xfId="0" applyFill="1" applyBorder="1"/>
    <xf numFmtId="0" fontId="0" fillId="8" borderId="2" xfId="0" applyFill="1" applyBorder="1"/>
    <xf numFmtId="0" fontId="41" fillId="9" borderId="0" xfId="0" applyFont="1" applyFill="1" applyAlignment="1"/>
    <xf numFmtId="0" fontId="41" fillId="0" borderId="0" xfId="0" applyFont="1"/>
    <xf numFmtId="0" fontId="41" fillId="0" borderId="0" xfId="0" applyFont="1" applyAlignment="1">
      <alignment horizontal="center"/>
    </xf>
    <xf numFmtId="0" fontId="0" fillId="9" borderId="10" xfId="0" applyFill="1" applyBorder="1"/>
    <xf numFmtId="0" fontId="0" fillId="9" borderId="13" xfId="0" applyFill="1" applyBorder="1"/>
    <xf numFmtId="0" fontId="0" fillId="9" borderId="15" xfId="0" applyFill="1" applyBorder="1"/>
    <xf numFmtId="0" fontId="50" fillId="9" borderId="0" xfId="0" applyFont="1" applyFill="1" applyAlignment="1">
      <alignment horizontal="center"/>
    </xf>
    <xf numFmtId="0" fontId="0" fillId="9" borderId="35" xfId="0" applyFill="1" applyBorder="1"/>
    <xf numFmtId="172" fontId="0" fillId="0" borderId="1" xfId="0" applyNumberFormat="1" applyBorder="1"/>
    <xf numFmtId="0" fontId="0" fillId="9" borderId="0" xfId="0" applyFill="1" applyAlignment="1">
      <alignment horizontal="center"/>
    </xf>
    <xf numFmtId="0" fontId="0" fillId="9" borderId="11" xfId="0" applyFill="1" applyBorder="1" applyAlignment="1">
      <alignment horizontal="center" vertical="center"/>
    </xf>
    <xf numFmtId="2" fontId="0" fillId="9" borderId="11" xfId="0" applyNumberFormat="1" applyFill="1" applyBorder="1"/>
    <xf numFmtId="0" fontId="0" fillId="9" borderId="11" xfId="0" applyFill="1" applyBorder="1"/>
    <xf numFmtId="0" fontId="0" fillId="9" borderId="12" xfId="0" applyFill="1" applyBorder="1"/>
    <xf numFmtId="0" fontId="0" fillId="9" borderId="36" xfId="0" applyFill="1" applyBorder="1" applyAlignment="1">
      <alignment horizontal="center"/>
    </xf>
    <xf numFmtId="0" fontId="0" fillId="9" borderId="1" xfId="0" applyFill="1" applyBorder="1" applyAlignment="1">
      <alignment vertical="center"/>
    </xf>
    <xf numFmtId="0" fontId="30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5" fillId="8" borderId="1" xfId="0" applyFont="1" applyFill="1" applyBorder="1" applyAlignment="1">
      <alignment horizontal="center" vertical="top" wrapText="1"/>
    </xf>
    <xf numFmtId="0" fontId="52" fillId="9" borderId="0" xfId="0" applyFont="1" applyFill="1" applyAlignment="1">
      <alignment horizontal="center"/>
    </xf>
    <xf numFmtId="0" fontId="41" fillId="8" borderId="0" xfId="0" applyFont="1" applyFill="1" applyAlignment="1">
      <alignment horizontal="center"/>
    </xf>
    <xf numFmtId="0" fontId="56" fillId="9" borderId="0" xfId="0" applyFont="1" applyFill="1" applyAlignment="1">
      <alignment horizontal="center"/>
    </xf>
    <xf numFmtId="0" fontId="54" fillId="0" borderId="0" xfId="0" applyFont="1" applyAlignment="1">
      <alignment horizontal="center"/>
    </xf>
    <xf numFmtId="0" fontId="55" fillId="9" borderId="0" xfId="0" applyFont="1" applyFill="1" applyAlignment="1">
      <alignment horizontal="center"/>
    </xf>
    <xf numFmtId="0" fontId="41" fillId="0" borderId="0" xfId="0" applyFont="1" applyAlignment="1">
      <alignment horizontal="center"/>
    </xf>
    <xf numFmtId="0" fontId="0" fillId="9" borderId="0" xfId="0" applyFill="1" applyAlignment="1">
      <alignment horizontal="center"/>
    </xf>
    <xf numFmtId="0" fontId="0" fillId="9" borderId="0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5" fillId="8" borderId="27" xfId="0" applyFont="1" applyFill="1" applyBorder="1" applyAlignment="1">
      <alignment horizontal="center" vertical="top" wrapText="1"/>
    </xf>
    <xf numFmtId="0" fontId="25" fillId="8" borderId="2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3"/>
  <sheetViews>
    <sheetView topLeftCell="A43" workbookViewId="0">
      <selection activeCell="L7" sqref="L7"/>
    </sheetView>
  </sheetViews>
  <sheetFormatPr defaultRowHeight="15"/>
  <cols>
    <col min="1" max="1" width="31.28515625" customWidth="1"/>
  </cols>
  <sheetData>
    <row r="1" spans="1:12" ht="21.75" thickBot="1">
      <c r="A1" s="174" t="s">
        <v>180</v>
      </c>
      <c r="B1" s="175" t="s">
        <v>181</v>
      </c>
      <c r="C1" s="176" t="s">
        <v>182</v>
      </c>
      <c r="D1" s="176" t="s">
        <v>183</v>
      </c>
      <c r="E1" s="176" t="s">
        <v>184</v>
      </c>
      <c r="F1" s="176" t="s">
        <v>185</v>
      </c>
      <c r="G1" s="176" t="s">
        <v>186</v>
      </c>
      <c r="H1" s="176" t="s">
        <v>119</v>
      </c>
      <c r="I1" s="176" t="s">
        <v>187</v>
      </c>
      <c r="J1" s="176" t="s">
        <v>188</v>
      </c>
      <c r="K1" s="176" t="s">
        <v>189</v>
      </c>
      <c r="L1" s="176" t="s">
        <v>190</v>
      </c>
    </row>
    <row r="2" spans="1:12" ht="16.5" thickBot="1">
      <c r="B2" s="177">
        <v>1</v>
      </c>
      <c r="C2" s="178">
        <v>2</v>
      </c>
      <c r="D2" s="178">
        <v>3</v>
      </c>
      <c r="E2" s="178">
        <v>4</v>
      </c>
      <c r="F2" s="178">
        <v>5</v>
      </c>
      <c r="G2" s="178">
        <v>6</v>
      </c>
      <c r="H2" s="178">
        <v>7</v>
      </c>
      <c r="I2" s="178">
        <v>8</v>
      </c>
      <c r="J2" s="178">
        <v>9</v>
      </c>
      <c r="K2" s="178">
        <v>10</v>
      </c>
      <c r="L2" s="178">
        <v>11</v>
      </c>
    </row>
    <row r="3" spans="1:12" ht="16.5" thickBot="1">
      <c r="B3" s="179" t="s">
        <v>191</v>
      </c>
      <c r="C3" s="180" t="s">
        <v>192</v>
      </c>
      <c r="D3" s="180" t="s">
        <v>193</v>
      </c>
      <c r="E3" s="180" t="s">
        <v>194</v>
      </c>
      <c r="F3" s="180" t="s">
        <v>195</v>
      </c>
      <c r="G3" s="180" t="s">
        <v>196</v>
      </c>
      <c r="H3" s="180" t="s">
        <v>197</v>
      </c>
      <c r="I3" s="180" t="s">
        <v>198</v>
      </c>
      <c r="J3" s="180" t="s">
        <v>199</v>
      </c>
      <c r="K3" s="180" t="s">
        <v>200</v>
      </c>
      <c r="L3" s="180" t="s">
        <v>201</v>
      </c>
    </row>
    <row r="4" spans="1:12" ht="16.5" thickBot="1">
      <c r="B4" s="177">
        <v>12</v>
      </c>
      <c r="C4" s="178">
        <v>13</v>
      </c>
      <c r="D4" s="178">
        <v>14</v>
      </c>
      <c r="E4" s="178">
        <v>15</v>
      </c>
      <c r="F4" s="178">
        <v>16</v>
      </c>
      <c r="G4" s="178">
        <v>17</v>
      </c>
      <c r="H4" s="178">
        <v>18</v>
      </c>
      <c r="I4" s="178">
        <v>19</v>
      </c>
      <c r="J4" s="178">
        <v>20</v>
      </c>
      <c r="K4" s="178">
        <v>21</v>
      </c>
      <c r="L4" s="178">
        <v>22</v>
      </c>
    </row>
    <row r="5" spans="1:12" ht="16.5" thickBot="1">
      <c r="B5" s="179" t="s">
        <v>202</v>
      </c>
      <c r="C5" s="180" t="s">
        <v>142</v>
      </c>
      <c r="D5" s="180" t="s">
        <v>203</v>
      </c>
      <c r="E5" s="180" t="s">
        <v>204</v>
      </c>
      <c r="F5" s="180" t="s">
        <v>205</v>
      </c>
      <c r="G5" s="180" t="s">
        <v>206</v>
      </c>
      <c r="H5" s="180" t="s">
        <v>207</v>
      </c>
      <c r="I5" s="180" t="s">
        <v>208</v>
      </c>
      <c r="J5" s="180" t="s">
        <v>209</v>
      </c>
      <c r="K5" s="180" t="s">
        <v>210</v>
      </c>
      <c r="L5" s="180" t="s">
        <v>211</v>
      </c>
    </row>
    <row r="6" spans="1:12" ht="16.5" thickBot="1">
      <c r="B6" s="177">
        <v>23</v>
      </c>
      <c r="C6" s="178">
        <v>24</v>
      </c>
      <c r="D6" s="178">
        <v>25</v>
      </c>
      <c r="E6" s="178">
        <v>26</v>
      </c>
      <c r="F6" s="178">
        <v>27</v>
      </c>
      <c r="G6" s="178">
        <v>28</v>
      </c>
      <c r="H6" s="178">
        <v>29</v>
      </c>
      <c r="I6" s="178">
        <v>30</v>
      </c>
      <c r="J6" s="178">
        <v>31</v>
      </c>
      <c r="K6" s="178">
        <v>32</v>
      </c>
      <c r="L6" s="178">
        <v>33</v>
      </c>
    </row>
    <row r="8" spans="1:12">
      <c r="A8" s="181" t="s">
        <v>212</v>
      </c>
      <c r="B8" s="181" t="s">
        <v>181</v>
      </c>
      <c r="C8" s="181" t="s">
        <v>213</v>
      </c>
      <c r="D8" s="181" t="s">
        <v>214</v>
      </c>
      <c r="E8" s="181" t="s">
        <v>215</v>
      </c>
      <c r="F8" s="181" t="s">
        <v>216</v>
      </c>
      <c r="G8" t="s">
        <v>217</v>
      </c>
      <c r="H8">
        <f>SUM(B9:F9)</f>
        <v>48</v>
      </c>
      <c r="I8">
        <f>4+8</f>
        <v>12</v>
      </c>
      <c r="J8" s="181" t="s">
        <v>218</v>
      </c>
      <c r="K8">
        <f>1+2</f>
        <v>3</v>
      </c>
    </row>
    <row r="9" spans="1:12">
      <c r="B9">
        <f>B2</f>
        <v>1</v>
      </c>
      <c r="C9">
        <f>F4</f>
        <v>16</v>
      </c>
      <c r="D9">
        <f>B4</f>
        <v>12</v>
      </c>
      <c r="E9">
        <f>H4</f>
        <v>18</v>
      </c>
      <c r="F9">
        <f>B2</f>
        <v>1</v>
      </c>
    </row>
    <row r="10" spans="1:12">
      <c r="A10" t="s">
        <v>219</v>
      </c>
      <c r="B10">
        <f>B9*C9*D9*E9*F9</f>
        <v>3456</v>
      </c>
      <c r="D10">
        <f>3+4+5+6</f>
        <v>18</v>
      </c>
      <c r="J10" s="181" t="s">
        <v>220</v>
      </c>
      <c r="K10">
        <f>1+8</f>
        <v>9</v>
      </c>
    </row>
    <row r="12" spans="1:12">
      <c r="A12" t="s">
        <v>221</v>
      </c>
      <c r="B12" t="s">
        <v>195</v>
      </c>
      <c r="C12" t="s">
        <v>222</v>
      </c>
      <c r="D12" t="s">
        <v>223</v>
      </c>
      <c r="E12" t="s">
        <v>216</v>
      </c>
      <c r="F12" t="s">
        <v>224</v>
      </c>
      <c r="G12" t="s">
        <v>101</v>
      </c>
      <c r="H12">
        <f>SUM(B13:F13)</f>
        <v>85</v>
      </c>
      <c r="I12">
        <f>8+5</f>
        <v>13</v>
      </c>
    </row>
    <row r="13" spans="1:12">
      <c r="B13">
        <f>F4</f>
        <v>16</v>
      </c>
      <c r="C13">
        <f>C6</f>
        <v>24</v>
      </c>
      <c r="D13">
        <f>E4</f>
        <v>15</v>
      </c>
      <c r="E13">
        <f>B2</f>
        <v>1</v>
      </c>
      <c r="F13">
        <f>H6</f>
        <v>29</v>
      </c>
      <c r="J13" s="181" t="s">
        <v>225</v>
      </c>
      <c r="K13">
        <f>1+3</f>
        <v>4</v>
      </c>
    </row>
    <row r="15" spans="1:12">
      <c r="A15" t="s">
        <v>226</v>
      </c>
      <c r="B15">
        <f>B13*C13*D13*E13*F13</f>
        <v>167040</v>
      </c>
      <c r="D15">
        <f>1+6+7+4</f>
        <v>18</v>
      </c>
      <c r="J15" s="181" t="s">
        <v>227</v>
      </c>
      <c r="K15">
        <f>1+8</f>
        <v>9</v>
      </c>
    </row>
    <row r="17" spans="1:15">
      <c r="B17" t="s">
        <v>228</v>
      </c>
    </row>
    <row r="18" spans="1:15" ht="26.25" thickBot="1">
      <c r="A18" t="s">
        <v>229</v>
      </c>
      <c r="B18" s="2" t="s">
        <v>0</v>
      </c>
      <c r="C18" s="2" t="s">
        <v>1</v>
      </c>
      <c r="D18" s="2" t="s">
        <v>2</v>
      </c>
      <c r="E18" s="2" t="s">
        <v>3</v>
      </c>
      <c r="G18" s="182" t="s">
        <v>230</v>
      </c>
    </row>
    <row r="19" spans="1:15" ht="15.75" thickBot="1">
      <c r="A19">
        <v>1</v>
      </c>
      <c r="B19" s="26">
        <v>102.4</v>
      </c>
      <c r="C19" s="27">
        <v>2021.7</v>
      </c>
      <c r="D19" s="27">
        <v>117.5</v>
      </c>
      <c r="E19" s="27">
        <v>10.7</v>
      </c>
      <c r="G19" t="s">
        <v>231</v>
      </c>
      <c r="L19" s="2" t="s">
        <v>0</v>
      </c>
      <c r="M19" s="2" t="s">
        <v>1</v>
      </c>
      <c r="N19" s="2" t="s">
        <v>2</v>
      </c>
      <c r="O19" s="2" t="s">
        <v>3</v>
      </c>
    </row>
    <row r="20" spans="1:15" ht="15.75" thickBot="1">
      <c r="A20">
        <v>2</v>
      </c>
      <c r="B20" s="28">
        <v>90</v>
      </c>
      <c r="C20" s="29">
        <v>221</v>
      </c>
      <c r="D20" s="29">
        <v>20.6</v>
      </c>
      <c r="E20" s="29">
        <v>45.5</v>
      </c>
      <c r="K20">
        <v>1</v>
      </c>
      <c r="L20" s="26">
        <v>102.4</v>
      </c>
      <c r="M20" s="27">
        <v>2021.7</v>
      </c>
      <c r="N20" s="27">
        <v>117.5</v>
      </c>
      <c r="O20" s="27">
        <v>10.7</v>
      </c>
    </row>
    <row r="21" spans="1:15" ht="15.75" thickBot="1">
      <c r="A21" s="11">
        <v>3</v>
      </c>
      <c r="B21" s="28">
        <v>34.700000000000003</v>
      </c>
      <c r="C21" s="29">
        <v>1222.7</v>
      </c>
      <c r="D21" s="29">
        <v>17.600000000000001</v>
      </c>
      <c r="E21" s="29">
        <v>25.1</v>
      </c>
      <c r="G21" t="s">
        <v>232</v>
      </c>
      <c r="K21">
        <v>2</v>
      </c>
      <c r="L21" s="28">
        <v>90</v>
      </c>
      <c r="M21" s="29">
        <v>221</v>
      </c>
      <c r="N21" s="29">
        <v>20.6</v>
      </c>
      <c r="O21" s="29">
        <v>45.5</v>
      </c>
    </row>
    <row r="22" spans="1:15" ht="15.75" thickBot="1">
      <c r="A22">
        <v>4</v>
      </c>
      <c r="B22" s="28">
        <v>25.3</v>
      </c>
      <c r="C22" s="29">
        <v>239</v>
      </c>
      <c r="D22" s="29">
        <v>11.6</v>
      </c>
      <c r="E22" s="29">
        <v>22.6</v>
      </c>
      <c r="G22" t="s">
        <v>233</v>
      </c>
      <c r="K22" s="11">
        <v>3</v>
      </c>
      <c r="L22" s="28">
        <v>34.700000000000003</v>
      </c>
      <c r="M22" s="29">
        <v>1222.7</v>
      </c>
      <c r="N22" s="29">
        <v>17.600000000000001</v>
      </c>
      <c r="O22" s="29">
        <v>25.1</v>
      </c>
    </row>
    <row r="23" spans="1:15" ht="15.75" thickBot="1">
      <c r="A23">
        <v>5</v>
      </c>
      <c r="B23" s="28">
        <v>23.3</v>
      </c>
      <c r="C23" s="29">
        <v>123.9</v>
      </c>
      <c r="D23" s="29">
        <v>3.7</v>
      </c>
      <c r="E23" s="29">
        <v>10.7</v>
      </c>
      <c r="K23">
        <v>4</v>
      </c>
      <c r="L23" s="28">
        <v>25.3</v>
      </c>
      <c r="M23" s="29">
        <v>239</v>
      </c>
      <c r="N23" s="29">
        <v>11.6</v>
      </c>
      <c r="O23" s="29">
        <v>22.6</v>
      </c>
    </row>
    <row r="24" spans="1:15" ht="15.75" thickBot="1">
      <c r="A24">
        <v>6</v>
      </c>
      <c r="B24" s="28">
        <v>23</v>
      </c>
      <c r="C24" s="29">
        <v>594.70000000000005</v>
      </c>
      <c r="D24" s="29">
        <v>8.9</v>
      </c>
      <c r="E24" s="29">
        <v>36.200000000000003</v>
      </c>
      <c r="K24">
        <v>5</v>
      </c>
      <c r="L24" s="28">
        <v>23.3</v>
      </c>
      <c r="M24" s="29">
        <v>123.9</v>
      </c>
      <c r="N24" s="29">
        <v>3.7</v>
      </c>
      <c r="O24" s="29">
        <v>10.7</v>
      </c>
    </row>
    <row r="25" spans="1:15" ht="15.75" thickBot="1">
      <c r="A25">
        <v>7</v>
      </c>
      <c r="B25" s="28">
        <v>25.5</v>
      </c>
      <c r="C25" s="29">
        <v>28.4</v>
      </c>
      <c r="D25" s="29">
        <v>12.3</v>
      </c>
      <c r="E25" s="29">
        <v>23.9</v>
      </c>
      <c r="K25">
        <v>6</v>
      </c>
      <c r="L25" s="28">
        <v>23</v>
      </c>
      <c r="M25" s="29">
        <v>594.70000000000005</v>
      </c>
      <c r="N25" s="29">
        <v>8.9</v>
      </c>
      <c r="O25" s="29">
        <v>36.200000000000003</v>
      </c>
    </row>
    <row r="26" spans="1:15" ht="15.75" thickBot="1">
      <c r="A26">
        <v>8</v>
      </c>
      <c r="B26" s="28">
        <v>22.3</v>
      </c>
      <c r="C26" s="29">
        <v>166.2</v>
      </c>
      <c r="D26" s="29">
        <v>9.6</v>
      </c>
      <c r="E26" s="29">
        <v>39.700000000000003</v>
      </c>
      <c r="K26">
        <v>7</v>
      </c>
      <c r="L26" s="28">
        <v>25.5</v>
      </c>
      <c r="M26" s="29">
        <v>28.4</v>
      </c>
      <c r="N26" s="29">
        <v>12.3</v>
      </c>
      <c r="O26" s="29">
        <v>23.9</v>
      </c>
    </row>
    <row r="27" spans="1:15" ht="15.75" thickBot="1">
      <c r="A27">
        <v>9</v>
      </c>
      <c r="B27" s="28">
        <v>21.9</v>
      </c>
      <c r="C27" s="29">
        <v>134.9</v>
      </c>
      <c r="D27" s="29">
        <v>37.6</v>
      </c>
      <c r="E27" s="29">
        <v>42.7</v>
      </c>
      <c r="K27">
        <v>8</v>
      </c>
      <c r="L27" s="28">
        <v>22.3</v>
      </c>
      <c r="M27" s="29">
        <v>166.2</v>
      </c>
      <c r="N27" s="29">
        <v>9.6</v>
      </c>
      <c r="O27" s="29">
        <v>39.700000000000003</v>
      </c>
    </row>
    <row r="28" spans="1:15" ht="15.75" thickBot="1">
      <c r="A28">
        <v>10</v>
      </c>
      <c r="B28" s="28">
        <v>21.4</v>
      </c>
      <c r="C28" s="29">
        <v>331.8</v>
      </c>
      <c r="D28" s="29">
        <v>35.200000000000003</v>
      </c>
      <c r="E28" s="29">
        <v>57.5</v>
      </c>
      <c r="K28">
        <v>9</v>
      </c>
      <c r="L28" s="28">
        <v>21.9</v>
      </c>
      <c r="M28" s="29">
        <v>134.9</v>
      </c>
      <c r="N28" s="29">
        <v>37.6</v>
      </c>
      <c r="O28" s="29">
        <v>42.7</v>
      </c>
    </row>
    <row r="29" spans="1:15" ht="15.75" thickBot="1">
      <c r="A29">
        <v>11</v>
      </c>
      <c r="B29" s="183">
        <v>21.2</v>
      </c>
      <c r="C29" s="184">
        <v>27.7</v>
      </c>
      <c r="D29" s="184">
        <v>115.7</v>
      </c>
      <c r="E29" s="184">
        <v>134.6</v>
      </c>
      <c r="F29" t="s">
        <v>234</v>
      </c>
      <c r="K29">
        <v>10</v>
      </c>
      <c r="L29" s="28">
        <v>21.4</v>
      </c>
      <c r="M29" s="29">
        <v>331.8</v>
      </c>
      <c r="N29" s="29">
        <v>35.200000000000003</v>
      </c>
      <c r="O29" s="29">
        <v>57.5</v>
      </c>
    </row>
    <row r="30" spans="1:15" ht="15.75" thickBot="1">
      <c r="A30">
        <v>12</v>
      </c>
      <c r="B30" s="28">
        <v>22.2</v>
      </c>
      <c r="C30" s="29">
        <v>59.4</v>
      </c>
      <c r="D30" s="29">
        <v>11</v>
      </c>
      <c r="E30" s="29">
        <v>22</v>
      </c>
      <c r="K30">
        <v>11</v>
      </c>
      <c r="L30" s="28">
        <v>22.2</v>
      </c>
      <c r="M30" s="29">
        <v>59.4</v>
      </c>
      <c r="N30" s="29">
        <v>11</v>
      </c>
      <c r="O30" s="29">
        <v>22</v>
      </c>
    </row>
    <row r="31" spans="1:15" ht="15.75" thickBot="1">
      <c r="A31">
        <v>13</v>
      </c>
      <c r="B31" s="28">
        <v>20</v>
      </c>
      <c r="C31" s="29">
        <v>161.5</v>
      </c>
      <c r="D31" s="29">
        <v>44.2</v>
      </c>
      <c r="E31" s="29">
        <v>67.400000000000006</v>
      </c>
      <c r="K31">
        <v>12</v>
      </c>
      <c r="L31" s="28">
        <v>20</v>
      </c>
      <c r="M31" s="29">
        <v>161.5</v>
      </c>
      <c r="N31" s="29">
        <v>44.2</v>
      </c>
      <c r="O31" s="29">
        <v>67.400000000000006</v>
      </c>
    </row>
    <row r="32" spans="1:15" ht="15.75" thickBot="1">
      <c r="A32">
        <v>14</v>
      </c>
      <c r="B32" s="28">
        <v>18.600000000000001</v>
      </c>
      <c r="C32" s="29">
        <v>137.9</v>
      </c>
      <c r="D32" s="29">
        <v>11.2</v>
      </c>
      <c r="E32" s="29">
        <v>40.4</v>
      </c>
      <c r="K32">
        <v>13</v>
      </c>
      <c r="L32" s="28">
        <v>18.600000000000001</v>
      </c>
      <c r="M32" s="29">
        <v>137.9</v>
      </c>
      <c r="N32" s="29">
        <v>11.2</v>
      </c>
      <c r="O32" s="29">
        <v>40.4</v>
      </c>
    </row>
    <row r="33" spans="1:15" ht="15.75" thickBot="1">
      <c r="A33">
        <v>15</v>
      </c>
      <c r="B33" s="28">
        <v>16.600000000000001</v>
      </c>
      <c r="C33" s="29">
        <v>211.9</v>
      </c>
      <c r="D33" s="29">
        <v>38.799999999999997</v>
      </c>
      <c r="E33" s="29">
        <v>52.4</v>
      </c>
      <c r="K33">
        <v>14</v>
      </c>
      <c r="L33" s="28">
        <v>16.600000000000001</v>
      </c>
      <c r="M33" s="29">
        <v>211.9</v>
      </c>
      <c r="N33" s="29">
        <v>38.799999999999997</v>
      </c>
      <c r="O33" s="29">
        <v>52.4</v>
      </c>
    </row>
    <row r="34" spans="1:15" ht="15.75" thickBot="1">
      <c r="A34">
        <v>16</v>
      </c>
      <c r="B34" s="183">
        <v>13.1</v>
      </c>
      <c r="C34" s="184">
        <v>106.6</v>
      </c>
      <c r="D34" s="184">
        <v>32</v>
      </c>
      <c r="E34" s="184">
        <v>67.099999999999994</v>
      </c>
      <c r="F34" t="s">
        <v>105</v>
      </c>
      <c r="K34">
        <v>15</v>
      </c>
      <c r="L34" s="28">
        <v>15.2</v>
      </c>
      <c r="M34" s="29">
        <v>294.7</v>
      </c>
      <c r="N34" s="29">
        <v>12.7</v>
      </c>
      <c r="O34" s="29">
        <v>29.3</v>
      </c>
    </row>
    <row r="35" spans="1:15" ht="15.75" thickBot="1">
      <c r="A35">
        <v>17</v>
      </c>
      <c r="B35" s="28">
        <v>15.2</v>
      </c>
      <c r="C35" s="29">
        <v>294.7</v>
      </c>
      <c r="D35" s="29">
        <v>12.7</v>
      </c>
      <c r="E35" s="29">
        <v>29.3</v>
      </c>
      <c r="I35" t="s">
        <v>235</v>
      </c>
      <c r="J35">
        <v>17</v>
      </c>
      <c r="K35">
        <v>16</v>
      </c>
      <c r="L35" s="28">
        <v>15</v>
      </c>
      <c r="M35" s="29">
        <v>37.6</v>
      </c>
      <c r="N35" s="29">
        <v>23.8</v>
      </c>
      <c r="O35" s="29">
        <v>37</v>
      </c>
    </row>
    <row r="36" spans="1:15" ht="15.75" thickBot="1">
      <c r="A36">
        <v>18</v>
      </c>
      <c r="B36" s="28">
        <v>15</v>
      </c>
      <c r="C36" s="29">
        <v>37.6</v>
      </c>
      <c r="D36" s="29">
        <v>23.8</v>
      </c>
      <c r="E36" s="29">
        <v>37</v>
      </c>
      <c r="I36" t="s">
        <v>236</v>
      </c>
      <c r="J36">
        <v>3</v>
      </c>
      <c r="K36">
        <v>17</v>
      </c>
      <c r="L36" s="28">
        <v>12.9</v>
      </c>
      <c r="M36" s="29">
        <v>106.6</v>
      </c>
      <c r="N36" s="29">
        <v>5</v>
      </c>
      <c r="O36" s="29">
        <v>23.6</v>
      </c>
    </row>
    <row r="37" spans="1:15" ht="15.75" thickBot="1">
      <c r="A37">
        <v>19</v>
      </c>
      <c r="B37" s="28">
        <v>12.9</v>
      </c>
      <c r="C37" s="29">
        <v>106.6</v>
      </c>
      <c r="D37" s="29">
        <v>5</v>
      </c>
      <c r="E37" s="29">
        <v>23.6</v>
      </c>
      <c r="K37" t="s">
        <v>237</v>
      </c>
      <c r="L37">
        <f>SUM(L20:L36)/J35</f>
        <v>30.017647058823531</v>
      </c>
      <c r="M37">
        <f>SUM(M20:M36)/J35</f>
        <v>358.46470588235286</v>
      </c>
      <c r="N37">
        <f>SUM(N20:N36)/J35</f>
        <v>24.78235294117647</v>
      </c>
      <c r="O37">
        <f>SUM(O20:O36)</f>
        <v>586.69999999999993</v>
      </c>
    </row>
    <row r="38" spans="1:15">
      <c r="A38" s="31"/>
      <c r="B38" s="4"/>
      <c r="C38" s="4"/>
      <c r="D38" s="4"/>
      <c r="E38" s="4"/>
      <c r="F38" s="31"/>
    </row>
    <row r="39" spans="1:15">
      <c r="A39" s="31"/>
      <c r="B39" s="4"/>
      <c r="C39" s="4"/>
      <c r="D39" s="4"/>
      <c r="E39" s="4"/>
      <c r="F39" s="31"/>
    </row>
    <row r="40" spans="1:15">
      <c r="A40" s="31"/>
      <c r="B40" s="4"/>
      <c r="C40" s="4"/>
      <c r="D40" s="4"/>
      <c r="E40" s="4"/>
      <c r="F40" s="31"/>
    </row>
    <row r="41" spans="1:15">
      <c r="A41" s="31"/>
      <c r="B41" s="4"/>
      <c r="C41" s="4"/>
      <c r="D41" s="4"/>
      <c r="E41" s="4"/>
      <c r="F41" s="31"/>
    </row>
    <row r="42" spans="1:15">
      <c r="A42" s="31"/>
      <c r="B42" s="4"/>
      <c r="C42" s="4"/>
      <c r="D42" s="4"/>
      <c r="E42" s="4"/>
      <c r="F42" s="31"/>
    </row>
    <row r="43" spans="1:15">
      <c r="A43" s="31"/>
      <c r="B43" s="4"/>
      <c r="C43" s="4"/>
      <c r="D43" s="4"/>
      <c r="E43" s="4"/>
      <c r="F43" s="3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15"/>
  <sheetViews>
    <sheetView topLeftCell="A121" workbookViewId="0">
      <selection activeCell="D36" sqref="D36"/>
    </sheetView>
  </sheetViews>
  <sheetFormatPr defaultRowHeight="15"/>
  <cols>
    <col min="1" max="1" width="12.7109375" customWidth="1"/>
    <col min="12" max="13" width="9" bestFit="1" customWidth="1"/>
    <col min="14" max="14" width="12.7109375" bestFit="1" customWidth="1"/>
    <col min="15" max="15" width="11.28515625" customWidth="1"/>
  </cols>
  <sheetData>
    <row r="1" spans="1:18" ht="15.75" thickBot="1">
      <c r="A1" s="1" t="s">
        <v>81</v>
      </c>
      <c r="B1" s="2" t="s">
        <v>0</v>
      </c>
      <c r="C1" s="2" t="s">
        <v>1</v>
      </c>
      <c r="D1" s="2" t="s">
        <v>2</v>
      </c>
      <c r="E1" s="2" t="s">
        <v>3</v>
      </c>
      <c r="H1" s="3" t="s">
        <v>4</v>
      </c>
      <c r="I1" s="3" t="s">
        <v>0</v>
      </c>
      <c r="J1" s="3" t="s">
        <v>1</v>
      </c>
      <c r="K1" s="3" t="s">
        <v>2</v>
      </c>
    </row>
    <row r="2" spans="1:18" ht="15.75" thickBot="1">
      <c r="A2" s="1">
        <v>1</v>
      </c>
      <c r="B2" s="26">
        <v>102.4</v>
      </c>
      <c r="C2" s="27">
        <v>2021.7</v>
      </c>
      <c r="D2" s="27">
        <v>117.5</v>
      </c>
      <c r="E2" s="27">
        <v>10.7</v>
      </c>
      <c r="H2" s="1">
        <v>1</v>
      </c>
      <c r="I2" s="26">
        <v>102.4</v>
      </c>
      <c r="J2" s="27">
        <v>2021.7</v>
      </c>
      <c r="K2" s="27">
        <v>117.5</v>
      </c>
      <c r="L2" s="4"/>
    </row>
    <row r="3" spans="1:18" ht="15.75" thickBot="1">
      <c r="A3" s="1">
        <v>2</v>
      </c>
      <c r="B3" s="28">
        <v>90</v>
      </c>
      <c r="C3" s="29">
        <v>221</v>
      </c>
      <c r="D3" s="29">
        <v>20.6</v>
      </c>
      <c r="E3" s="29">
        <v>45.5</v>
      </c>
      <c r="H3" s="1">
        <v>1</v>
      </c>
      <c r="I3" s="28">
        <v>90</v>
      </c>
      <c r="J3" s="29">
        <v>221</v>
      </c>
      <c r="K3" s="29">
        <v>20.6</v>
      </c>
      <c r="L3" s="4"/>
    </row>
    <row r="4" spans="1:18" ht="15.75" thickBot="1">
      <c r="A4" s="5">
        <v>3</v>
      </c>
      <c r="B4" s="28">
        <v>34.700000000000003</v>
      </c>
      <c r="C4" s="29">
        <v>1222.7</v>
      </c>
      <c r="D4" s="29">
        <v>17.600000000000001</v>
      </c>
      <c r="E4" s="29">
        <v>25.1</v>
      </c>
      <c r="H4" s="1">
        <v>1</v>
      </c>
      <c r="I4" s="28">
        <v>34.700000000000003</v>
      </c>
      <c r="J4" s="29">
        <v>1222.7</v>
      </c>
      <c r="K4" s="29">
        <v>17.600000000000001</v>
      </c>
      <c r="L4" s="4"/>
    </row>
    <row r="5" spans="1:18" ht="15.75" thickBot="1">
      <c r="A5" s="1">
        <v>4</v>
      </c>
      <c r="B5" s="28">
        <v>25.3</v>
      </c>
      <c r="C5" s="29">
        <v>239</v>
      </c>
      <c r="D5" s="29">
        <v>11.6</v>
      </c>
      <c r="E5" s="29">
        <v>22.6</v>
      </c>
      <c r="H5" s="6">
        <v>1</v>
      </c>
      <c r="I5" s="28">
        <v>25.3</v>
      </c>
      <c r="J5" s="29">
        <v>239</v>
      </c>
      <c r="K5" s="29">
        <v>11.6</v>
      </c>
      <c r="N5" t="s">
        <v>5</v>
      </c>
    </row>
    <row r="6" spans="1:18" ht="15.75" thickBot="1">
      <c r="A6" s="1">
        <v>5</v>
      </c>
      <c r="B6" s="28">
        <v>23.3</v>
      </c>
      <c r="C6" s="29">
        <v>123.9</v>
      </c>
      <c r="D6" s="29">
        <v>3.7</v>
      </c>
      <c r="E6" s="29">
        <v>10.7</v>
      </c>
      <c r="H6" s="6">
        <v>1</v>
      </c>
      <c r="I6" s="28">
        <v>23.3</v>
      </c>
      <c r="J6" s="29">
        <v>123.9</v>
      </c>
      <c r="K6" s="29">
        <v>3.7</v>
      </c>
    </row>
    <row r="7" spans="1:18" ht="15.75" thickBot="1">
      <c r="A7" s="1">
        <v>6</v>
      </c>
      <c r="B7" s="28">
        <v>23</v>
      </c>
      <c r="C7" s="29">
        <v>594.70000000000005</v>
      </c>
      <c r="D7" s="29">
        <v>8.9</v>
      </c>
      <c r="E7" s="29">
        <v>36.200000000000003</v>
      </c>
      <c r="H7" s="6">
        <v>1</v>
      </c>
      <c r="I7" s="28">
        <v>23</v>
      </c>
      <c r="J7" s="29">
        <v>594.70000000000005</v>
      </c>
      <c r="K7" s="29">
        <v>8.9</v>
      </c>
      <c r="N7" s="6">
        <v>1</v>
      </c>
      <c r="O7" s="1">
        <f>CORREL(B2:B18,C2:C18)</f>
        <v>0.67055973420056481</v>
      </c>
      <c r="P7" s="1">
        <f>CORREL(B2:B18,D2:D18)</f>
        <v>0.64708734379525212</v>
      </c>
      <c r="R7" s="1">
        <f>CORREL($E$2:$E$18,B2:B18)</f>
        <v>-0.22924669127654815</v>
      </c>
    </row>
    <row r="8" spans="1:18" ht="15.75" thickBot="1">
      <c r="A8" s="1">
        <v>7</v>
      </c>
      <c r="B8" s="28">
        <v>25.5</v>
      </c>
      <c r="C8" s="29">
        <v>28.4</v>
      </c>
      <c r="D8" s="29">
        <v>12.3</v>
      </c>
      <c r="E8" s="29">
        <v>23.9</v>
      </c>
      <c r="H8" s="6">
        <v>1</v>
      </c>
      <c r="I8" s="28">
        <v>25.5</v>
      </c>
      <c r="J8" s="29">
        <v>28.4</v>
      </c>
      <c r="K8" s="29">
        <v>12.3</v>
      </c>
      <c r="N8" s="1">
        <f>O7</f>
        <v>0.67055973420056481</v>
      </c>
      <c r="O8" s="1">
        <v>1</v>
      </c>
      <c r="P8" s="1">
        <f>CORREL(C2:C18,D2:D18)</f>
        <v>0.73188284982318352</v>
      </c>
      <c r="R8" s="1">
        <f>CORREL($E$2:$E$23,C2:C23)</f>
        <v>-0.35654624201279994</v>
      </c>
    </row>
    <row r="9" spans="1:18" ht="15.75" thickBot="1">
      <c r="A9" s="1">
        <v>8</v>
      </c>
      <c r="B9" s="28">
        <v>22.3</v>
      </c>
      <c r="C9" s="29">
        <v>166.2</v>
      </c>
      <c r="D9" s="29">
        <v>9.6</v>
      </c>
      <c r="E9" s="29">
        <v>39.700000000000003</v>
      </c>
      <c r="G9" t="s">
        <v>6</v>
      </c>
      <c r="H9" s="6">
        <v>1</v>
      </c>
      <c r="I9" s="28">
        <v>22.3</v>
      </c>
      <c r="J9" s="29">
        <v>166.2</v>
      </c>
      <c r="K9" s="29">
        <v>9.6</v>
      </c>
      <c r="N9" s="1">
        <f>P7</f>
        <v>0.64708734379525212</v>
      </c>
      <c r="O9" s="1">
        <f>P8</f>
        <v>0.73188284982318352</v>
      </c>
      <c r="P9" s="1">
        <v>1</v>
      </c>
      <c r="R9" s="1">
        <f>CORREL($E$2:$E$23,D2:D23)</f>
        <v>1.5044819026466203E-2</v>
      </c>
    </row>
    <row r="10" spans="1:18" ht="15.75" thickBot="1">
      <c r="A10" s="1">
        <v>9</v>
      </c>
      <c r="B10" s="28">
        <v>21.9</v>
      </c>
      <c r="C10" s="29">
        <v>134.9</v>
      </c>
      <c r="D10" s="29">
        <v>37.6</v>
      </c>
      <c r="E10" s="29">
        <v>42.7</v>
      </c>
      <c r="H10" s="6">
        <v>1</v>
      </c>
      <c r="I10" s="28">
        <v>21.9</v>
      </c>
      <c r="J10" s="29">
        <v>134.9</v>
      </c>
      <c r="K10" s="29">
        <v>37.6</v>
      </c>
    </row>
    <row r="11" spans="1:18" ht="15.75" thickBot="1">
      <c r="A11" s="1">
        <v>10</v>
      </c>
      <c r="B11" s="28">
        <v>21.4</v>
      </c>
      <c r="C11" s="29">
        <v>331.8</v>
      </c>
      <c r="D11" s="29">
        <v>35.200000000000003</v>
      </c>
      <c r="E11" s="29">
        <v>57.5</v>
      </c>
      <c r="G11" t="s">
        <v>7</v>
      </c>
      <c r="H11" s="6">
        <v>1</v>
      </c>
      <c r="I11" s="28">
        <v>21.4</v>
      </c>
      <c r="J11" s="29">
        <v>331.8</v>
      </c>
      <c r="K11" s="29">
        <v>35.200000000000003</v>
      </c>
    </row>
    <row r="12" spans="1:18" ht="15.75" thickBot="1">
      <c r="A12" s="1">
        <v>11</v>
      </c>
      <c r="B12" s="28">
        <v>22.2</v>
      </c>
      <c r="C12" s="29">
        <v>59.4</v>
      </c>
      <c r="D12" s="29">
        <v>11</v>
      </c>
      <c r="E12" s="29">
        <v>22</v>
      </c>
      <c r="H12" s="6">
        <v>1</v>
      </c>
      <c r="I12" s="28">
        <v>22.2</v>
      </c>
      <c r="J12" s="29">
        <v>59.4</v>
      </c>
      <c r="K12" s="29">
        <v>11</v>
      </c>
    </row>
    <row r="13" spans="1:18" ht="15.75" thickBot="1">
      <c r="A13" s="1">
        <v>12</v>
      </c>
      <c r="B13" s="28">
        <v>20</v>
      </c>
      <c r="C13" s="29">
        <v>161.5</v>
      </c>
      <c r="D13" s="29">
        <v>44.2</v>
      </c>
      <c r="E13" s="29">
        <v>67.400000000000006</v>
      </c>
      <c r="H13" s="6">
        <v>1</v>
      </c>
      <c r="I13" s="28">
        <v>20</v>
      </c>
      <c r="J13" s="29">
        <v>161.5</v>
      </c>
      <c r="K13" s="29">
        <v>44.2</v>
      </c>
    </row>
    <row r="14" spans="1:18" ht="15.75" thickBot="1">
      <c r="A14" s="1">
        <v>13</v>
      </c>
      <c r="B14" s="28">
        <v>18.600000000000001</v>
      </c>
      <c r="C14" s="29">
        <v>137.9</v>
      </c>
      <c r="D14" s="29">
        <v>11.2</v>
      </c>
      <c r="E14" s="29">
        <v>40.4</v>
      </c>
      <c r="H14" s="6">
        <v>1</v>
      </c>
      <c r="I14" s="28">
        <v>18.600000000000001</v>
      </c>
      <c r="J14" s="29">
        <v>137.9</v>
      </c>
      <c r="K14" s="29">
        <v>11.2</v>
      </c>
    </row>
    <row r="15" spans="1:18" ht="15.75" thickBot="1">
      <c r="A15" s="1">
        <v>14</v>
      </c>
      <c r="B15" s="28">
        <v>16.600000000000001</v>
      </c>
      <c r="C15" s="29">
        <v>211.9</v>
      </c>
      <c r="D15" s="29">
        <v>38.799999999999997</v>
      </c>
      <c r="E15" s="29">
        <v>52.4</v>
      </c>
      <c r="H15" s="6">
        <v>1</v>
      </c>
      <c r="I15" s="28">
        <v>16.600000000000001</v>
      </c>
      <c r="J15" s="29">
        <v>211.9</v>
      </c>
      <c r="K15" s="29">
        <v>38.799999999999997</v>
      </c>
    </row>
    <row r="16" spans="1:18" ht="15.75" thickBot="1">
      <c r="A16" s="1">
        <v>15</v>
      </c>
      <c r="B16" s="28">
        <v>15.2</v>
      </c>
      <c r="C16" s="29">
        <v>294.7</v>
      </c>
      <c r="D16" s="29">
        <v>12.7</v>
      </c>
      <c r="E16" s="29">
        <v>29.3</v>
      </c>
      <c r="H16" s="6">
        <v>1</v>
      </c>
      <c r="I16" s="28">
        <v>15.2</v>
      </c>
      <c r="J16" s="29">
        <v>294.7</v>
      </c>
      <c r="K16" s="29">
        <v>12.7</v>
      </c>
    </row>
    <row r="17" spans="1:24" ht="15.75" thickBot="1">
      <c r="A17" s="1">
        <v>16</v>
      </c>
      <c r="B17" s="28">
        <v>15</v>
      </c>
      <c r="C17" s="29">
        <v>37.6</v>
      </c>
      <c r="D17" s="29">
        <v>23.8</v>
      </c>
      <c r="E17" s="29">
        <v>37</v>
      </c>
      <c r="H17" s="6">
        <v>1</v>
      </c>
      <c r="I17" s="28">
        <v>15</v>
      </c>
      <c r="J17" s="29">
        <v>37.6</v>
      </c>
      <c r="K17" s="29">
        <v>23.8</v>
      </c>
    </row>
    <row r="18" spans="1:24" ht="15.75" thickBot="1">
      <c r="A18" s="1">
        <v>17</v>
      </c>
      <c r="B18" s="28">
        <v>12.9</v>
      </c>
      <c r="C18" s="29">
        <v>106.6</v>
      </c>
      <c r="D18" s="29">
        <v>5</v>
      </c>
      <c r="E18" s="29">
        <v>23.6</v>
      </c>
      <c r="H18" s="30">
        <v>1</v>
      </c>
      <c r="I18" s="34">
        <v>12.9</v>
      </c>
      <c r="J18" s="35">
        <v>106.6</v>
      </c>
      <c r="K18" s="35">
        <v>5</v>
      </c>
    </row>
    <row r="19" spans="1:24">
      <c r="A19" s="8" t="s">
        <v>8</v>
      </c>
      <c r="B19" s="9">
        <f>AVERAGE(B2:B18)</f>
        <v>30.017647058823531</v>
      </c>
      <c r="C19" s="9">
        <f>AVERAGE(C2:C18)</f>
        <v>358.46470588235286</v>
      </c>
      <c r="D19" s="9">
        <f>AVERAGE(D2:D18)</f>
        <v>24.78235294117647</v>
      </c>
      <c r="E19" s="9">
        <f>AVERAGE(E2:E18)</f>
        <v>34.511764705882349</v>
      </c>
      <c r="G19" s="31"/>
      <c r="H19" s="32"/>
      <c r="I19" s="33"/>
      <c r="J19" s="33"/>
      <c r="K19" s="33"/>
      <c r="L19" s="31"/>
    </row>
    <row r="20" spans="1:24">
      <c r="A20" s="31"/>
      <c r="B20" s="4"/>
      <c r="C20" s="4"/>
      <c r="D20" s="4"/>
      <c r="E20" s="4"/>
      <c r="F20" s="31"/>
      <c r="G20" s="31"/>
      <c r="H20" s="32"/>
      <c r="I20" s="33"/>
      <c r="J20" s="33"/>
      <c r="K20" s="33"/>
      <c r="L20" s="31"/>
    </row>
    <row r="21" spans="1:24">
      <c r="A21" s="31"/>
      <c r="B21" s="4"/>
      <c r="C21" s="4"/>
      <c r="D21" s="4"/>
      <c r="E21" s="4"/>
      <c r="F21" s="31"/>
      <c r="G21" s="31"/>
      <c r="H21" s="32"/>
      <c r="I21" s="33"/>
      <c r="J21" s="33"/>
      <c r="K21" s="33"/>
    </row>
    <row r="22" spans="1:24">
      <c r="A22" s="31"/>
      <c r="B22" s="4"/>
      <c r="C22" s="4"/>
      <c r="D22" s="4"/>
      <c r="E22" s="4"/>
      <c r="F22" s="31"/>
      <c r="G22" s="31"/>
      <c r="H22" s="32"/>
      <c r="I22" s="33"/>
      <c r="J22" s="33"/>
      <c r="K22" s="33"/>
    </row>
    <row r="23" spans="1:24" ht="15.75" thickBot="1">
      <c r="A23" s="31"/>
      <c r="B23" s="4"/>
      <c r="C23" s="4"/>
      <c r="D23" s="4"/>
      <c r="E23" s="4"/>
      <c r="F23" s="31"/>
      <c r="G23" s="31"/>
      <c r="H23" s="32"/>
      <c r="I23" s="33"/>
      <c r="J23" s="33"/>
      <c r="K23" s="33"/>
    </row>
    <row r="24" spans="1:24">
      <c r="A24" s="10" t="s">
        <v>6</v>
      </c>
      <c r="B24" s="36">
        <f t="array" ref="B24:R27">TRANSPOSE(H2:K18)</f>
        <v>1</v>
      </c>
      <c r="C24" s="37">
        <v>1</v>
      </c>
      <c r="D24" s="37">
        <v>1</v>
      </c>
      <c r="E24" s="37">
        <v>1</v>
      </c>
      <c r="F24" s="37">
        <v>1</v>
      </c>
      <c r="G24" s="37">
        <v>1</v>
      </c>
      <c r="H24" s="37">
        <v>1</v>
      </c>
      <c r="I24" s="37">
        <v>1</v>
      </c>
      <c r="J24" s="37">
        <v>1</v>
      </c>
      <c r="K24" s="37">
        <v>1</v>
      </c>
      <c r="L24" s="37">
        <v>1</v>
      </c>
      <c r="M24" s="37">
        <v>1</v>
      </c>
      <c r="N24" s="37">
        <v>1</v>
      </c>
      <c r="O24" s="37">
        <v>1</v>
      </c>
      <c r="P24" s="37">
        <v>1</v>
      </c>
      <c r="Q24" s="37">
        <v>1</v>
      </c>
      <c r="R24" s="38">
        <v>1</v>
      </c>
    </row>
    <row r="25" spans="1:24">
      <c r="A25" s="10" t="s">
        <v>9</v>
      </c>
      <c r="B25" s="39">
        <v>102.4</v>
      </c>
      <c r="C25" s="7">
        <v>90</v>
      </c>
      <c r="D25" s="7">
        <v>34.700000000000003</v>
      </c>
      <c r="E25" s="7">
        <v>25.3</v>
      </c>
      <c r="F25" s="7">
        <v>23.3</v>
      </c>
      <c r="G25" s="7">
        <v>23</v>
      </c>
      <c r="H25" s="7">
        <v>25.5</v>
      </c>
      <c r="I25" s="7">
        <v>22.3</v>
      </c>
      <c r="J25" s="7">
        <v>21.9</v>
      </c>
      <c r="K25" s="7">
        <v>21.4</v>
      </c>
      <c r="L25" s="7">
        <v>22.2</v>
      </c>
      <c r="M25" s="7">
        <v>20</v>
      </c>
      <c r="N25" s="7">
        <v>18.600000000000001</v>
      </c>
      <c r="O25" s="7">
        <v>16.600000000000001</v>
      </c>
      <c r="P25" s="7">
        <v>15.2</v>
      </c>
      <c r="Q25" s="7">
        <v>15</v>
      </c>
      <c r="R25" s="40">
        <v>12.9</v>
      </c>
    </row>
    <row r="26" spans="1:24">
      <c r="A26" t="s">
        <v>10</v>
      </c>
      <c r="B26" s="39">
        <v>2021.7</v>
      </c>
      <c r="C26" s="7">
        <v>221</v>
      </c>
      <c r="D26" s="7">
        <v>1222.7</v>
      </c>
      <c r="E26" s="7">
        <v>239</v>
      </c>
      <c r="F26" s="7">
        <v>123.9</v>
      </c>
      <c r="G26" s="7">
        <v>594.70000000000005</v>
      </c>
      <c r="H26" s="7">
        <v>28.4</v>
      </c>
      <c r="I26" s="7">
        <v>166.2</v>
      </c>
      <c r="J26" s="7">
        <v>134.9</v>
      </c>
      <c r="K26" s="7">
        <v>331.8</v>
      </c>
      <c r="L26" s="7">
        <v>59.4</v>
      </c>
      <c r="M26" s="7">
        <v>161.5</v>
      </c>
      <c r="N26" s="7">
        <v>137.9</v>
      </c>
      <c r="O26" s="7">
        <v>211.9</v>
      </c>
      <c r="P26" s="7">
        <v>294.7</v>
      </c>
      <c r="Q26" s="7">
        <v>37.6</v>
      </c>
      <c r="R26" s="40">
        <v>106.6</v>
      </c>
    </row>
    <row r="27" spans="1:24" ht="15.75" thickBot="1">
      <c r="B27" s="41">
        <v>117.5</v>
      </c>
      <c r="C27" s="42">
        <v>20.6</v>
      </c>
      <c r="D27" s="42">
        <v>17.600000000000001</v>
      </c>
      <c r="E27" s="42">
        <v>11.6</v>
      </c>
      <c r="F27" s="42">
        <v>3.7</v>
      </c>
      <c r="G27" s="42">
        <v>8.9</v>
      </c>
      <c r="H27" s="42">
        <v>12.3</v>
      </c>
      <c r="I27" s="42">
        <v>9.6</v>
      </c>
      <c r="J27" s="42">
        <v>37.6</v>
      </c>
      <c r="K27" s="42">
        <v>35.200000000000003</v>
      </c>
      <c r="L27" s="42">
        <v>11</v>
      </c>
      <c r="M27" s="42">
        <v>44.2</v>
      </c>
      <c r="N27" s="42">
        <v>11.2</v>
      </c>
      <c r="O27" s="42">
        <v>38.799999999999997</v>
      </c>
      <c r="P27" s="42">
        <v>12.7</v>
      </c>
      <c r="Q27" s="42">
        <v>23.8</v>
      </c>
      <c r="R27" s="43">
        <v>5</v>
      </c>
    </row>
    <row r="29" spans="1:24">
      <c r="S29" s="32"/>
      <c r="T29" s="32"/>
      <c r="U29" s="32"/>
      <c r="V29" s="31"/>
      <c r="W29" s="31"/>
      <c r="X29" s="31"/>
    </row>
    <row r="30" spans="1:24">
      <c r="S30" s="33"/>
      <c r="T30" s="33"/>
      <c r="U30" s="33"/>
      <c r="V30" s="31"/>
      <c r="W30" s="31"/>
      <c r="X30" s="31"/>
    </row>
    <row r="31" spans="1:24">
      <c r="S31" s="33"/>
      <c r="T31" s="33"/>
      <c r="U31" s="33"/>
      <c r="V31" s="31"/>
      <c r="W31" s="31"/>
      <c r="X31" s="31"/>
    </row>
    <row r="32" spans="1:24">
      <c r="S32" s="33"/>
      <c r="T32" s="33"/>
      <c r="U32" s="33"/>
      <c r="V32" s="31"/>
      <c r="W32" s="31"/>
      <c r="X32" s="31"/>
    </row>
    <row r="35" spans="1:20">
      <c r="A35" t="s">
        <v>11</v>
      </c>
      <c r="D35">
        <f t="array" ref="D35:G38">MMULT(B24:R27,H2:K18)</f>
        <v>17</v>
      </c>
      <c r="E35">
        <v>510.3</v>
      </c>
      <c r="F35">
        <v>6093.8999999999987</v>
      </c>
      <c r="G35">
        <v>421.29999999999995</v>
      </c>
      <c r="I35">
        <f t="array" ref="I35:I38">MMULT(B24:R27,E2:E18)</f>
        <v>586.69999999999993</v>
      </c>
      <c r="L35">
        <f t="array" ref="L35:O38">MINVERSE(D35:G38)</f>
        <v>0.15262564537726908</v>
      </c>
      <c r="M35">
        <v>-2.8180990501103617E-3</v>
      </c>
      <c r="N35">
        <v>5.2396062376549263E-5</v>
      </c>
      <c r="O35">
        <v>-1.129495349296724E-3</v>
      </c>
      <c r="S35">
        <f t="array" ref="S35:S38">MMULT(L35:O38,I35:I38)</f>
        <v>36.129211961001118</v>
      </c>
      <c r="T35" s="10" t="s">
        <v>12</v>
      </c>
    </row>
    <row r="36" spans="1:20">
      <c r="A36" t="s">
        <v>13</v>
      </c>
      <c r="C36" s="11" t="s">
        <v>14</v>
      </c>
      <c r="D36">
        <v>510.3</v>
      </c>
      <c r="E36">
        <v>25723.750000000004</v>
      </c>
      <c r="F36">
        <v>323486.47000000003</v>
      </c>
      <c r="G36">
        <v>19780.7</v>
      </c>
      <c r="H36" s="11" t="s">
        <v>15</v>
      </c>
      <c r="I36">
        <v>16138.210000000001</v>
      </c>
      <c r="K36" s="11" t="s">
        <v>16</v>
      </c>
      <c r="L36">
        <v>-2.8180990501103587E-3</v>
      </c>
      <c r="M36">
        <v>1.9307889068185353E-4</v>
      </c>
      <c r="N36">
        <v>-4.0656446512950368E-6</v>
      </c>
      <c r="O36">
        <v>-6.134545958354371E-5</v>
      </c>
      <c r="Q36" t="s">
        <v>17</v>
      </c>
      <c r="S36">
        <v>-0.10306857648851009</v>
      </c>
      <c r="T36" s="10" t="s">
        <v>18</v>
      </c>
    </row>
    <row r="37" spans="1:20">
      <c r="D37">
        <v>6093.8999999999987</v>
      </c>
      <c r="E37">
        <v>323486.47000000003</v>
      </c>
      <c r="F37">
        <v>6407119.7699999996</v>
      </c>
      <c r="G37">
        <v>313570.44</v>
      </c>
      <c r="I37">
        <v>164156.65</v>
      </c>
      <c r="L37">
        <v>5.2396062376549283E-5</v>
      </c>
      <c r="M37">
        <v>-4.065644651295041E-6</v>
      </c>
      <c r="N37">
        <v>5.9560920548213835E-7</v>
      </c>
      <c r="O37">
        <v>-5.8049312417115613E-6</v>
      </c>
      <c r="S37">
        <v>-2.2095441915183922E-2</v>
      </c>
      <c r="T37" s="10" t="s">
        <v>19</v>
      </c>
    </row>
    <row r="38" spans="1:20">
      <c r="D38">
        <v>421.29999999999995</v>
      </c>
      <c r="E38">
        <v>19780.7</v>
      </c>
      <c r="F38">
        <v>313570.44</v>
      </c>
      <c r="G38">
        <v>22122.329999999998</v>
      </c>
      <c r="I38">
        <v>14642.240000000003</v>
      </c>
      <c r="L38">
        <v>-1.1294953492967284E-3</v>
      </c>
      <c r="M38">
        <v>-6.134545958354352E-5</v>
      </c>
      <c r="N38">
        <v>-5.8049312417115664E-6</v>
      </c>
      <c r="O38">
        <v>2.0384685368476799E-4</v>
      </c>
      <c r="S38">
        <v>0.37917565803941855</v>
      </c>
      <c r="T38" s="10" t="s">
        <v>20</v>
      </c>
    </row>
    <row r="40" spans="1:20">
      <c r="A40" t="s">
        <v>21</v>
      </c>
      <c r="H40" t="s">
        <v>22</v>
      </c>
    </row>
    <row r="41" spans="1:20">
      <c r="A41" s="11" t="s">
        <v>23</v>
      </c>
      <c r="B41" s="10" t="s">
        <v>24</v>
      </c>
      <c r="C41" s="10" t="s">
        <v>25</v>
      </c>
      <c r="D41" s="10"/>
      <c r="E41" s="10"/>
      <c r="F41" s="10"/>
      <c r="G41" s="10" t="s">
        <v>26</v>
      </c>
      <c r="I41" s="10" t="s">
        <v>27</v>
      </c>
      <c r="K41" s="10" t="s">
        <v>28</v>
      </c>
    </row>
    <row r="42" spans="1:20">
      <c r="A42">
        <v>1</v>
      </c>
      <c r="B42">
        <f t="array" ref="B42:B58">MMULT(H2:K18,S35:S38)</f>
        <v>25.457774628282031</v>
      </c>
      <c r="C42">
        <f>E2-B42</f>
        <v>-14.757774628282032</v>
      </c>
      <c r="G42">
        <f>C42*C42</f>
        <v>217.79191197916487</v>
      </c>
      <c r="I42">
        <f t="shared" ref="I42:I58" si="0">(B42-$E$19)^2</f>
        <v>81.974736325285008</v>
      </c>
      <c r="K42">
        <f t="shared" ref="K42:K58" si="1">(E2-$E$19)^2</f>
        <v>567.00013840830434</v>
      </c>
    </row>
    <row r="43" spans="1:20">
      <c r="A43">
        <v>2</v>
      </c>
      <c r="B43">
        <v>29.780965969391588</v>
      </c>
      <c r="C43">
        <f>E3-B43</f>
        <v>15.719034030608412</v>
      </c>
      <c r="G43">
        <f>C43*C43</f>
        <v>247.08803085542536</v>
      </c>
      <c r="I43">
        <f t="shared" si="0"/>
        <v>22.380456685182587</v>
      </c>
      <c r="K43">
        <f t="shared" si="1"/>
        <v>120.74131487889281</v>
      </c>
    </row>
    <row r="44" spans="1:20">
      <c r="A44">
        <v>3</v>
      </c>
      <c r="B44">
        <v>12.210127108648201</v>
      </c>
      <c r="C44">
        <f t="shared" ref="C44:C58" si="2">E4-B44</f>
        <v>12.8898728913518</v>
      </c>
      <c r="G44">
        <f t="shared" ref="G44:G58" si="3">C44*C44</f>
        <v>166.148823155206</v>
      </c>
      <c r="I44">
        <f t="shared" si="0"/>
        <v>497.36303951836771</v>
      </c>
      <c r="K44">
        <f t="shared" si="1"/>
        <v>88.581314878892641</v>
      </c>
    </row>
    <row r="45" spans="1:20">
      <c r="A45">
        <v>4</v>
      </c>
      <c r="B45">
        <v>32.63920399137011</v>
      </c>
      <c r="C45">
        <f t="shared" si="2"/>
        <v>-10.039203991370108</v>
      </c>
      <c r="G45">
        <f t="shared" si="3"/>
        <v>100.78561678034151</v>
      </c>
      <c r="I45">
        <f t="shared" si="0"/>
        <v>3.5064836295345891</v>
      </c>
      <c r="K45">
        <f t="shared" si="1"/>
        <v>141.89013840830438</v>
      </c>
    </row>
    <row r="46" spans="1:20">
      <c r="A46">
        <v>5</v>
      </c>
      <c r="B46">
        <v>32.393038810273396</v>
      </c>
      <c r="C46">
        <f t="shared" si="2"/>
        <v>-21.693038810273396</v>
      </c>
      <c r="G46">
        <f t="shared" si="3"/>
        <v>470.5879328240278</v>
      </c>
      <c r="I46">
        <f t="shared" si="0"/>
        <v>4.488999420723963</v>
      </c>
      <c r="K46">
        <f t="shared" si="1"/>
        <v>567.00013840830434</v>
      </c>
    </row>
    <row r="47" spans="1:20">
      <c r="A47">
        <v>6</v>
      </c>
      <c r="B47">
        <v>23.993138751356334</v>
      </c>
      <c r="C47">
        <f t="shared" si="2"/>
        <v>12.206861248643669</v>
      </c>
      <c r="G47">
        <f t="shared" si="3"/>
        <v>149.00746154363847</v>
      </c>
      <c r="I47">
        <f t="shared" si="0"/>
        <v>110.64149197122833</v>
      </c>
      <c r="K47">
        <f t="shared" si="1"/>
        <v>2.8501384083045198</v>
      </c>
    </row>
    <row r="48" spans="1:20">
      <c r="A48">
        <v>7</v>
      </c>
      <c r="B48">
        <v>37.537313304037738</v>
      </c>
      <c r="C48">
        <f t="shared" si="2"/>
        <v>-13.63731330403774</v>
      </c>
      <c r="G48">
        <f t="shared" si="3"/>
        <v>185.97631415248472</v>
      </c>
      <c r="I48">
        <f t="shared" si="0"/>
        <v>9.1539443198000381</v>
      </c>
      <c r="K48">
        <f t="shared" si="1"/>
        <v>112.60955017301033</v>
      </c>
    </row>
    <row r="49" spans="1:15">
      <c r="A49">
        <v>8</v>
      </c>
      <c r="B49">
        <v>33.798606576182195</v>
      </c>
      <c r="C49">
        <f t="shared" si="2"/>
        <v>5.9013934238178081</v>
      </c>
      <c r="G49">
        <f t="shared" si="3"/>
        <v>34.82644434268007</v>
      </c>
      <c r="I49">
        <f t="shared" si="0"/>
        <v>0.5085945179574225</v>
      </c>
      <c r="K49">
        <f t="shared" si="1"/>
        <v>26.917785467128095</v>
      </c>
    </row>
    <row r="50" spans="1:15">
      <c r="A50">
        <v>9</v>
      </c>
      <c r="B50">
        <v>45.14833976382657</v>
      </c>
      <c r="C50">
        <f t="shared" si="2"/>
        <v>-2.4483397638265672</v>
      </c>
      <c r="G50">
        <f t="shared" si="3"/>
        <v>5.994367599134331</v>
      </c>
      <c r="I50">
        <f t="shared" si="0"/>
        <v>113.1367289632811</v>
      </c>
      <c r="K50">
        <f t="shared" si="1"/>
        <v>67.047197231834019</v>
      </c>
    </row>
    <row r="51" spans="1:15">
      <c r="A51">
        <v>10</v>
      </c>
      <c r="B51">
        <v>39.939259959676512</v>
      </c>
      <c r="C51">
        <f t="shared" si="2"/>
        <v>17.560740040323488</v>
      </c>
      <c r="G51">
        <f t="shared" si="3"/>
        <v>308.37959076382054</v>
      </c>
      <c r="I51">
        <f t="shared" si="0"/>
        <v>29.457704729958166</v>
      </c>
      <c r="K51">
        <f t="shared" si="1"/>
        <v>528.45896193771648</v>
      </c>
    </row>
    <row r="52" spans="1:15">
      <c r="A52">
        <v>11</v>
      </c>
      <c r="B52">
        <v>36.699552551627875</v>
      </c>
      <c r="C52">
        <f t="shared" si="2"/>
        <v>-14.699552551627875</v>
      </c>
      <c r="G52">
        <f t="shared" si="3"/>
        <v>216.07684521806956</v>
      </c>
      <c r="I52">
        <f t="shared" si="0"/>
        <v>4.7864156579918467</v>
      </c>
      <c r="K52">
        <f t="shared" si="1"/>
        <v>156.54425605536323</v>
      </c>
    </row>
    <row r="53" spans="1:15">
      <c r="A53">
        <v>12</v>
      </c>
      <c r="B53">
        <v>47.25899064727102</v>
      </c>
      <c r="C53">
        <f t="shared" si="2"/>
        <v>20.141009352728986</v>
      </c>
      <c r="G53">
        <f t="shared" si="3"/>
        <v>405.66025774671647</v>
      </c>
      <c r="I53">
        <f t="shared" si="0"/>
        <v>162.49176920081229</v>
      </c>
      <c r="K53">
        <f t="shared" si="1"/>
        <v>1081.6360207612463</v>
      </c>
    </row>
    <row r="54" spans="1:15">
      <c r="A54">
        <v>13</v>
      </c>
      <c r="B54">
        <v>35.411942368252454</v>
      </c>
      <c r="C54">
        <f t="shared" si="2"/>
        <v>4.9880576317475445</v>
      </c>
      <c r="G54">
        <f t="shared" si="3"/>
        <v>24.880718937634921</v>
      </c>
      <c r="I54">
        <f t="shared" si="0"/>
        <v>0.81031982383010637</v>
      </c>
      <c r="K54">
        <f t="shared" si="1"/>
        <v>34.671314878892758</v>
      </c>
    </row>
    <row r="55" spans="1:15">
      <c r="A55">
        <v>14</v>
      </c>
      <c r="B55">
        <v>44.44826498139382</v>
      </c>
      <c r="C55">
        <f t="shared" si="2"/>
        <v>7.951735018606179</v>
      </c>
      <c r="G55">
        <f t="shared" si="3"/>
        <v>63.230089806127808</v>
      </c>
      <c r="I55">
        <f t="shared" si="0"/>
        <v>98.734037725239517</v>
      </c>
      <c r="K55">
        <f t="shared" si="1"/>
        <v>319.98896193771634</v>
      </c>
    </row>
    <row r="56" spans="1:15">
      <c r="A56">
        <v>15</v>
      </c>
      <c r="B56">
        <v>32.866573723071681</v>
      </c>
      <c r="C56">
        <f t="shared" si="2"/>
        <v>-3.5665737230716807</v>
      </c>
      <c r="G56">
        <f t="shared" si="3"/>
        <v>12.72044812210539</v>
      </c>
      <c r="I56">
        <f t="shared" si="0"/>
        <v>2.7066533699215314</v>
      </c>
      <c r="K56">
        <f t="shared" si="1"/>
        <v>27.162491349480923</v>
      </c>
    </row>
    <row r="57" spans="1:15">
      <c r="A57">
        <v>16</v>
      </c>
      <c r="B57">
        <v>42.776775359000716</v>
      </c>
      <c r="C57">
        <f t="shared" si="2"/>
        <v>-5.776775359000716</v>
      </c>
      <c r="G57">
        <f t="shared" si="3"/>
        <v>33.371133548357854</v>
      </c>
      <c r="I57">
        <f t="shared" si="0"/>
        <v>68.310401096160092</v>
      </c>
      <c r="K57">
        <f t="shared" si="1"/>
        <v>6.1913148788927517</v>
      </c>
    </row>
    <row r="58" spans="1:15">
      <c r="A58">
        <v>17</v>
      </c>
      <c r="B58">
        <v>34.340131506337826</v>
      </c>
      <c r="C58">
        <f t="shared" si="2"/>
        <v>-10.740131506337825</v>
      </c>
      <c r="G58">
        <f t="shared" si="3"/>
        <v>115.35042477343039</v>
      </c>
      <c r="I58">
        <f t="shared" si="0"/>
        <v>2.9457955185890068E-2</v>
      </c>
      <c r="K58">
        <f t="shared" si="1"/>
        <v>119.06660899653968</v>
      </c>
    </row>
    <row r="59" spans="1:15" ht="15.75">
      <c r="A59" s="12" t="s">
        <v>29</v>
      </c>
      <c r="B59">
        <f>SUM(B42:B58)</f>
        <v>586.70000000000005</v>
      </c>
      <c r="C59" s="13">
        <f ca="1">SUM(C42:C64)</f>
        <v>-5.3290705182007514E-14</v>
      </c>
      <c r="F59" s="14" t="s">
        <v>30</v>
      </c>
      <c r="G59" s="15">
        <f>SUM(G42:G58)</f>
        <v>2757.8764121483664</v>
      </c>
      <c r="H59" s="14" t="s">
        <v>31</v>
      </c>
      <c r="I59" s="15">
        <f>SUM(I42:I58)</f>
        <v>1210.4812349104602</v>
      </c>
      <c r="J59" s="14" t="s">
        <v>32</v>
      </c>
      <c r="K59" s="15">
        <f>SUM(K42:K58)</f>
        <v>3968.3576470588241</v>
      </c>
    </row>
    <row r="62" spans="1:15">
      <c r="J62" t="s">
        <v>33</v>
      </c>
      <c r="K62">
        <f t="array" ref="K62">G59+I59</f>
        <v>3968.3576470588268</v>
      </c>
    </row>
    <row r="63" spans="1:15">
      <c r="D63" t="s">
        <v>38</v>
      </c>
      <c r="L63" t="s">
        <v>34</v>
      </c>
    </row>
    <row r="64" spans="1:15">
      <c r="J64" s="14" t="s">
        <v>35</v>
      </c>
      <c r="K64" s="13">
        <f>G59/(17-3-1)</f>
        <v>212.14433939602819</v>
      </c>
      <c r="L64" s="14" t="s">
        <v>36</v>
      </c>
      <c r="M64" s="16">
        <f>I59/3</f>
        <v>403.49374497015339</v>
      </c>
      <c r="N64" s="14" t="s">
        <v>37</v>
      </c>
      <c r="O64" s="15">
        <f>K59/(17-1)</f>
        <v>248.02235294117651</v>
      </c>
    </row>
    <row r="65" spans="1:11">
      <c r="D65" s="14" t="s">
        <v>39</v>
      </c>
      <c r="E65" s="15">
        <f>I59/K59</f>
        <v>0.30503330157442254</v>
      </c>
    </row>
    <row r="67" spans="1:11">
      <c r="D67" s="14" t="s">
        <v>40</v>
      </c>
      <c r="E67">
        <f>(E65/(1-E65)*(17-3-1))^0.5</f>
        <v>2.3887093342321073</v>
      </c>
      <c r="F67" s="14" t="s">
        <v>41</v>
      </c>
      <c r="G67">
        <f>TINV(0.05,17-3-1)</f>
        <v>2.1603686522485352</v>
      </c>
    </row>
    <row r="68" spans="1:11">
      <c r="D68" s="14"/>
      <c r="F68" s="14"/>
    </row>
    <row r="69" spans="1:11">
      <c r="D69" s="14" t="s">
        <v>43</v>
      </c>
      <c r="E69">
        <f>E65/(1-E65)*(23-3-1)/3</f>
        <v>2.7798131637308807</v>
      </c>
      <c r="F69" s="14" t="s">
        <v>44</v>
      </c>
      <c r="G69">
        <f>FINV(0.05,3,(17-3-1))</f>
        <v>3.4105336464080187</v>
      </c>
    </row>
    <row r="73" spans="1:11">
      <c r="A73" s="17" t="s">
        <v>42</v>
      </c>
      <c r="B73" s="17" t="s">
        <v>160</v>
      </c>
    </row>
    <row r="74" spans="1:11">
      <c r="B74" t="s">
        <v>161</v>
      </c>
    </row>
    <row r="75" spans="1:11">
      <c r="E75" t="s">
        <v>45</v>
      </c>
    </row>
    <row r="76" spans="1:11">
      <c r="C76" t="s">
        <v>46</v>
      </c>
      <c r="G76" s="18" t="s">
        <v>47</v>
      </c>
      <c r="I76" s="10" t="s">
        <v>48</v>
      </c>
      <c r="K76" s="10" t="s">
        <v>49</v>
      </c>
    </row>
    <row r="77" spans="1:11">
      <c r="C77" t="s">
        <v>50</v>
      </c>
      <c r="G77" s="18" t="s">
        <v>13</v>
      </c>
      <c r="I77" s="18" t="s">
        <v>13</v>
      </c>
      <c r="K77" s="18" t="s">
        <v>13</v>
      </c>
    </row>
    <row r="78" spans="1:11">
      <c r="B78" s="19">
        <f t="shared" ref="B78:E81" si="4">L35*$K$64</f>
        <v>32.378666713453214</v>
      </c>
      <c r="C78" s="20">
        <f t="shared" si="4"/>
        <v>-0.59784376133823725</v>
      </c>
      <c r="D78" s="1">
        <f t="shared" si="4"/>
        <v>1.111552803982613E-2</v>
      </c>
      <c r="E78" s="1">
        <f t="shared" si="4"/>
        <v>-0.23961604472743964</v>
      </c>
      <c r="F78" s="11" t="s">
        <v>12</v>
      </c>
      <c r="G78" s="1">
        <f>B78</f>
        <v>32.378666713453214</v>
      </c>
      <c r="H78" s="11" t="s">
        <v>12</v>
      </c>
      <c r="I78" s="1">
        <f>G78^0.5</f>
        <v>5.6902255415276128</v>
      </c>
      <c r="J78" s="11" t="s">
        <v>12</v>
      </c>
      <c r="K78" s="1">
        <f>ABS(S35/I78)</f>
        <v>6.3493462073388702</v>
      </c>
    </row>
    <row r="79" spans="1:11">
      <c r="B79" s="20">
        <f t="shared" si="4"/>
        <v>-0.59784376133823658</v>
      </c>
      <c r="C79" s="21">
        <f t="shared" si="4"/>
        <v>4.0960593715019762E-2</v>
      </c>
      <c r="D79" s="20">
        <f t="shared" si="4"/>
        <v>-8.6250349876798094E-4</v>
      </c>
      <c r="E79" s="20">
        <f t="shared" si="4"/>
        <v>-1.3014091998296626E-2</v>
      </c>
      <c r="F79" s="11" t="s">
        <v>18</v>
      </c>
      <c r="G79" s="20">
        <f>C79</f>
        <v>4.0960593715019762E-2</v>
      </c>
      <c r="H79" s="11" t="s">
        <v>18</v>
      </c>
      <c r="I79" s="20">
        <f>G79^0.5</f>
        <v>0.20238723703588565</v>
      </c>
      <c r="J79" s="11" t="s">
        <v>18</v>
      </c>
      <c r="K79" s="1">
        <f>ABS(S36/I79)</f>
        <v>0.50926421052052218</v>
      </c>
    </row>
    <row r="80" spans="1:11">
      <c r="A80" s="14" t="s">
        <v>51</v>
      </c>
      <c r="B80" s="20">
        <f t="shared" si="4"/>
        <v>1.1115528039826135E-2</v>
      </c>
      <c r="C80" s="20">
        <f t="shared" si="4"/>
        <v>-8.6250349876798181E-4</v>
      </c>
      <c r="D80" s="21">
        <f t="shared" si="4"/>
        <v>1.2635512143520145E-4</v>
      </c>
      <c r="E80" s="20">
        <f t="shared" si="4"/>
        <v>-1.2314833035122648E-3</v>
      </c>
      <c r="F80" s="11" t="s">
        <v>19</v>
      </c>
      <c r="G80" s="20">
        <f>D80</f>
        <v>1.2635512143520145E-4</v>
      </c>
      <c r="H80" s="11" t="s">
        <v>19</v>
      </c>
      <c r="I80" s="20">
        <f>G80^0.5</f>
        <v>1.1240779396251909E-2</v>
      </c>
      <c r="J80" s="11" t="s">
        <v>19</v>
      </c>
      <c r="K80" s="1">
        <f>ABS(S37/I80)</f>
        <v>1.9656503465010049</v>
      </c>
    </row>
    <row r="81" spans="2:11">
      <c r="B81" s="20">
        <f t="shared" si="4"/>
        <v>-0.23961604472744055</v>
      </c>
      <c r="C81" s="20">
        <f t="shared" si="4"/>
        <v>-1.3014091998296586E-2</v>
      </c>
      <c r="D81" s="20">
        <f t="shared" si="4"/>
        <v>-1.2314833035122659E-3</v>
      </c>
      <c r="E81" s="21">
        <f t="shared" si="4"/>
        <v>4.3244956112913922E-2</v>
      </c>
      <c r="F81" s="11" t="s">
        <v>20</v>
      </c>
      <c r="G81" s="20">
        <f>E81</f>
        <v>4.3244956112913922E-2</v>
      </c>
      <c r="H81" s="11" t="s">
        <v>20</v>
      </c>
      <c r="I81" s="20">
        <f>G81^0.5</f>
        <v>0.20795421638647754</v>
      </c>
      <c r="J81" s="11" t="s">
        <v>20</v>
      </c>
      <c r="K81" s="1">
        <f>ABS(S38/I81)</f>
        <v>1.8233612408931896</v>
      </c>
    </row>
    <row r="84" spans="2:11">
      <c r="I84" s="10" t="s">
        <v>52</v>
      </c>
    </row>
    <row r="86" spans="2:11">
      <c r="D86" s="11" t="s">
        <v>53</v>
      </c>
      <c r="E86">
        <v>1</v>
      </c>
      <c r="F86" s="11" t="s">
        <v>54</v>
      </c>
      <c r="G86">
        <v>1</v>
      </c>
      <c r="H86">
        <v>3416</v>
      </c>
      <c r="I86">
        <v>518</v>
      </c>
      <c r="J86">
        <v>2171</v>
      </c>
    </row>
    <row r="87" spans="2:11">
      <c r="E87">
        <v>3416</v>
      </c>
    </row>
    <row r="88" spans="2:11">
      <c r="E88">
        <v>518</v>
      </c>
      <c r="H88" s="14" t="s">
        <v>41</v>
      </c>
      <c r="I88">
        <f>TINV(0.05,17-3-1)</f>
        <v>2.1603686522485352</v>
      </c>
    </row>
    <row r="89" spans="2:11">
      <c r="E89">
        <v>2171</v>
      </c>
    </row>
    <row r="90" spans="2:11">
      <c r="F90" t="s">
        <v>55</v>
      </c>
    </row>
    <row r="91" spans="2:11">
      <c r="F91" s="11" t="s">
        <v>56</v>
      </c>
      <c r="G91">
        <f>MMULT(G86:J86,S35:S38)</f>
        <v>495.79186936776301</v>
      </c>
    </row>
    <row r="92" spans="2:11">
      <c r="B92" t="s">
        <v>57</v>
      </c>
    </row>
    <row r="93" spans="2:11">
      <c r="B93" t="s">
        <v>58</v>
      </c>
      <c r="D93" s="14" t="s">
        <v>59</v>
      </c>
      <c r="E93" s="22">
        <f t="array" ref="E93:H93">MMULT(G86:J86,L35:O38)</f>
        <v>-11.89899395281186</v>
      </c>
      <c r="F93" s="22">
        <v>0.52145239483385741</v>
      </c>
      <c r="G93" s="22">
        <v>-2.612982622376336E-2</v>
      </c>
      <c r="H93" s="22">
        <v>0.22885897967974272</v>
      </c>
    </row>
    <row r="94" spans="2:11">
      <c r="B94" t="s">
        <v>60</v>
      </c>
    </row>
    <row r="95" spans="2:11">
      <c r="D95" s="14" t="s">
        <v>61</v>
      </c>
      <c r="E95">
        <f>MMULT(E93:H93,E86:E89)</f>
        <v>2252.6999817004571</v>
      </c>
    </row>
    <row r="97" spans="3:12">
      <c r="D97" t="s">
        <v>62</v>
      </c>
      <c r="G97" t="s">
        <v>63</v>
      </c>
    </row>
    <row r="98" spans="3:12">
      <c r="D98" s="14" t="s">
        <v>64</v>
      </c>
      <c r="E98">
        <f>K64*(1+E95)</f>
        <v>478109.69381468429</v>
      </c>
      <c r="G98" s="14" t="s">
        <v>65</v>
      </c>
      <c r="H98">
        <f>E98^0.5</f>
        <v>691.45476628242591</v>
      </c>
    </row>
    <row r="100" spans="3:12">
      <c r="G100" s="10" t="s">
        <v>66</v>
      </c>
    </row>
    <row r="101" spans="3:12">
      <c r="F101" s="10" t="s">
        <v>67</v>
      </c>
      <c r="I101" s="10" t="s">
        <v>68</v>
      </c>
    </row>
    <row r="102" spans="3:12">
      <c r="F102">
        <f>G91-H98*I88</f>
        <v>-998.00533215662745</v>
      </c>
      <c r="I102">
        <f>G91+H98*I88</f>
        <v>1989.5890708921534</v>
      </c>
    </row>
    <row r="104" spans="3:12">
      <c r="E104" s="10" t="s">
        <v>69</v>
      </c>
      <c r="I104" t="s">
        <v>70</v>
      </c>
    </row>
    <row r="105" spans="3:12">
      <c r="D105" s="3" t="s">
        <v>72</v>
      </c>
      <c r="E105" s="3" t="s">
        <v>73</v>
      </c>
      <c r="F105" s="3" t="s">
        <v>74</v>
      </c>
      <c r="I105" s="23" t="s">
        <v>20</v>
      </c>
      <c r="J105" s="23" t="s">
        <v>19</v>
      </c>
      <c r="K105" s="23" t="s">
        <v>18</v>
      </c>
      <c r="L105" s="23" t="s">
        <v>12</v>
      </c>
    </row>
    <row r="106" spans="3:12" ht="45">
      <c r="C106" s="24" t="s">
        <v>76</v>
      </c>
      <c r="D106" s="25">
        <f>E19/B19</f>
        <v>1.1497158534195568</v>
      </c>
      <c r="E106" s="1">
        <f>E19/C19</f>
        <v>9.6276604473325797E-2</v>
      </c>
      <c r="F106" s="1">
        <f>E19/D19</f>
        <v>1.3925943508188938</v>
      </c>
      <c r="H106" t="s">
        <v>77</v>
      </c>
      <c r="I106">
        <f t="array" ref="I106:L110">LINEST(E2:E18,B2:D18,1,1)</f>
        <v>0.379175658039418</v>
      </c>
      <c r="J106">
        <v>-2.2095441915183926E-2</v>
      </c>
      <c r="K106">
        <v>-0.10306857648850941</v>
      </c>
      <c r="L106">
        <v>36.129211961001104</v>
      </c>
    </row>
    <row r="107" spans="3:12" ht="60">
      <c r="C107" s="24" t="s">
        <v>78</v>
      </c>
      <c r="D107" s="1">
        <f>S36</f>
        <v>-0.10306857648851009</v>
      </c>
      <c r="E107" s="1">
        <f>S37</f>
        <v>-2.2095441915183922E-2</v>
      </c>
      <c r="F107" s="1">
        <f>S38</f>
        <v>0.37917565803941855</v>
      </c>
      <c r="H107" t="s">
        <v>79</v>
      </c>
      <c r="I107">
        <v>0.20795421638647751</v>
      </c>
      <c r="J107">
        <v>1.1240779396251906E-2</v>
      </c>
      <c r="K107">
        <v>0.2023872370358856</v>
      </c>
      <c r="L107">
        <v>5.6902255415276128</v>
      </c>
    </row>
    <row r="108" spans="3:12" ht="60">
      <c r="C108" s="24" t="s">
        <v>80</v>
      </c>
      <c r="D108" s="1">
        <f>D107/D106</f>
        <v>-8.9646999458133134E-2</v>
      </c>
      <c r="E108" s="1">
        <f>E107/E106</f>
        <v>-0.22949959687564223</v>
      </c>
      <c r="F108" s="1">
        <f>F107/F106</f>
        <v>0.27228004897222952</v>
      </c>
      <c r="H108" s="14" t="s">
        <v>39</v>
      </c>
      <c r="I108">
        <v>0.30503330157442216</v>
      </c>
      <c r="J108">
        <v>14.565175570381159</v>
      </c>
      <c r="K108" t="e">
        <v>#N/A</v>
      </c>
      <c r="L108" t="e">
        <v>#N/A</v>
      </c>
    </row>
    <row r="109" spans="3:12">
      <c r="H109" s="14" t="s">
        <v>43</v>
      </c>
      <c r="I109">
        <v>1.9019774278158625</v>
      </c>
      <c r="J109">
        <v>13</v>
      </c>
      <c r="K109" t="e">
        <v>#N/A</v>
      </c>
      <c r="L109" t="e">
        <v>#N/A</v>
      </c>
    </row>
    <row r="110" spans="3:12">
      <c r="H110" s="14" t="s">
        <v>31</v>
      </c>
      <c r="I110">
        <v>1210.4812349104586</v>
      </c>
      <c r="J110">
        <v>2757.8764121483655</v>
      </c>
      <c r="K110" t="e">
        <v>#N/A</v>
      </c>
      <c r="L110" t="e">
        <v>#N/A</v>
      </c>
    </row>
    <row r="111" spans="3:12">
      <c r="J111" s="14" t="s">
        <v>30</v>
      </c>
    </row>
    <row r="112" spans="3:12">
      <c r="H112" s="10" t="s">
        <v>49</v>
      </c>
      <c r="I112">
        <f>ABS(I106/I107)</f>
        <v>1.8233612408931872</v>
      </c>
      <c r="J112">
        <f>ABS(J106/J107)</f>
        <v>1.9656503465010058</v>
      </c>
      <c r="K112">
        <f>ABS(K106/K107)</f>
        <v>0.50926421052051896</v>
      </c>
      <c r="L112">
        <f>ABS(L106/L107)</f>
        <v>6.3493462073388676</v>
      </c>
    </row>
    <row r="114" spans="1:2">
      <c r="A114" t="s">
        <v>42</v>
      </c>
      <c r="B114" t="s">
        <v>71</v>
      </c>
    </row>
    <row r="115" spans="1:2">
      <c r="B115" t="s">
        <v>75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84"/>
  <sheetViews>
    <sheetView topLeftCell="A67" workbookViewId="0">
      <selection activeCell="G39" sqref="G39"/>
    </sheetView>
  </sheetViews>
  <sheetFormatPr defaultRowHeight="15"/>
  <cols>
    <col min="7" max="7" width="23.85546875" customWidth="1"/>
    <col min="8" max="8" width="12.42578125" customWidth="1"/>
    <col min="9" max="9" width="32" customWidth="1"/>
  </cols>
  <sheetData>
    <row r="1" spans="1:23" ht="15.75" thickBot="1">
      <c r="A1" s="48"/>
      <c r="B1" s="48" t="s">
        <v>0</v>
      </c>
      <c r="C1" s="48" t="s">
        <v>1</v>
      </c>
      <c r="D1" s="45" t="s">
        <v>74</v>
      </c>
      <c r="E1" s="49" t="s">
        <v>3</v>
      </c>
      <c r="F1" s="45"/>
      <c r="G1" s="44"/>
      <c r="H1" s="44"/>
      <c r="I1" s="44"/>
      <c r="J1" s="45"/>
      <c r="P1" s="45"/>
      <c r="Q1" s="45"/>
      <c r="R1" s="45"/>
      <c r="S1" s="45"/>
      <c r="T1" s="45"/>
      <c r="U1" s="45"/>
      <c r="V1" s="45"/>
      <c r="W1" s="46"/>
    </row>
    <row r="2" spans="1:23" ht="15.75" thickBot="1">
      <c r="A2" s="45">
        <v>1</v>
      </c>
      <c r="B2" s="26">
        <v>102.4</v>
      </c>
      <c r="C2" s="27">
        <v>2021.7</v>
      </c>
      <c r="D2" s="27">
        <v>117.5</v>
      </c>
      <c r="E2" s="27">
        <v>10.7</v>
      </c>
      <c r="F2" s="45"/>
      <c r="G2" s="44"/>
      <c r="H2" s="44"/>
      <c r="I2" s="44"/>
      <c r="J2" s="45"/>
      <c r="P2" s="70"/>
      <c r="W2" s="46"/>
    </row>
    <row r="3" spans="1:23" ht="15.75" thickBot="1">
      <c r="A3" s="45">
        <v>2</v>
      </c>
      <c r="B3" s="28">
        <v>90</v>
      </c>
      <c r="C3" s="29">
        <v>221</v>
      </c>
      <c r="D3" s="29">
        <v>20.6</v>
      </c>
      <c r="E3" s="29">
        <v>45.5</v>
      </c>
      <c r="F3" s="44"/>
      <c r="G3" s="126" t="s">
        <v>82</v>
      </c>
      <c r="H3" s="44"/>
      <c r="I3" s="44"/>
      <c r="J3" s="45"/>
      <c r="P3" s="70"/>
      <c r="W3" s="46"/>
    </row>
    <row r="4" spans="1:23" ht="15.75" thickBot="1">
      <c r="A4" s="52">
        <v>3</v>
      </c>
      <c r="B4" s="28">
        <v>34.700000000000003</v>
      </c>
      <c r="C4" s="29">
        <v>1222.7</v>
      </c>
      <c r="D4" s="29">
        <v>17.600000000000001</v>
      </c>
      <c r="E4" s="29">
        <v>25.1</v>
      </c>
      <c r="F4" s="44"/>
      <c r="G4" s="127">
        <v>1</v>
      </c>
      <c r="H4" s="128">
        <f>CORREL(B2:B18,C2:C18)</f>
        <v>0.67055973420056481</v>
      </c>
      <c r="I4" s="129">
        <f>CORREL(B2:B18,D2:D18)</f>
        <v>0.64708734379525212</v>
      </c>
      <c r="J4" s="71"/>
      <c r="P4" s="70"/>
      <c r="W4" s="46"/>
    </row>
    <row r="5" spans="1:23" ht="15.75" thickBot="1">
      <c r="A5" s="54">
        <v>4</v>
      </c>
      <c r="B5" s="28">
        <v>25.3</v>
      </c>
      <c r="C5" s="29">
        <v>239</v>
      </c>
      <c r="D5" s="29">
        <v>11.6</v>
      </c>
      <c r="E5" s="29">
        <v>22.6</v>
      </c>
      <c r="F5" s="44"/>
      <c r="G5" s="130">
        <f>H4</f>
        <v>0.67055973420056481</v>
      </c>
      <c r="H5" s="131">
        <v>1</v>
      </c>
      <c r="I5" s="132">
        <f>CORREL(C2:C18,D2:D18)</f>
        <v>0.73188284982318352</v>
      </c>
      <c r="J5" s="54"/>
      <c r="P5" s="70"/>
      <c r="W5" s="46"/>
    </row>
    <row r="6" spans="1:23" ht="15.75" thickBot="1">
      <c r="A6" s="54">
        <v>5</v>
      </c>
      <c r="B6" s="28">
        <v>23.3</v>
      </c>
      <c r="C6" s="29">
        <v>123.9</v>
      </c>
      <c r="D6" s="29">
        <v>3.7</v>
      </c>
      <c r="E6" s="29">
        <v>10.7</v>
      </c>
      <c r="F6" s="44"/>
      <c r="G6" s="133">
        <f>I4</f>
        <v>0.64708734379525212</v>
      </c>
      <c r="H6" s="134">
        <f>I5</f>
        <v>0.73188284982318352</v>
      </c>
      <c r="I6" s="135">
        <v>1</v>
      </c>
      <c r="J6" s="54"/>
      <c r="K6" s="74"/>
      <c r="L6" s="75"/>
      <c r="M6" s="75"/>
      <c r="N6" s="75"/>
      <c r="O6" s="75"/>
      <c r="P6" s="74"/>
      <c r="W6" s="46"/>
    </row>
    <row r="7" spans="1:23" ht="15.75" thickBot="1">
      <c r="A7" s="54">
        <v>6</v>
      </c>
      <c r="B7" s="28">
        <v>23</v>
      </c>
      <c r="C7" s="29">
        <v>594.70000000000005</v>
      </c>
      <c r="D7" s="29">
        <v>8.9</v>
      </c>
      <c r="E7" s="29">
        <v>36.200000000000003</v>
      </c>
      <c r="F7" s="72"/>
      <c r="G7" s="54"/>
      <c r="H7" s="54"/>
      <c r="I7" s="54"/>
      <c r="J7" s="54"/>
      <c r="K7" s="51"/>
      <c r="L7" s="51"/>
      <c r="M7" s="51"/>
      <c r="N7" s="51"/>
      <c r="O7" s="51"/>
      <c r="P7" s="51"/>
      <c r="W7" s="46"/>
    </row>
    <row r="8" spans="1:23" ht="15.75" thickBot="1">
      <c r="A8" s="54">
        <v>7</v>
      </c>
      <c r="B8" s="28">
        <v>25.5</v>
      </c>
      <c r="C8" s="29">
        <v>28.4</v>
      </c>
      <c r="D8" s="29">
        <v>12.3</v>
      </c>
      <c r="E8" s="29">
        <v>23.9</v>
      </c>
      <c r="F8" s="45"/>
      <c r="G8" s="263" t="s">
        <v>163</v>
      </c>
      <c r="H8" s="263"/>
      <c r="I8" s="263"/>
      <c r="J8" s="263"/>
      <c r="O8" s="51"/>
      <c r="P8" s="51"/>
      <c r="W8" s="46"/>
    </row>
    <row r="9" spans="1:23" ht="15.75" thickBot="1">
      <c r="A9" s="54">
        <v>8</v>
      </c>
      <c r="B9" s="28">
        <v>22.3</v>
      </c>
      <c r="C9" s="29">
        <v>166.2</v>
      </c>
      <c r="D9" s="29">
        <v>9.6</v>
      </c>
      <c r="E9" s="29">
        <v>39.700000000000003</v>
      </c>
      <c r="F9" s="45"/>
      <c r="G9" s="136">
        <f>CORREL(E2:E18,B2:B18)</f>
        <v>-0.22924669127654815</v>
      </c>
      <c r="H9" s="51"/>
      <c r="I9" s="51"/>
      <c r="J9" s="51"/>
      <c r="O9" s="51"/>
      <c r="P9" s="51"/>
      <c r="W9" s="46"/>
    </row>
    <row r="10" spans="1:23" ht="15.75" thickBot="1">
      <c r="A10" s="54">
        <v>9</v>
      </c>
      <c r="B10" s="28">
        <v>21.9</v>
      </c>
      <c r="C10" s="29">
        <v>134.9</v>
      </c>
      <c r="D10" s="29">
        <v>37.6</v>
      </c>
      <c r="E10" s="29">
        <v>42.7</v>
      </c>
      <c r="F10" s="45"/>
      <c r="G10" s="136">
        <f>CORREL(E2:E18,C2:C18)</f>
        <v>-0.35654624201279994</v>
      </c>
      <c r="H10" s="55"/>
      <c r="I10" s="51"/>
      <c r="J10" s="51"/>
      <c r="O10" s="51"/>
      <c r="P10" s="51"/>
      <c r="W10" s="46"/>
    </row>
    <row r="11" spans="1:23" ht="15.75" thickBot="1">
      <c r="A11" s="54">
        <v>10</v>
      </c>
      <c r="B11" s="28">
        <v>21.4</v>
      </c>
      <c r="C11" s="29">
        <v>331.8</v>
      </c>
      <c r="D11" s="29">
        <v>35.200000000000003</v>
      </c>
      <c r="E11" s="29">
        <v>57.5</v>
      </c>
      <c r="F11" s="45"/>
      <c r="G11" s="136">
        <f>CORREL(E2:E18,D2:D18)</f>
        <v>1.5044819026466283E-2</v>
      </c>
      <c r="H11" s="51"/>
      <c r="I11" s="51" t="s">
        <v>83</v>
      </c>
      <c r="J11" s="51"/>
      <c r="O11" s="51"/>
      <c r="P11" s="51"/>
      <c r="W11" s="46"/>
    </row>
    <row r="12" spans="1:23" ht="15.75" thickBot="1">
      <c r="A12" s="54">
        <v>11</v>
      </c>
      <c r="B12" s="28">
        <v>22.2</v>
      </c>
      <c r="C12" s="29">
        <v>59.4</v>
      </c>
      <c r="D12" s="29">
        <v>11</v>
      </c>
      <c r="E12" s="29">
        <v>22</v>
      </c>
      <c r="F12" s="45"/>
      <c r="H12" s="51"/>
      <c r="I12" s="51"/>
      <c r="W12" s="46"/>
    </row>
    <row r="13" spans="1:23" ht="15.75" thickBot="1">
      <c r="A13" s="54">
        <v>12</v>
      </c>
      <c r="B13" s="28">
        <v>20</v>
      </c>
      <c r="C13" s="29">
        <v>161.5</v>
      </c>
      <c r="D13" s="29">
        <v>44.2</v>
      </c>
      <c r="E13" s="29">
        <v>67.400000000000006</v>
      </c>
      <c r="F13" s="44"/>
      <c r="G13" s="126"/>
      <c r="H13" s="126"/>
      <c r="I13" s="126" t="s">
        <v>162</v>
      </c>
      <c r="J13" s="126"/>
      <c r="K13" s="126"/>
      <c r="L13" s="126"/>
      <c r="M13" s="51"/>
      <c r="N13" s="51"/>
      <c r="O13" s="51"/>
      <c r="P13" s="51"/>
      <c r="W13" s="46"/>
    </row>
    <row r="14" spans="1:23" ht="15.75" thickBot="1">
      <c r="A14" s="54">
        <v>13</v>
      </c>
      <c r="B14" s="28">
        <v>18.600000000000001</v>
      </c>
      <c r="C14" s="29">
        <v>137.9</v>
      </c>
      <c r="D14" s="29">
        <v>11.2</v>
      </c>
      <c r="E14" s="29">
        <v>40.4</v>
      </c>
      <c r="F14" s="45"/>
      <c r="G14" s="44" t="s">
        <v>84</v>
      </c>
      <c r="H14" s="50">
        <f>MDETERM(G4:I6)</f>
        <v>0.23111873113755385</v>
      </c>
      <c r="I14" s="51"/>
      <c r="L14" s="51"/>
      <c r="M14" s="51"/>
      <c r="N14" s="51"/>
      <c r="O14" s="51"/>
      <c r="P14" s="51"/>
      <c r="W14" s="46"/>
    </row>
    <row r="15" spans="1:23" ht="15.75" thickBot="1">
      <c r="A15" s="54">
        <v>14</v>
      </c>
      <c r="B15" s="28">
        <v>16.600000000000001</v>
      </c>
      <c r="C15" s="29">
        <v>211.9</v>
      </c>
      <c r="D15" s="29">
        <v>38.799999999999997</v>
      </c>
      <c r="E15" s="29">
        <v>52.4</v>
      </c>
      <c r="F15" s="45"/>
      <c r="G15" s="44"/>
      <c r="H15" s="51"/>
      <c r="I15" s="51"/>
      <c r="L15" s="51"/>
      <c r="M15" s="51"/>
      <c r="N15" s="51"/>
      <c r="O15" s="51"/>
      <c r="P15" s="51"/>
      <c r="W15" s="46"/>
    </row>
    <row r="16" spans="1:23" ht="15.75" thickBot="1">
      <c r="A16" s="54">
        <v>15</v>
      </c>
      <c r="B16" s="28">
        <v>15.2</v>
      </c>
      <c r="C16" s="29">
        <v>294.7</v>
      </c>
      <c r="D16" s="29">
        <v>12.7</v>
      </c>
      <c r="E16" s="29">
        <v>29.3</v>
      </c>
      <c r="F16" s="45"/>
      <c r="G16" s="44" t="s">
        <v>85</v>
      </c>
      <c r="H16" s="56">
        <f>-(17-1-1/6*(2*3+5))*LN(H14)</f>
        <v>20.751669266058844</v>
      </c>
      <c r="I16" s="51"/>
      <c r="L16" s="51"/>
      <c r="M16" s="51"/>
      <c r="N16" s="51"/>
      <c r="O16" s="51"/>
      <c r="P16" s="51"/>
      <c r="W16" s="46"/>
    </row>
    <row r="17" spans="1:23" ht="15.75" thickBot="1">
      <c r="A17" s="54">
        <v>16</v>
      </c>
      <c r="B17" s="28">
        <v>15</v>
      </c>
      <c r="C17" s="29">
        <v>37.6</v>
      </c>
      <c r="D17" s="29">
        <v>23.8</v>
      </c>
      <c r="E17" s="29">
        <v>37</v>
      </c>
      <c r="F17" s="45"/>
      <c r="G17" s="44"/>
      <c r="H17" s="51"/>
      <c r="I17" s="51"/>
      <c r="L17" s="51"/>
      <c r="M17" s="51"/>
      <c r="N17" s="51"/>
      <c r="O17" s="51"/>
      <c r="P17" s="51"/>
      <c r="W17" s="46"/>
    </row>
    <row r="18" spans="1:23">
      <c r="A18" s="54">
        <v>17</v>
      </c>
      <c r="B18" s="34">
        <v>12.9</v>
      </c>
      <c r="C18" s="35">
        <v>106.6</v>
      </c>
      <c r="D18" s="35">
        <v>5</v>
      </c>
      <c r="E18" s="35">
        <v>23.6</v>
      </c>
      <c r="F18" s="45"/>
      <c r="G18" s="57" t="s">
        <v>86</v>
      </c>
      <c r="H18" s="50">
        <f>1/2*3*2</f>
        <v>3</v>
      </c>
      <c r="I18" s="44"/>
      <c r="L18" s="51"/>
      <c r="M18" s="51"/>
      <c r="N18" s="51"/>
      <c r="O18" s="51"/>
      <c r="P18" s="51"/>
      <c r="W18" s="46"/>
    </row>
    <row r="19" spans="1:23" ht="21.75">
      <c r="A19" s="59" t="s">
        <v>8</v>
      </c>
      <c r="B19" s="60">
        <f>AVERAGE(B2:B18)</f>
        <v>30.017647058823531</v>
      </c>
      <c r="C19" s="60">
        <f>AVERAGE(C2:C18)</f>
        <v>358.46470588235286</v>
      </c>
      <c r="D19" s="60">
        <f>AVERAGE(D2:D18)</f>
        <v>24.78235294117647</v>
      </c>
      <c r="E19" s="60">
        <f>AVERAGE(E2:E18)</f>
        <v>34.511764705882349</v>
      </c>
      <c r="F19" s="45"/>
      <c r="G19" s="58" t="s">
        <v>87</v>
      </c>
      <c r="H19" s="50">
        <f>CHIINV(0.05,H18)</f>
        <v>7.81472776394987</v>
      </c>
      <c r="I19" s="44"/>
      <c r="L19" s="51"/>
      <c r="M19" s="51"/>
      <c r="N19" s="51"/>
      <c r="O19" s="51"/>
      <c r="P19" s="51"/>
      <c r="W19" s="46"/>
    </row>
    <row r="20" spans="1:23">
      <c r="A20" s="45" t="s">
        <v>94</v>
      </c>
      <c r="B20" s="45">
        <f>STDEV(B2:B18)</f>
        <v>25.50213803032301</v>
      </c>
      <c r="C20" s="45">
        <f>STDEV(C2:C18)</f>
        <v>513.72850921130578</v>
      </c>
      <c r="D20" s="45">
        <f>STDEV(D2:D18)</f>
        <v>27.020275611430151</v>
      </c>
      <c r="E20" s="45">
        <f>STDEV(E2:E18)</f>
        <v>15.748725438624451</v>
      </c>
      <c r="F20" s="45"/>
      <c r="G20" s="44"/>
      <c r="H20" s="44"/>
      <c r="I20" s="44"/>
      <c r="J20" s="45"/>
      <c r="K20" s="70"/>
      <c r="L20" s="54"/>
      <c r="M20" s="54"/>
      <c r="N20" s="54"/>
      <c r="O20" s="54"/>
      <c r="P20" s="70"/>
      <c r="W20" s="46"/>
    </row>
    <row r="21" spans="1:23">
      <c r="G21" s="44"/>
      <c r="H21" s="44"/>
      <c r="I21" s="44"/>
      <c r="J21" s="45"/>
      <c r="K21" s="70"/>
      <c r="L21" s="54"/>
      <c r="M21" s="54"/>
      <c r="N21" s="54"/>
      <c r="O21" s="54"/>
      <c r="P21" s="70"/>
      <c r="W21" s="46"/>
    </row>
    <row r="22" spans="1:23">
      <c r="G22" s="44"/>
      <c r="P22" s="70"/>
      <c r="Q22" s="54"/>
      <c r="R22" s="54"/>
      <c r="S22" s="54"/>
      <c r="T22" s="54"/>
      <c r="U22" s="54"/>
      <c r="V22" s="45"/>
      <c r="W22" s="46"/>
    </row>
    <row r="23" spans="1:23">
      <c r="C23" s="44"/>
      <c r="D23" s="44"/>
      <c r="E23" s="137" t="s">
        <v>164</v>
      </c>
      <c r="F23" s="44"/>
      <c r="G23" s="44"/>
      <c r="P23" s="70"/>
      <c r="Q23" s="54"/>
      <c r="R23" s="54"/>
      <c r="S23" s="54"/>
      <c r="T23" s="54"/>
      <c r="U23" s="54"/>
      <c r="V23" s="45"/>
      <c r="W23" s="46"/>
    </row>
    <row r="24" spans="1:23">
      <c r="C24" s="44"/>
      <c r="D24" s="44"/>
      <c r="E24" s="44"/>
      <c r="F24" s="44"/>
      <c r="G24" s="44"/>
      <c r="P24" s="70"/>
      <c r="Q24" s="54"/>
      <c r="R24" s="54"/>
      <c r="S24" s="54"/>
      <c r="T24" s="54"/>
      <c r="U24" s="54"/>
      <c r="V24" s="45"/>
      <c r="W24" s="46"/>
    </row>
    <row r="25" spans="1:23">
      <c r="C25" s="138">
        <f t="array" ref="C25:E27">MINVERSE(G4:I6)</f>
        <v>2.0091296445303346</v>
      </c>
      <c r="D25" s="138">
        <v>-0.85223557592981658</v>
      </c>
      <c r="E25" s="138">
        <v>-0.67634576298721716</v>
      </c>
      <c r="F25" s="44"/>
      <c r="G25" s="44"/>
      <c r="P25" s="70"/>
      <c r="Q25" s="54"/>
      <c r="R25" s="54"/>
      <c r="S25" s="54"/>
      <c r="T25" s="54"/>
      <c r="U25" s="54"/>
      <c r="V25" s="45"/>
      <c r="W25" s="46"/>
    </row>
    <row r="26" spans="1:23">
      <c r="C26" s="138">
        <v>-0.85223557592981647</v>
      </c>
      <c r="D26" s="138">
        <v>2.5150621355481948</v>
      </c>
      <c r="E26" s="138">
        <v>-1.2892599881311528</v>
      </c>
      <c r="F26" s="44"/>
      <c r="G26" s="44"/>
      <c r="P26" s="70"/>
      <c r="V26" s="45"/>
      <c r="W26" s="46"/>
    </row>
    <row r="27" spans="1:23">
      <c r="C27" s="138">
        <v>-0.67634576298721705</v>
      </c>
      <c r="D27" s="138">
        <v>-1.2892599881311526</v>
      </c>
      <c r="E27" s="138">
        <v>2.3812420575350033</v>
      </c>
      <c r="F27" s="44"/>
      <c r="G27" s="44"/>
      <c r="I27" s="44"/>
      <c r="J27" s="44"/>
      <c r="K27" s="44"/>
      <c r="L27" s="44"/>
      <c r="M27" s="44"/>
      <c r="N27" s="44"/>
      <c r="O27" s="44"/>
      <c r="P27" s="70"/>
      <c r="V27" s="45"/>
      <c r="W27" s="46"/>
    </row>
    <row r="28" spans="1:23">
      <c r="A28" s="62" t="s">
        <v>95</v>
      </c>
      <c r="B28" s="44"/>
      <c r="C28" s="44"/>
      <c r="D28" s="44"/>
      <c r="E28" s="44"/>
      <c r="F28" s="44"/>
      <c r="G28" s="44"/>
      <c r="H28" s="44"/>
      <c r="I28" s="44"/>
      <c r="J28" s="44"/>
      <c r="K28" s="44" t="s">
        <v>88</v>
      </c>
      <c r="L28" s="44"/>
      <c r="M28" s="44" t="s">
        <v>89</v>
      </c>
      <c r="N28" s="44"/>
      <c r="P28" s="70"/>
      <c r="Q28" s="45"/>
      <c r="R28" s="45"/>
      <c r="S28" s="45"/>
      <c r="T28" s="45"/>
      <c r="U28" s="45"/>
      <c r="V28" s="45"/>
      <c r="W28" s="46"/>
    </row>
    <row r="29" spans="1:23" ht="15.75" thickBot="1">
      <c r="A29" s="62"/>
      <c r="B29" s="53" t="s">
        <v>20</v>
      </c>
      <c r="C29" s="53" t="s">
        <v>19</v>
      </c>
      <c r="D29" s="53" t="s">
        <v>18</v>
      </c>
      <c r="E29" s="53" t="s">
        <v>12</v>
      </c>
      <c r="F29" s="44"/>
      <c r="G29" s="44"/>
      <c r="H29" s="44"/>
      <c r="I29" s="44"/>
      <c r="J29" s="44" t="s">
        <v>91</v>
      </c>
      <c r="K29" s="47">
        <f>(C25-1)*20/2</f>
        <v>10.091296445303346</v>
      </c>
      <c r="L29" s="44"/>
      <c r="M29" s="47">
        <f>FINV(0.05,2,20)</f>
        <v>3.4928284767875342</v>
      </c>
      <c r="N29" s="44"/>
      <c r="P29" s="45"/>
      <c r="Q29" s="45"/>
      <c r="R29" s="45"/>
      <c r="S29" s="45"/>
      <c r="T29" s="45"/>
      <c r="U29" s="45"/>
      <c r="V29" s="45"/>
      <c r="W29" s="46"/>
    </row>
    <row r="30" spans="1:23">
      <c r="A30" s="141" t="s">
        <v>96</v>
      </c>
      <c r="B30" s="142">
        <f t="array" ref="B30:E34">LINEST(E2:E18,B2:D18,1,1)</f>
        <v>0.379175658039418</v>
      </c>
      <c r="C30" s="143">
        <v>-2.2095441915183926E-2</v>
      </c>
      <c r="D30" s="143">
        <v>-0.10306857648850941</v>
      </c>
      <c r="E30" s="144">
        <v>36.129211961001104</v>
      </c>
      <c r="G30" s="140" t="s">
        <v>97</v>
      </c>
      <c r="H30" s="139" t="s">
        <v>98</v>
      </c>
      <c r="I30" s="44"/>
      <c r="J30" s="44" t="s">
        <v>92</v>
      </c>
      <c r="K30" s="47">
        <f>(D26-1)*20/2</f>
        <v>15.150621355481949</v>
      </c>
      <c r="M30" s="44"/>
      <c r="N30" s="44"/>
      <c r="P30" s="45"/>
      <c r="Q30" s="45"/>
      <c r="R30" s="45"/>
      <c r="S30" s="63"/>
      <c r="T30" s="63"/>
      <c r="U30" s="63"/>
      <c r="V30" s="63"/>
      <c r="W30" s="46"/>
    </row>
    <row r="31" spans="1:23">
      <c r="A31" s="53" t="s">
        <v>99</v>
      </c>
      <c r="B31" s="145">
        <v>0.20795421638647751</v>
      </c>
      <c r="C31" s="146">
        <v>1.1240779396251906E-2</v>
      </c>
      <c r="D31" s="146">
        <v>0.2023872370358856</v>
      </c>
      <c r="E31" s="147">
        <v>5.6902255415276128</v>
      </c>
      <c r="G31" s="154">
        <f>(H31*3.7416573)/((1-H31^2)*0.5)</f>
        <v>3.3133487301069429</v>
      </c>
      <c r="H31" s="155">
        <f>-D25/(C25*D26)^0.5</f>
        <v>0.3791240361692525</v>
      </c>
      <c r="I31" s="44"/>
      <c r="J31" s="44" t="s">
        <v>93</v>
      </c>
      <c r="K31" s="47">
        <f>(E27-1)*20/2</f>
        <v>13.812420575350032</v>
      </c>
      <c r="L31" s="61"/>
      <c r="M31" s="44"/>
      <c r="N31" s="44"/>
      <c r="P31" s="45"/>
      <c r="Q31" s="45"/>
      <c r="R31" s="45"/>
      <c r="S31" s="54"/>
      <c r="T31" s="54"/>
      <c r="U31" s="54"/>
      <c r="V31" s="54"/>
      <c r="W31" s="46"/>
    </row>
    <row r="32" spans="1:23">
      <c r="A32" s="44"/>
      <c r="B32" s="145">
        <v>0.30503330157442216</v>
      </c>
      <c r="C32" s="146">
        <v>14.565175570381159</v>
      </c>
      <c r="D32" s="148" t="e">
        <v>#N/A</v>
      </c>
      <c r="E32" s="149" t="e">
        <v>#N/A</v>
      </c>
      <c r="G32" s="154">
        <f>(H32*3.7416573)/((1-H32^2)*0.5)</f>
        <v>2.5586075361867922</v>
      </c>
      <c r="H32" s="156">
        <f>-E25/(C25*E27)^0.5</f>
        <v>0.3092167566914597</v>
      </c>
      <c r="I32" s="44"/>
      <c r="J32" s="45"/>
      <c r="K32" s="45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46"/>
    </row>
    <row r="33" spans="1:23" ht="15.75" thickBot="1">
      <c r="A33" s="44"/>
      <c r="B33" s="145">
        <v>1.9019774278158625</v>
      </c>
      <c r="C33" s="146">
        <v>13</v>
      </c>
      <c r="D33" s="148" t="e">
        <v>#N/A</v>
      </c>
      <c r="E33" s="149" t="e">
        <v>#N/A</v>
      </c>
      <c r="G33" s="157">
        <f>(H33*3.7416573)/((1-H33^2)*0.5)</f>
        <v>2.2392046250638753</v>
      </c>
      <c r="H33" s="158">
        <f>-E25/(D26*E27)^0.5</f>
        <v>0.27637110948590493</v>
      </c>
      <c r="I33" s="44"/>
      <c r="J33" s="45"/>
    </row>
    <row r="34" spans="1:23" ht="15.75" thickBot="1">
      <c r="A34" s="44"/>
      <c r="B34" s="150">
        <v>1210.4812349104586</v>
      </c>
      <c r="C34" s="151">
        <v>2757.8764121483655</v>
      </c>
      <c r="D34" s="152" t="e">
        <v>#N/A</v>
      </c>
      <c r="E34" s="153" t="e">
        <v>#N/A</v>
      </c>
      <c r="F34" s="44"/>
      <c r="G34" s="44"/>
      <c r="H34" s="44"/>
      <c r="I34" s="44"/>
      <c r="J34" s="45"/>
    </row>
    <row r="35" spans="1:23">
      <c r="A35" s="57"/>
      <c r="B35" s="57"/>
      <c r="C35" s="57"/>
      <c r="D35" s="57"/>
      <c r="E35" s="57"/>
      <c r="F35" s="57"/>
      <c r="G35" s="57"/>
      <c r="H35" s="57"/>
      <c r="I35" s="57"/>
      <c r="J35" s="45"/>
    </row>
    <row r="36" spans="1:23">
      <c r="A36" s="57"/>
      <c r="B36" s="57">
        <f>ABS(B30/B31)</f>
        <v>1.8233612408931872</v>
      </c>
      <c r="C36" s="57">
        <f>ABS(C30/C31)</f>
        <v>1.9656503465010058</v>
      </c>
      <c r="D36" s="57">
        <f>ABS(D30/D31)</f>
        <v>0.50926421052051896</v>
      </c>
      <c r="E36" s="57">
        <f>ABS(E30/E31)</f>
        <v>6.3493462073388676</v>
      </c>
      <c r="F36" s="57"/>
      <c r="G36" s="46" t="s">
        <v>165</v>
      </c>
      <c r="H36" s="64"/>
      <c r="I36" s="64"/>
      <c r="J36" s="64"/>
      <c r="K36" s="64"/>
      <c r="L36" s="64"/>
      <c r="M36" s="64"/>
      <c r="N36" s="64"/>
      <c r="Q36" s="64"/>
      <c r="R36" s="64"/>
      <c r="S36" s="64"/>
      <c r="T36" s="64"/>
      <c r="U36" s="46"/>
    </row>
    <row r="37" spans="1:23">
      <c r="A37" s="57"/>
      <c r="B37" s="57"/>
      <c r="C37" s="57"/>
      <c r="D37" s="57"/>
      <c r="E37" s="57"/>
      <c r="F37" s="57"/>
      <c r="G37" s="46" t="s">
        <v>166</v>
      </c>
      <c r="H37" s="46"/>
      <c r="I37" s="46"/>
      <c r="J37" s="46"/>
      <c r="K37" s="46"/>
      <c r="L37" s="46"/>
      <c r="M37" s="46"/>
      <c r="N37" s="46"/>
      <c r="Q37" s="46"/>
      <c r="R37" s="46"/>
      <c r="S37" s="46"/>
      <c r="T37" s="46"/>
      <c r="U37" s="46"/>
    </row>
    <row r="38" spans="1:23">
      <c r="A38" s="57"/>
      <c r="B38" s="57">
        <f>TINV(0.025,17)</f>
        <v>2.4580507187952527</v>
      </c>
      <c r="C38" s="57"/>
      <c r="D38" s="57"/>
      <c r="E38" s="57"/>
      <c r="F38" s="57"/>
      <c r="G38" t="s">
        <v>169</v>
      </c>
      <c r="H38" s="46"/>
      <c r="I38" s="46"/>
      <c r="J38" s="46"/>
      <c r="K38" s="46"/>
      <c r="L38" s="46"/>
      <c r="M38" s="46"/>
      <c r="N38" s="46"/>
      <c r="Q38" s="46"/>
      <c r="R38" s="46"/>
      <c r="S38" s="46"/>
      <c r="T38" s="46"/>
      <c r="U38" s="46"/>
    </row>
    <row r="39" spans="1:23" ht="15.75" thickBot="1">
      <c r="A39" s="66"/>
      <c r="B39" s="66"/>
      <c r="C39" s="66"/>
      <c r="D39" s="57"/>
      <c r="E39" s="57"/>
      <c r="F39" s="57"/>
      <c r="G39" s="46" t="s">
        <v>167</v>
      </c>
      <c r="I39" s="48"/>
      <c r="J39" s="48" t="s">
        <v>0</v>
      </c>
      <c r="K39" s="48" t="s">
        <v>1</v>
      </c>
      <c r="L39" s="45" t="s">
        <v>74</v>
      </c>
      <c r="M39" s="49" t="s">
        <v>3</v>
      </c>
      <c r="N39" s="46"/>
      <c r="O39" s="46"/>
      <c r="P39" s="46"/>
      <c r="Q39" s="46"/>
      <c r="R39" s="46"/>
      <c r="S39" s="46"/>
      <c r="T39" s="46"/>
      <c r="U39" s="46"/>
      <c r="V39" s="46"/>
      <c r="W39" s="46"/>
    </row>
    <row r="40" spans="1:23" ht="15.75" thickBot="1">
      <c r="A40" s="49"/>
      <c r="B40" s="49"/>
      <c r="C40" s="49"/>
      <c r="D40" s="49"/>
      <c r="E40" s="49"/>
      <c r="F40" s="49"/>
      <c r="G40" s="159" t="s">
        <v>168</v>
      </c>
      <c r="H40" s="49"/>
      <c r="I40" s="45">
        <v>1</v>
      </c>
      <c r="J40" s="26">
        <v>102.4</v>
      </c>
      <c r="K40" s="27">
        <v>2021.7</v>
      </c>
      <c r="L40" s="27">
        <v>117.5</v>
      </c>
      <c r="M40" s="27">
        <v>10.7</v>
      </c>
      <c r="N40" s="70"/>
      <c r="O40" s="70"/>
      <c r="P40" s="45"/>
      <c r="Q40" s="45"/>
      <c r="R40" s="45"/>
      <c r="S40" s="45"/>
      <c r="T40" s="45"/>
      <c r="U40" s="45"/>
      <c r="V40" s="45"/>
      <c r="W40" s="46"/>
    </row>
    <row r="41" spans="1:23" ht="15.75" thickBot="1">
      <c r="A41" s="49"/>
      <c r="B41" s="49"/>
      <c r="C41" t="s">
        <v>100</v>
      </c>
      <c r="H41" s="49"/>
      <c r="I41" s="45">
        <v>2</v>
      </c>
      <c r="J41" s="28">
        <v>90</v>
      </c>
      <c r="K41" s="29">
        <v>221</v>
      </c>
      <c r="L41" s="29">
        <v>20.6</v>
      </c>
      <c r="M41" s="29">
        <v>45.5</v>
      </c>
      <c r="V41" s="45"/>
      <c r="W41" s="46"/>
    </row>
    <row r="42" spans="1:23" ht="15.75" thickBot="1">
      <c r="A42" s="49"/>
      <c r="B42" s="76"/>
      <c r="C42">
        <v>1</v>
      </c>
      <c r="D42">
        <f t="shared" ref="D42:D58" si="0">STANDARDIZE(J40,$B$19,$B$20)</f>
        <v>2.8382856706018575</v>
      </c>
      <c r="E42">
        <f t="shared" ref="E42:E58" si="1">STANDARDIZE(K40,$C$19,$C$20)</f>
        <v>3.2375763935529003</v>
      </c>
      <c r="F42">
        <f t="shared" ref="F42:F58" si="2">STANDARDIZE(L40,$D$19,$D$20)</f>
        <v>3.431410115580094</v>
      </c>
      <c r="G42">
        <f t="shared" ref="G42:G58" si="3">STANDARDIZE(M40,$E$19,$E$20)</f>
        <v>-1.5119804328725508</v>
      </c>
      <c r="H42" s="76"/>
      <c r="I42" s="52">
        <v>3</v>
      </c>
      <c r="J42" s="28">
        <v>34.700000000000003</v>
      </c>
      <c r="K42" s="29">
        <v>1222.7</v>
      </c>
      <c r="L42" s="29">
        <v>17.600000000000001</v>
      </c>
      <c r="M42" s="29">
        <v>25.1</v>
      </c>
      <c r="V42" s="45"/>
      <c r="W42" s="46"/>
    </row>
    <row r="43" spans="1:23" ht="15.75" thickBot="1">
      <c r="A43" s="49"/>
      <c r="B43" s="76"/>
      <c r="C43">
        <v>2</v>
      </c>
      <c r="D43">
        <f t="shared" si="0"/>
        <v>2.3520519287384913</v>
      </c>
      <c r="E43">
        <f t="shared" si="1"/>
        <v>-0.26758239696176012</v>
      </c>
      <c r="F43">
        <f t="shared" si="2"/>
        <v>-0.15478572466548948</v>
      </c>
      <c r="G43">
        <f t="shared" si="3"/>
        <v>0.69772219580185924</v>
      </c>
      <c r="H43" s="76"/>
      <c r="I43" s="54">
        <v>4</v>
      </c>
      <c r="J43" s="28">
        <v>25.3</v>
      </c>
      <c r="K43" s="29">
        <v>239</v>
      </c>
      <c r="L43" s="29">
        <v>11.6</v>
      </c>
      <c r="M43" s="29">
        <v>22.6</v>
      </c>
      <c r="V43" s="45"/>
      <c r="W43" s="46"/>
    </row>
    <row r="44" spans="1:23" ht="15.75" thickBot="1">
      <c r="A44" s="49"/>
      <c r="B44" s="76"/>
      <c r="C44">
        <v>3</v>
      </c>
      <c r="D44">
        <f t="shared" si="0"/>
        <v>0.18360628962202999</v>
      </c>
      <c r="E44">
        <f t="shared" si="1"/>
        <v>1.6822801900646935</v>
      </c>
      <c r="F44">
        <f t="shared" si="2"/>
        <v>-0.26581345965761283</v>
      </c>
      <c r="G44">
        <f t="shared" si="3"/>
        <v>-0.59762072445555348</v>
      </c>
      <c r="H44" s="76"/>
      <c r="I44" s="54">
        <v>5</v>
      </c>
      <c r="J44" s="28">
        <v>23.3</v>
      </c>
      <c r="K44" s="29">
        <v>123.9</v>
      </c>
      <c r="L44" s="29">
        <v>3.7</v>
      </c>
      <c r="M44" s="29">
        <v>10.7</v>
      </c>
      <c r="V44" s="45"/>
      <c r="W44" s="46"/>
    </row>
    <row r="45" spans="1:23" ht="15.75" thickBot="1">
      <c r="A45" s="49"/>
      <c r="B45" s="76"/>
      <c r="C45">
        <v>4</v>
      </c>
      <c r="D45">
        <f t="shared" si="0"/>
        <v>-0.18499025662923121</v>
      </c>
      <c r="E45">
        <f t="shared" si="1"/>
        <v>-0.23254443493073668</v>
      </c>
      <c r="F45">
        <f t="shared" si="2"/>
        <v>-0.48786892964185957</v>
      </c>
      <c r="G45">
        <f t="shared" si="3"/>
        <v>-0.75636372938905994</v>
      </c>
      <c r="H45" s="76"/>
      <c r="I45" s="54">
        <v>6</v>
      </c>
      <c r="J45" s="28">
        <v>23</v>
      </c>
      <c r="K45" s="29">
        <v>594.70000000000005</v>
      </c>
      <c r="L45" s="29">
        <v>8.9</v>
      </c>
      <c r="M45" s="29">
        <v>36.200000000000003</v>
      </c>
      <c r="V45" s="45"/>
      <c r="W45" s="46"/>
    </row>
    <row r="46" spans="1:23" ht="15.75" thickBot="1">
      <c r="A46" s="49"/>
      <c r="B46" s="76"/>
      <c r="C46">
        <v>5</v>
      </c>
      <c r="D46">
        <f t="shared" si="0"/>
        <v>-0.26341505370396762</v>
      </c>
      <c r="E46">
        <f t="shared" si="1"/>
        <v>-0.45659273658466981</v>
      </c>
      <c r="F46">
        <f t="shared" si="2"/>
        <v>-0.78024196512111765</v>
      </c>
      <c r="G46">
        <f t="shared" si="3"/>
        <v>-1.5119804328725508</v>
      </c>
      <c r="H46" s="46"/>
      <c r="I46" s="54">
        <v>7</v>
      </c>
      <c r="J46" s="28">
        <v>25.5</v>
      </c>
      <c r="K46" s="29">
        <v>28.4</v>
      </c>
      <c r="L46" s="29">
        <v>12.3</v>
      </c>
      <c r="M46" s="29">
        <v>23.9</v>
      </c>
      <c r="V46" s="45"/>
      <c r="W46" s="46"/>
    </row>
    <row r="47" spans="1:23" ht="15.75" thickBot="1">
      <c r="A47" s="49"/>
      <c r="B47" s="76"/>
      <c r="C47">
        <v>6</v>
      </c>
      <c r="D47">
        <f t="shared" si="0"/>
        <v>-0.27517877326517809</v>
      </c>
      <c r="E47">
        <f t="shared" si="1"/>
        <v>0.45984462587120967</v>
      </c>
      <c r="F47">
        <f t="shared" si="2"/>
        <v>-0.58779389113477054</v>
      </c>
      <c r="G47">
        <f t="shared" si="3"/>
        <v>0.10719821744921536</v>
      </c>
      <c r="H47" s="46"/>
      <c r="I47" s="54">
        <v>8</v>
      </c>
      <c r="J47" s="28">
        <v>22.3</v>
      </c>
      <c r="K47" s="29">
        <v>166.2</v>
      </c>
      <c r="L47" s="29">
        <v>9.6</v>
      </c>
      <c r="M47" s="29">
        <v>39.700000000000003</v>
      </c>
      <c r="V47" s="45"/>
      <c r="W47" s="46"/>
    </row>
    <row r="48" spans="1:23" ht="15.75" thickBot="1">
      <c r="A48" s="49"/>
      <c r="B48" s="76"/>
      <c r="C48">
        <v>7</v>
      </c>
      <c r="D48">
        <f t="shared" si="0"/>
        <v>-0.17714777692175759</v>
      </c>
      <c r="E48">
        <f t="shared" si="1"/>
        <v>-0.64248859069371078</v>
      </c>
      <c r="F48">
        <f t="shared" si="2"/>
        <v>-0.46196245814369741</v>
      </c>
      <c r="G48">
        <f t="shared" si="3"/>
        <v>-0.67381736682363669</v>
      </c>
      <c r="H48" s="45"/>
      <c r="I48" s="54">
        <v>9</v>
      </c>
      <c r="J48" s="28">
        <v>21.9</v>
      </c>
      <c r="K48" s="29">
        <v>134.9</v>
      </c>
      <c r="L48" s="29">
        <v>37.6</v>
      </c>
      <c r="M48" s="29">
        <v>42.7</v>
      </c>
      <c r="V48" s="45"/>
      <c r="W48" s="46"/>
    </row>
    <row r="49" spans="1:23" ht="15.75" thickBot="1">
      <c r="A49" s="49"/>
      <c r="B49" s="76"/>
      <c r="C49">
        <v>8</v>
      </c>
      <c r="D49">
        <f t="shared" si="0"/>
        <v>-0.3026274522413358</v>
      </c>
      <c r="E49">
        <f t="shared" si="1"/>
        <v>-0.3742535258117648</v>
      </c>
      <c r="F49">
        <f t="shared" si="2"/>
        <v>-0.56188741963660849</v>
      </c>
      <c r="G49">
        <f t="shared" si="3"/>
        <v>0.32943842435612442</v>
      </c>
      <c r="H49" s="45"/>
      <c r="I49" s="54">
        <v>10</v>
      </c>
      <c r="J49" s="28">
        <v>21.4</v>
      </c>
      <c r="K49" s="29">
        <v>331.8</v>
      </c>
      <c r="L49" s="29">
        <v>35.200000000000003</v>
      </c>
      <c r="M49" s="29">
        <v>57.5</v>
      </c>
      <c r="V49" s="45"/>
      <c r="W49" s="46"/>
    </row>
    <row r="50" spans="1:23" ht="15.75" thickBot="1">
      <c r="A50" s="49"/>
      <c r="B50" s="76"/>
      <c r="C50">
        <v>9</v>
      </c>
      <c r="D50">
        <f t="shared" si="0"/>
        <v>-0.31831241165628316</v>
      </c>
      <c r="E50">
        <f t="shared" si="1"/>
        <v>-0.43518064867682216</v>
      </c>
      <c r="F50">
        <f t="shared" si="2"/>
        <v>0.47437144028987605</v>
      </c>
      <c r="G50">
        <f t="shared" si="3"/>
        <v>0.51993003027633222</v>
      </c>
      <c r="H50" s="45"/>
      <c r="I50" s="54">
        <v>11</v>
      </c>
      <c r="J50" s="28">
        <v>22.2</v>
      </c>
      <c r="K50" s="29">
        <v>59.4</v>
      </c>
      <c r="L50" s="29">
        <v>11</v>
      </c>
      <c r="M50" s="29">
        <v>22</v>
      </c>
      <c r="V50" s="45"/>
      <c r="W50" s="46"/>
    </row>
    <row r="51" spans="1:23" ht="15.75" thickBot="1">
      <c r="A51" s="49"/>
      <c r="B51" s="76"/>
      <c r="C51">
        <v>10</v>
      </c>
      <c r="D51">
        <f t="shared" si="0"/>
        <v>-0.33791861092496728</v>
      </c>
      <c r="E51">
        <f t="shared" si="1"/>
        <v>-5.1904275126349229E-2</v>
      </c>
      <c r="F51">
        <f t="shared" si="2"/>
        <v>0.38554925229617742</v>
      </c>
      <c r="G51">
        <f t="shared" si="3"/>
        <v>1.4596886194826904</v>
      </c>
      <c r="H51" s="45"/>
      <c r="I51" s="54">
        <v>12</v>
      </c>
      <c r="J51" s="28">
        <v>20</v>
      </c>
      <c r="K51" s="29">
        <v>161.5</v>
      </c>
      <c r="L51" s="29">
        <v>44.2</v>
      </c>
      <c r="M51" s="29">
        <v>67.400000000000006</v>
      </c>
      <c r="V51" s="45"/>
      <c r="W51" s="46"/>
    </row>
    <row r="52" spans="1:23" ht="15.75" thickBot="1">
      <c r="A52" s="49"/>
      <c r="B52" s="76"/>
      <c r="C52">
        <v>11</v>
      </c>
      <c r="D52">
        <f t="shared" si="0"/>
        <v>-0.30654869209507268</v>
      </c>
      <c r="E52">
        <f t="shared" si="1"/>
        <v>-0.58214543386250384</v>
      </c>
      <c r="F52">
        <f t="shared" si="2"/>
        <v>-0.51007447664028416</v>
      </c>
      <c r="G52">
        <f t="shared" si="3"/>
        <v>-0.7944620505731016</v>
      </c>
      <c r="H52" s="67"/>
      <c r="I52" s="54">
        <v>13</v>
      </c>
      <c r="J52" s="28">
        <v>18.600000000000001</v>
      </c>
      <c r="K52" s="29">
        <v>137.9</v>
      </c>
      <c r="L52" s="29">
        <v>11.2</v>
      </c>
      <c r="M52" s="29">
        <v>40.4</v>
      </c>
      <c r="V52" s="45"/>
      <c r="W52" s="46"/>
    </row>
    <row r="53" spans="1:23" ht="15.75" thickBot="1">
      <c r="A53" s="49"/>
      <c r="B53" s="77"/>
      <c r="C53">
        <v>12</v>
      </c>
      <c r="D53">
        <f t="shared" si="0"/>
        <v>-0.39281596887728271</v>
      </c>
      <c r="E53">
        <f t="shared" si="1"/>
        <v>-0.38340232700875421</v>
      </c>
      <c r="F53">
        <f t="shared" si="2"/>
        <v>0.71863245727254743</v>
      </c>
      <c r="G53">
        <f t="shared" si="3"/>
        <v>2.088310919019376</v>
      </c>
      <c r="I53" s="54">
        <v>14</v>
      </c>
      <c r="J53" s="28">
        <v>16.600000000000001</v>
      </c>
      <c r="K53" s="29">
        <v>211.9</v>
      </c>
      <c r="L53" s="29">
        <v>38.799999999999997</v>
      </c>
      <c r="M53" s="29">
        <v>52.4</v>
      </c>
      <c r="V53" s="45"/>
      <c r="W53" s="46"/>
    </row>
    <row r="54" spans="1:23" ht="15.75" thickBot="1">
      <c r="A54" s="49"/>
      <c r="B54" s="76"/>
      <c r="C54">
        <v>13</v>
      </c>
      <c r="D54">
        <f t="shared" si="0"/>
        <v>-0.44771332682959813</v>
      </c>
      <c r="E54">
        <f t="shared" si="1"/>
        <v>-0.42934098833831824</v>
      </c>
      <c r="F54">
        <f t="shared" si="2"/>
        <v>-0.50267262764080933</v>
      </c>
      <c r="G54">
        <f t="shared" si="3"/>
        <v>0.37388646573750595</v>
      </c>
      <c r="I54" s="54">
        <v>15</v>
      </c>
      <c r="J54" s="28">
        <v>15.2</v>
      </c>
      <c r="K54" s="29">
        <v>294.7</v>
      </c>
      <c r="L54" s="29">
        <v>12.7</v>
      </c>
      <c r="M54" s="29">
        <v>29.3</v>
      </c>
      <c r="V54" s="45"/>
      <c r="W54" s="46"/>
    </row>
    <row r="55" spans="1:23" ht="15.75" thickBot="1">
      <c r="A55" s="66"/>
      <c r="B55" s="76"/>
      <c r="C55">
        <v>14</v>
      </c>
      <c r="D55">
        <f t="shared" si="0"/>
        <v>-0.52613812390433456</v>
      </c>
      <c r="E55">
        <f t="shared" si="1"/>
        <v>-0.28529603332188863</v>
      </c>
      <c r="F55">
        <f t="shared" si="2"/>
        <v>0.51878253428672527</v>
      </c>
      <c r="G55">
        <f t="shared" si="3"/>
        <v>1.1358528894183371</v>
      </c>
      <c r="I55" s="54">
        <v>16</v>
      </c>
      <c r="J55" s="28">
        <v>15</v>
      </c>
      <c r="K55" s="29">
        <v>37.6</v>
      </c>
      <c r="L55" s="29">
        <v>23.8</v>
      </c>
      <c r="M55" s="29">
        <v>37</v>
      </c>
      <c r="V55" s="45"/>
      <c r="W55" s="46"/>
    </row>
    <row r="56" spans="1:23">
      <c r="A56" s="78"/>
      <c r="B56" s="76"/>
      <c r="C56">
        <v>15</v>
      </c>
      <c r="D56">
        <f t="shared" si="0"/>
        <v>-0.5810354818566501</v>
      </c>
      <c r="E56">
        <f t="shared" si="1"/>
        <v>-0.12412140797918089</v>
      </c>
      <c r="F56">
        <f t="shared" si="2"/>
        <v>-0.4471587601447477</v>
      </c>
      <c r="G56">
        <f t="shared" si="3"/>
        <v>-0.33093247616726262</v>
      </c>
      <c r="I56" s="54">
        <v>17</v>
      </c>
      <c r="J56" s="34">
        <v>12.9</v>
      </c>
      <c r="K56" s="35">
        <v>106.6</v>
      </c>
      <c r="L56" s="35">
        <v>5</v>
      </c>
      <c r="M56" s="35">
        <v>23.6</v>
      </c>
      <c r="V56" s="45"/>
      <c r="W56" s="46"/>
    </row>
    <row r="57" spans="1:23">
      <c r="A57" s="49"/>
      <c r="C57">
        <v>16</v>
      </c>
      <c r="D57">
        <f t="shared" si="0"/>
        <v>-0.58887796156412375</v>
      </c>
      <c r="E57">
        <f t="shared" si="1"/>
        <v>-0.62458029898896539</v>
      </c>
      <c r="F57">
        <f t="shared" si="2"/>
        <v>-3.6356140673891299E-2</v>
      </c>
      <c r="G57">
        <f t="shared" si="3"/>
        <v>0.15799597902793724</v>
      </c>
      <c r="I57" s="59" t="s">
        <v>8</v>
      </c>
      <c r="J57" s="60">
        <f>AVERAGE(J40:J56)</f>
        <v>30.017647058823531</v>
      </c>
      <c r="K57" s="60">
        <f>AVERAGE(K40:K56)</f>
        <v>358.46470588235286</v>
      </c>
      <c r="L57" s="60">
        <f>AVERAGE(L40:L56)</f>
        <v>24.78235294117647</v>
      </c>
      <c r="M57" s="60">
        <f>AVERAGE(M40:M56)</f>
        <v>34.511764705882349</v>
      </c>
      <c r="V57" s="45"/>
      <c r="W57" s="46"/>
    </row>
    <row r="58" spans="1:23">
      <c r="A58" s="49"/>
      <c r="C58">
        <v>17</v>
      </c>
      <c r="D58">
        <f t="shared" si="0"/>
        <v>-0.67122399849259684</v>
      </c>
      <c r="E58">
        <f t="shared" si="1"/>
        <v>-0.49026811120337566</v>
      </c>
      <c r="F58">
        <f t="shared" si="2"/>
        <v>-0.7321299466245309</v>
      </c>
      <c r="G58">
        <f t="shared" si="3"/>
        <v>-0.69286652741565735</v>
      </c>
      <c r="I58" s="45" t="s">
        <v>94</v>
      </c>
      <c r="J58" s="45">
        <f>STDEV(J40:J56)</f>
        <v>25.50213803032301</v>
      </c>
      <c r="K58" s="45">
        <f>STDEV(K40:K56)</f>
        <v>513.72850921130578</v>
      </c>
      <c r="L58" s="45">
        <f>STDEV(L40:L46)</f>
        <v>40.087107534420475</v>
      </c>
      <c r="M58" s="45">
        <f>STDEV(M40:M56)</f>
        <v>15.748725438624451</v>
      </c>
      <c r="V58" s="45"/>
      <c r="W58" s="46"/>
    </row>
    <row r="59" spans="1:23">
      <c r="A59" s="49"/>
      <c r="C59" s="68" t="s">
        <v>101</v>
      </c>
      <c r="D59" s="69">
        <f>SUM(D42:D58)</f>
        <v>-1.6653345369377348E-15</v>
      </c>
      <c r="E59" s="69">
        <f>SUM(E42:E58)</f>
        <v>3.3306690738754696E-15</v>
      </c>
      <c r="F59" s="69">
        <f>SUM(F42:F58)</f>
        <v>0</v>
      </c>
      <c r="G59" s="69">
        <f>SUM(G42:G58)</f>
        <v>5.1070259132757201E-15</v>
      </c>
      <c r="I59" s="49"/>
      <c r="J59" s="70"/>
      <c r="K59" s="70"/>
      <c r="L59" s="54"/>
      <c r="V59" s="45"/>
      <c r="W59" s="46"/>
    </row>
    <row r="60" spans="1:23">
      <c r="A60" s="49"/>
      <c r="I60" s="49"/>
      <c r="J60" s="70"/>
      <c r="K60" s="70"/>
      <c r="L60" s="54"/>
      <c r="V60" s="45"/>
      <c r="W60" s="46"/>
    </row>
    <row r="61" spans="1:23">
      <c r="A61" s="49"/>
      <c r="I61" s="49"/>
      <c r="J61" s="70"/>
      <c r="K61" s="70"/>
      <c r="L61" s="54"/>
      <c r="M61" s="54"/>
      <c r="N61" s="54"/>
      <c r="O61" s="54"/>
      <c r="P61" s="54"/>
      <c r="Q61" s="54"/>
      <c r="V61" s="45"/>
      <c r="W61" s="46"/>
    </row>
    <row r="62" spans="1:23">
      <c r="A62" s="49"/>
      <c r="I62" s="49"/>
      <c r="J62" s="70"/>
      <c r="K62" s="70"/>
      <c r="L62" s="54"/>
      <c r="M62" s="54"/>
      <c r="N62" s="54"/>
      <c r="O62" s="54"/>
      <c r="P62" s="54"/>
      <c r="Q62" s="54"/>
      <c r="V62" s="45"/>
      <c r="W62" s="46"/>
    </row>
    <row r="63" spans="1:23">
      <c r="A63" s="49"/>
      <c r="I63" s="49"/>
      <c r="J63" s="70"/>
      <c r="K63" s="70"/>
      <c r="L63" s="54"/>
      <c r="M63" s="54"/>
      <c r="N63" s="54"/>
      <c r="O63" s="54"/>
      <c r="P63" s="45"/>
      <c r="Q63" s="54"/>
      <c r="R63" s="54"/>
      <c r="S63" s="54"/>
      <c r="T63" s="54"/>
      <c r="U63" s="54"/>
      <c r="V63" s="45"/>
      <c r="W63" s="46"/>
    </row>
    <row r="64" spans="1:23">
      <c r="A64" s="49"/>
      <c r="I64" s="49"/>
      <c r="J64" s="70"/>
      <c r="K64" s="70"/>
      <c r="L64" s="54"/>
      <c r="M64" s="54"/>
      <c r="N64" s="54"/>
      <c r="O64" s="54"/>
      <c r="P64" s="45"/>
      <c r="Q64" s="54"/>
      <c r="R64" s="54"/>
      <c r="S64" s="54"/>
      <c r="T64" s="54"/>
      <c r="U64" s="54"/>
      <c r="V64" s="45"/>
      <c r="W64" s="46"/>
    </row>
    <row r="65" spans="1:23">
      <c r="A65" s="49"/>
      <c r="I65" s="49"/>
      <c r="J65" s="70"/>
      <c r="K65" s="70"/>
      <c r="L65" s="54"/>
      <c r="M65" s="54"/>
      <c r="N65" s="54"/>
      <c r="O65" s="54"/>
      <c r="V65" s="45"/>
      <c r="W65" s="46"/>
    </row>
    <row r="66" spans="1:23">
      <c r="A66" s="49"/>
      <c r="I66" s="49"/>
      <c r="J66" s="70"/>
      <c r="K66" s="70"/>
      <c r="L66" s="54"/>
      <c r="M66" s="54"/>
      <c r="N66" s="54"/>
      <c r="O66" s="54"/>
      <c r="V66" s="45"/>
      <c r="W66" s="46"/>
    </row>
    <row r="67" spans="1:23">
      <c r="A67" s="79"/>
      <c r="I67" s="49"/>
      <c r="J67" s="70"/>
      <c r="K67" s="70"/>
      <c r="L67" s="73"/>
      <c r="M67" s="73"/>
      <c r="N67" s="73"/>
      <c r="O67" s="73"/>
      <c r="P67" s="45"/>
      <c r="Q67" s="45"/>
      <c r="R67" s="45"/>
      <c r="S67" s="45"/>
      <c r="T67" s="45"/>
      <c r="U67" s="45"/>
      <c r="V67" s="45"/>
      <c r="W67" s="46"/>
    </row>
    <row r="68" spans="1:23">
      <c r="A68" s="79"/>
      <c r="I68" s="49"/>
      <c r="J68" s="70"/>
      <c r="K68" s="70"/>
      <c r="L68" s="70"/>
      <c r="M68" s="70"/>
      <c r="N68" s="70"/>
      <c r="O68" s="70"/>
      <c r="P68" s="45"/>
      <c r="Q68" s="45"/>
      <c r="R68" s="45"/>
      <c r="S68" s="45"/>
      <c r="T68" s="45"/>
      <c r="U68" s="45"/>
      <c r="V68" s="45"/>
      <c r="W68" s="46"/>
    </row>
    <row r="69" spans="1:23">
      <c r="A69" s="80"/>
      <c r="I69" s="49"/>
      <c r="J69" s="70"/>
      <c r="K69" s="81"/>
      <c r="L69" s="70"/>
      <c r="M69" s="70"/>
      <c r="N69" s="70"/>
      <c r="O69" s="70"/>
      <c r="P69" s="45"/>
      <c r="Q69" s="45"/>
      <c r="R69" s="45"/>
      <c r="S69" s="63"/>
      <c r="T69" s="63"/>
      <c r="U69" s="63"/>
      <c r="V69" s="63"/>
      <c r="W69" s="46"/>
    </row>
    <row r="70" spans="1:23">
      <c r="A70" s="49"/>
      <c r="I70" s="49"/>
      <c r="J70" s="70"/>
      <c r="K70" s="70"/>
      <c r="L70" s="70"/>
      <c r="M70" s="70"/>
      <c r="N70" s="70"/>
      <c r="O70" s="70"/>
      <c r="P70" s="45"/>
      <c r="Q70" s="45"/>
      <c r="R70" s="45"/>
      <c r="S70" s="54"/>
      <c r="T70" s="54"/>
      <c r="U70" s="54"/>
      <c r="V70" s="54"/>
      <c r="W70" s="46"/>
    </row>
    <row r="71" spans="1:23">
      <c r="A71" s="49"/>
      <c r="I71" s="49"/>
      <c r="J71" s="70"/>
      <c r="K71" s="70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46"/>
    </row>
    <row r="72" spans="1:23">
      <c r="A72" s="49"/>
      <c r="I72" s="49"/>
      <c r="J72" s="70"/>
      <c r="K72" s="82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46"/>
    </row>
    <row r="73" spans="1:23">
      <c r="A73" s="49"/>
      <c r="I73" s="49"/>
      <c r="J73" s="70"/>
      <c r="K73" s="82"/>
      <c r="L73" s="82"/>
      <c r="M73" s="82"/>
      <c r="N73" s="82"/>
      <c r="O73" s="82"/>
      <c r="P73" s="46"/>
      <c r="Q73" s="46"/>
      <c r="R73" s="46"/>
      <c r="S73" s="46"/>
      <c r="T73" s="46"/>
      <c r="U73" s="46"/>
      <c r="V73" s="46"/>
      <c r="W73" s="46"/>
    </row>
    <row r="74" spans="1:23">
      <c r="A74" s="66"/>
      <c r="H74" s="66"/>
      <c r="I74" s="66"/>
      <c r="J74" s="70"/>
      <c r="K74" s="82"/>
      <c r="L74" s="82"/>
      <c r="M74" s="82"/>
      <c r="N74" s="82"/>
      <c r="O74" s="82"/>
      <c r="P74" s="46"/>
      <c r="Q74" s="46"/>
      <c r="R74" s="46"/>
      <c r="S74" s="46"/>
      <c r="T74" s="46"/>
      <c r="U74" s="46"/>
      <c r="V74" s="46"/>
      <c r="W74" s="46"/>
    </row>
    <row r="75" spans="1:23">
      <c r="H75" s="66"/>
      <c r="I75" s="66"/>
      <c r="J75" s="70"/>
      <c r="K75" s="82"/>
      <c r="L75" s="82"/>
      <c r="M75" s="82"/>
      <c r="N75" s="82"/>
      <c r="O75" s="82"/>
      <c r="P75" s="46"/>
      <c r="Q75" s="46"/>
      <c r="R75" s="46"/>
      <c r="S75" s="46"/>
      <c r="T75" s="46"/>
      <c r="U75" s="46"/>
      <c r="V75" s="46"/>
      <c r="W75" s="46"/>
    </row>
    <row r="76" spans="1:23">
      <c r="H76" s="66"/>
      <c r="I76" s="66"/>
      <c r="J76" s="70"/>
      <c r="K76" s="82"/>
      <c r="L76" s="82"/>
      <c r="M76" s="83"/>
      <c r="N76" s="82"/>
      <c r="O76" s="82"/>
      <c r="P76" s="46"/>
      <c r="Q76" s="46"/>
      <c r="R76" s="65"/>
      <c r="S76" s="46"/>
      <c r="T76" s="46"/>
      <c r="U76" s="65"/>
      <c r="V76" s="46"/>
      <c r="W76" s="46"/>
    </row>
    <row r="77" spans="1:23">
      <c r="H77" s="57"/>
      <c r="I77" s="57"/>
      <c r="J77" s="45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</row>
    <row r="78" spans="1:23"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</row>
    <row r="79" spans="1:23"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</row>
    <row r="80" spans="1:23"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6"/>
    </row>
    <row r="81" spans="13:23"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6"/>
    </row>
    <row r="82" spans="13:23"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6"/>
    </row>
    <row r="83" spans="13:23"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6"/>
    </row>
    <row r="84" spans="13:23">
      <c r="M84" s="67"/>
      <c r="N84" s="67"/>
      <c r="O84" s="67"/>
      <c r="P84" s="67"/>
      <c r="Q84" s="67"/>
      <c r="R84" s="67"/>
      <c r="S84" s="67"/>
      <c r="T84" s="67"/>
      <c r="U84" s="67"/>
      <c r="V84" s="67"/>
    </row>
  </sheetData>
  <mergeCells count="1">
    <mergeCell ref="G8:J8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87"/>
  <sheetViews>
    <sheetView topLeftCell="B1" zoomScale="85" zoomScaleNormal="85" workbookViewId="0">
      <selection activeCell="H21" sqref="H21"/>
    </sheetView>
  </sheetViews>
  <sheetFormatPr defaultRowHeight="15"/>
  <cols>
    <col min="6" max="6" width="11.7109375" customWidth="1"/>
    <col min="8" max="8" width="12.85546875" customWidth="1"/>
    <col min="9" max="9" width="13.42578125" customWidth="1"/>
    <col min="11" max="11" width="17.140625" customWidth="1"/>
    <col min="12" max="12" width="15" customWidth="1"/>
  </cols>
  <sheetData>
    <row r="1" spans="1:10" ht="63.75">
      <c r="A1" s="165" t="s">
        <v>102</v>
      </c>
      <c r="B1" s="165" t="s">
        <v>103</v>
      </c>
      <c r="C1" s="85"/>
      <c r="D1" s="85"/>
      <c r="E1" s="85"/>
      <c r="F1" s="85"/>
      <c r="G1" s="85"/>
      <c r="H1" s="85"/>
      <c r="I1" s="85"/>
    </row>
    <row r="2" spans="1:10" ht="19.5" thickBot="1">
      <c r="A2" s="165" t="s">
        <v>1</v>
      </c>
      <c r="B2" s="165" t="s">
        <v>3</v>
      </c>
      <c r="C2" s="85"/>
      <c r="D2" s="85"/>
      <c r="E2" s="163" t="s">
        <v>104</v>
      </c>
      <c r="F2" s="163"/>
      <c r="G2" s="164"/>
      <c r="H2" s="164"/>
      <c r="I2" s="85"/>
    </row>
    <row r="3" spans="1:10" ht="15.75" thickBot="1">
      <c r="A3" s="99">
        <v>3.7</v>
      </c>
      <c r="B3" s="99">
        <v>10.7</v>
      </c>
      <c r="C3" s="85"/>
      <c r="D3" s="85"/>
      <c r="E3" s="85"/>
      <c r="F3" s="85"/>
      <c r="G3" s="85"/>
      <c r="H3" s="85"/>
      <c r="I3" s="85"/>
    </row>
    <row r="4" spans="1:10" ht="15.75" thickBot="1">
      <c r="A4" s="99">
        <v>5</v>
      </c>
      <c r="B4" s="99">
        <v>23.6</v>
      </c>
      <c r="C4" s="85"/>
      <c r="D4" s="85"/>
      <c r="E4" s="85"/>
      <c r="F4" s="85"/>
      <c r="G4" s="85"/>
      <c r="H4" s="85"/>
      <c r="I4" s="85"/>
    </row>
    <row r="5" spans="1:10" ht="15.75" thickBot="1">
      <c r="A5" s="99">
        <v>8.9</v>
      </c>
      <c r="B5" s="99">
        <v>36.200000000000003</v>
      </c>
      <c r="C5" s="85"/>
      <c r="D5" s="85"/>
      <c r="E5" s="85"/>
      <c r="F5" s="85"/>
      <c r="G5" s="85"/>
      <c r="H5" s="85"/>
      <c r="I5" s="85"/>
    </row>
    <row r="6" spans="1:10" ht="15.75" thickBot="1">
      <c r="A6" s="99">
        <v>9.6</v>
      </c>
      <c r="B6" s="99">
        <v>39.700000000000003</v>
      </c>
      <c r="C6" s="85"/>
      <c r="D6" s="85"/>
      <c r="E6" s="160" t="s">
        <v>105</v>
      </c>
      <c r="F6" s="161">
        <f>(4/15)*17</f>
        <v>4.5333333333333332</v>
      </c>
      <c r="G6" s="85"/>
      <c r="H6" s="85"/>
      <c r="I6" s="85"/>
      <c r="J6" s="85"/>
    </row>
    <row r="7" spans="1:10" ht="15.75" thickBot="1">
      <c r="A7" s="99">
        <v>11</v>
      </c>
      <c r="B7" s="99">
        <v>22</v>
      </c>
      <c r="D7" s="85"/>
      <c r="E7" s="85"/>
      <c r="F7" s="85"/>
      <c r="G7" s="85"/>
      <c r="H7" s="85" t="s">
        <v>106</v>
      </c>
      <c r="I7" s="85"/>
      <c r="J7" s="85"/>
    </row>
    <row r="8" spans="1:10" ht="15.75" thickBot="1">
      <c r="A8" s="99">
        <v>11.2</v>
      </c>
      <c r="B8" s="99">
        <v>40.4</v>
      </c>
      <c r="D8" s="85"/>
      <c r="E8" s="85"/>
      <c r="F8" s="85"/>
      <c r="G8" s="85"/>
      <c r="H8" s="85"/>
      <c r="I8" s="85"/>
      <c r="J8" s="85"/>
    </row>
    <row r="9" spans="1:10" ht="15.75" thickBot="1">
      <c r="A9" s="100">
        <v>11.6</v>
      </c>
      <c r="B9" s="100">
        <v>22.6</v>
      </c>
      <c r="D9" s="85"/>
      <c r="E9" s="85"/>
      <c r="F9" s="85"/>
      <c r="G9" s="85"/>
      <c r="H9" s="85"/>
      <c r="I9" s="85"/>
      <c r="J9" s="85"/>
    </row>
    <row r="10" spans="1:10" ht="15.75" thickBot="1">
      <c r="A10" s="100">
        <v>12.3</v>
      </c>
      <c r="B10" s="100">
        <v>23.9</v>
      </c>
      <c r="D10" s="85"/>
      <c r="E10" s="85"/>
      <c r="F10" s="85"/>
      <c r="G10" s="85"/>
      <c r="H10" s="85"/>
      <c r="I10" s="85"/>
      <c r="J10" s="85"/>
    </row>
    <row r="11" spans="1:10" ht="15.75" thickBot="1">
      <c r="A11" s="100">
        <v>12.7</v>
      </c>
      <c r="B11" s="100">
        <v>29.3</v>
      </c>
      <c r="D11" s="85"/>
      <c r="E11" s="85" t="s">
        <v>107</v>
      </c>
      <c r="F11" s="85"/>
      <c r="H11" s="85"/>
      <c r="I11" s="85" t="s">
        <v>108</v>
      </c>
      <c r="J11" s="85"/>
    </row>
    <row r="12" spans="1:10" ht="15.75" thickBot="1">
      <c r="A12" s="100">
        <v>17.600000000000001</v>
      </c>
      <c r="B12" s="100">
        <v>25.1</v>
      </c>
      <c r="D12" s="85"/>
      <c r="E12" s="85"/>
      <c r="F12" s="85"/>
      <c r="G12" s="85"/>
      <c r="H12" s="85"/>
      <c r="I12" s="85"/>
      <c r="J12" s="85"/>
    </row>
    <row r="13" spans="1:10" ht="15.75" thickBot="1">
      <c r="A13" s="100">
        <v>20.6</v>
      </c>
      <c r="B13" s="100">
        <v>45.5</v>
      </c>
      <c r="E13" s="87">
        <f t="array" ref="E13:F17">LINEST(B3:B8,A3:A8,1,1)</f>
        <v>2.6981650147334584</v>
      </c>
      <c r="F13" s="87">
        <v>6.5517747120278571</v>
      </c>
      <c r="G13" s="85"/>
      <c r="H13" s="87">
        <f t="array" ref="H13:I17">LINEST(B14:B19,A14:A19,1,1)</f>
        <v>-0.42888783484285486</v>
      </c>
      <c r="I13" s="87">
        <v>65.853762621968698</v>
      </c>
      <c r="J13" s="85" t="s">
        <v>90</v>
      </c>
    </row>
    <row r="14" spans="1:10" ht="15.75" thickBot="1">
      <c r="A14" s="99">
        <v>23.8</v>
      </c>
      <c r="B14" s="99">
        <v>37</v>
      </c>
      <c r="E14" s="87">
        <v>1.3195405301512932</v>
      </c>
      <c r="F14" s="87">
        <v>11.509792654445807</v>
      </c>
      <c r="G14" s="85"/>
      <c r="H14" s="87">
        <v>0.19694730572314126</v>
      </c>
      <c r="I14" s="87">
        <v>11.507681801632103</v>
      </c>
      <c r="J14" s="85"/>
    </row>
    <row r="15" spans="1:10" ht="15.75" thickBot="1">
      <c r="A15" s="99">
        <v>35.200000000000003</v>
      </c>
      <c r="B15" s="99">
        <v>57.5</v>
      </c>
      <c r="C15" t="s">
        <v>109</v>
      </c>
      <c r="E15" s="87">
        <v>0.51106876353334352</v>
      </c>
      <c r="F15" s="87">
        <v>9.3093872749232585</v>
      </c>
      <c r="G15" s="85" t="s">
        <v>109</v>
      </c>
      <c r="H15" s="87">
        <v>0.54245355626158698</v>
      </c>
      <c r="I15" s="87">
        <v>14.964325777795446</v>
      </c>
      <c r="J15" s="85"/>
    </row>
    <row r="16" spans="1:10" ht="15.75" thickBot="1">
      <c r="A16" s="99">
        <v>37.6</v>
      </c>
      <c r="B16" s="99">
        <v>42.7</v>
      </c>
      <c r="C16" t="s">
        <v>110</v>
      </c>
      <c r="E16" s="87">
        <v>4.1811095337386712</v>
      </c>
      <c r="F16" s="87">
        <v>4</v>
      </c>
      <c r="G16" s="85" t="s">
        <v>110</v>
      </c>
      <c r="H16" s="87">
        <v>4.7422819141981289</v>
      </c>
      <c r="I16" s="87">
        <v>4</v>
      </c>
      <c r="J16" s="85"/>
    </row>
    <row r="17" spans="1:17" ht="15.75" thickBot="1">
      <c r="A17" s="99">
        <v>38.799999999999997</v>
      </c>
      <c r="B17" s="99">
        <v>52.4</v>
      </c>
      <c r="E17" s="87">
        <v>362.35456759532099</v>
      </c>
      <c r="F17" s="87">
        <v>346.65876573801233</v>
      </c>
      <c r="G17" s="85"/>
      <c r="H17" s="87">
        <v>1061.9441493973609</v>
      </c>
      <c r="I17" s="87">
        <v>895.72418393597309</v>
      </c>
      <c r="J17" s="85"/>
    </row>
    <row r="18" spans="1:17" ht="15.75" thickBot="1">
      <c r="A18" s="99">
        <v>44.2</v>
      </c>
      <c r="B18" s="99">
        <v>67.400000000000006</v>
      </c>
      <c r="D18" s="85"/>
      <c r="E18" s="85" t="s">
        <v>111</v>
      </c>
      <c r="F18" s="85"/>
      <c r="G18" s="85"/>
      <c r="H18" s="85" t="s">
        <v>111</v>
      </c>
      <c r="I18" s="85"/>
      <c r="J18" s="85"/>
    </row>
    <row r="19" spans="1:17">
      <c r="A19" s="101">
        <v>117.5</v>
      </c>
      <c r="B19" s="101">
        <v>10.7</v>
      </c>
      <c r="K19" t="s">
        <v>106</v>
      </c>
    </row>
    <row r="20" spans="1:17">
      <c r="A20" s="87"/>
      <c r="B20" s="102">
        <f ca="1">AVERAGE(B3:B25)</f>
        <v>34.511764705882356</v>
      </c>
      <c r="G20" t="s">
        <v>90</v>
      </c>
    </row>
    <row r="21" spans="1:17">
      <c r="A21" s="64"/>
      <c r="B21" s="64"/>
    </row>
    <row r="22" spans="1:17">
      <c r="A22" s="64"/>
      <c r="B22" s="64"/>
      <c r="C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</row>
    <row r="23" spans="1:17">
      <c r="A23" s="64"/>
      <c r="B23" s="64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1:17" ht="15.75" thickBot="1">
      <c r="A24" s="64"/>
      <c r="B24" s="64"/>
      <c r="C24" s="85" t="s">
        <v>170</v>
      </c>
      <c r="E24" s="160">
        <f>I17/F17</f>
        <v>2.583878650894746</v>
      </c>
      <c r="F24" s="88"/>
      <c r="G24" s="85"/>
      <c r="H24" s="85" t="s">
        <v>112</v>
      </c>
      <c r="I24" s="85"/>
      <c r="J24" s="85"/>
      <c r="K24" s="85"/>
      <c r="L24" s="85"/>
      <c r="M24" s="85"/>
      <c r="N24" s="85"/>
      <c r="O24" s="85"/>
      <c r="P24" s="85"/>
      <c r="Q24" s="85"/>
    </row>
    <row r="25" spans="1:17" ht="15.75" thickBot="1">
      <c r="A25" s="64"/>
      <c r="B25" s="64"/>
      <c r="C25" s="85"/>
      <c r="D25" s="85"/>
      <c r="F25" s="85"/>
      <c r="G25" s="85"/>
      <c r="H25" s="173" t="s">
        <v>132</v>
      </c>
      <c r="J25" s="85"/>
      <c r="K25" s="85"/>
      <c r="L25" s="85"/>
      <c r="M25" s="85"/>
      <c r="N25" s="85"/>
      <c r="O25" s="85"/>
      <c r="P25" s="85"/>
      <c r="Q25" s="85"/>
    </row>
    <row r="26" spans="1:17" ht="15.75" thickBot="1">
      <c r="B26" s="89" t="s">
        <v>113</v>
      </c>
      <c r="E26" s="160">
        <f>FINV(0.05,4,4)</f>
        <v>6.3882329087953078</v>
      </c>
      <c r="G26" s="85"/>
      <c r="H26" s="173" t="s">
        <v>133</v>
      </c>
      <c r="I26" s="85"/>
      <c r="J26" s="85"/>
      <c r="K26" s="85"/>
      <c r="L26" s="85"/>
      <c r="M26" s="85"/>
      <c r="N26" s="85"/>
      <c r="O26" s="85"/>
      <c r="P26" s="85"/>
      <c r="Q26" s="85"/>
    </row>
    <row r="27" spans="1:17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</row>
    <row r="28" spans="1:17">
      <c r="A28" s="85"/>
      <c r="C28" s="85" t="s">
        <v>42</v>
      </c>
      <c r="D28" s="85" t="s">
        <v>171</v>
      </c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</row>
    <row r="29" spans="1:17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</row>
    <row r="30" spans="1:17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</row>
    <row r="31" spans="1:17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</row>
    <row r="32" spans="1:17" ht="18.75">
      <c r="A32" s="85"/>
      <c r="B32" s="85"/>
      <c r="C32" s="86" t="s">
        <v>114</v>
      </c>
      <c r="D32" s="85"/>
      <c r="E32" s="85"/>
      <c r="F32" s="85"/>
      <c r="G32" s="85"/>
      <c r="H32" s="85"/>
      <c r="I32" s="85"/>
      <c r="J32" s="85" t="s">
        <v>115</v>
      </c>
      <c r="K32" s="85"/>
      <c r="L32" s="85"/>
      <c r="M32" s="85"/>
      <c r="N32" s="85"/>
      <c r="O32" s="85"/>
      <c r="P32" s="85"/>
      <c r="Q32" s="85"/>
    </row>
    <row r="33" spans="1:19">
      <c r="A33" s="85"/>
      <c r="B33" s="85"/>
      <c r="C33" s="85"/>
      <c r="D33" s="85"/>
      <c r="E33" s="85"/>
      <c r="F33" s="85"/>
      <c r="G33" s="85"/>
      <c r="H33" s="85" t="s">
        <v>122</v>
      </c>
      <c r="I33" s="85"/>
      <c r="J33" s="85"/>
      <c r="K33" s="85" t="s">
        <v>116</v>
      </c>
      <c r="L33" s="85"/>
      <c r="M33" s="85"/>
      <c r="N33" s="85"/>
      <c r="O33" s="85"/>
      <c r="P33" s="85"/>
      <c r="Q33" s="85"/>
    </row>
    <row r="34" spans="1:19" ht="18">
      <c r="A34" s="85"/>
      <c r="B34" s="85"/>
      <c r="C34" s="87" t="s">
        <v>19</v>
      </c>
      <c r="D34" s="87" t="s">
        <v>12</v>
      </c>
      <c r="E34" s="85"/>
      <c r="F34" s="90" t="s">
        <v>24</v>
      </c>
      <c r="G34" s="91" t="s">
        <v>117</v>
      </c>
      <c r="H34" s="87" t="s">
        <v>118</v>
      </c>
      <c r="I34" s="87" t="s">
        <v>119</v>
      </c>
      <c r="M34" s="85"/>
      <c r="N34" s="85"/>
      <c r="O34" s="85"/>
      <c r="P34" s="85"/>
      <c r="Q34" s="85"/>
    </row>
    <row r="35" spans="1:19">
      <c r="A35" s="85"/>
      <c r="B35" s="85"/>
      <c r="C35" s="87">
        <f t="array" ref="C35:D39">LINEST(B3:B19,A3:A19,1,1)</f>
        <v>8.7688492718920753E-3</v>
      </c>
      <c r="D35" s="87">
        <v>34.294451988338352</v>
      </c>
      <c r="E35" s="85">
        <v>1</v>
      </c>
      <c r="F35" s="87">
        <f>$D$35+$C$35*A3</f>
        <v>34.32689673064435</v>
      </c>
      <c r="G35" s="87">
        <f>B3-F35</f>
        <v>-23.626896730644351</v>
      </c>
      <c r="H35" s="92">
        <f>ABS(G35)</f>
        <v>23.626896730644351</v>
      </c>
      <c r="I35" s="87">
        <f t="shared" ref="I35:I51" si="0">$M$36+$L$36*A3</f>
        <v>9.16119039663403</v>
      </c>
      <c r="K35" s="85"/>
      <c r="L35" s="87" t="s">
        <v>120</v>
      </c>
      <c r="M35" s="87" t="s">
        <v>121</v>
      </c>
      <c r="N35" s="85"/>
      <c r="O35" s="85"/>
      <c r="P35" s="85"/>
      <c r="Q35" s="85"/>
    </row>
    <row r="36" spans="1:19">
      <c r="A36" s="85"/>
      <c r="B36" s="85"/>
      <c r="C36" s="87">
        <v>0.15047378711733841</v>
      </c>
      <c r="D36" s="87">
        <v>5.4281497951766751</v>
      </c>
      <c r="E36" s="85">
        <v>2</v>
      </c>
      <c r="F36" s="87">
        <f t="shared" ref="F36:F51" si="1">$D$35+$C$35*A4</f>
        <v>34.338296234697815</v>
      </c>
      <c r="G36" s="87">
        <f t="shared" ref="G36:G51" si="2">B4-F36</f>
        <v>-10.738296234697813</v>
      </c>
      <c r="H36" s="92">
        <f t="shared" ref="H36:H51" si="3">ABS(G36)</f>
        <v>10.738296234697813</v>
      </c>
      <c r="I36" s="87">
        <f t="shared" si="0"/>
        <v>9.3807384539540362</v>
      </c>
      <c r="K36" s="85"/>
      <c r="L36" s="87">
        <f t="array" ref="L36:M40">LINEST(H35:H51,A3:A19,1,1)</f>
        <v>0.16888312101538885</v>
      </c>
      <c r="M36" s="87">
        <v>8.5363228488770915</v>
      </c>
      <c r="N36" s="85"/>
      <c r="O36" s="85"/>
      <c r="P36" s="85"/>
      <c r="Q36" s="85"/>
    </row>
    <row r="37" spans="1:19">
      <c r="A37" s="85"/>
      <c r="B37" s="85"/>
      <c r="C37" s="87">
        <v>2.263465795389359E-4</v>
      </c>
      <c r="D37" s="87">
        <v>16.263372800824609</v>
      </c>
      <c r="E37" s="85">
        <v>3</v>
      </c>
      <c r="F37" s="87">
        <f t="shared" si="1"/>
        <v>34.372494746858195</v>
      </c>
      <c r="G37" s="87">
        <f t="shared" si="2"/>
        <v>1.8275052531418083</v>
      </c>
      <c r="H37" s="92">
        <f t="shared" si="3"/>
        <v>1.8275052531418083</v>
      </c>
      <c r="I37" s="87">
        <f t="shared" si="0"/>
        <v>10.039382625914053</v>
      </c>
      <c r="K37" s="85"/>
      <c r="L37" s="87">
        <v>7.0988038356619071E-2</v>
      </c>
      <c r="M37" s="87">
        <v>2.5608028697051082</v>
      </c>
      <c r="N37" s="85"/>
      <c r="O37" s="85"/>
      <c r="P37" s="85"/>
      <c r="Q37" s="85"/>
    </row>
    <row r="38" spans="1:19">
      <c r="A38" s="85"/>
      <c r="B38" s="85"/>
      <c r="C38" s="87">
        <v>3.3959673586799015E-3</v>
      </c>
      <c r="D38" s="87">
        <v>15</v>
      </c>
      <c r="E38" s="103">
        <v>4</v>
      </c>
      <c r="F38" s="87">
        <f t="shared" si="1"/>
        <v>34.378632941348513</v>
      </c>
      <c r="G38" s="87">
        <f t="shared" si="2"/>
        <v>5.3213670586514894</v>
      </c>
      <c r="H38" s="92">
        <f t="shared" si="3"/>
        <v>5.3213670586514894</v>
      </c>
      <c r="I38" s="87">
        <f t="shared" si="0"/>
        <v>10.157600810624825</v>
      </c>
      <c r="K38" s="85"/>
      <c r="L38" s="87">
        <v>0.2739527973525136</v>
      </c>
      <c r="M38" s="87">
        <v>7.6724654460424899</v>
      </c>
      <c r="N38" s="85"/>
      <c r="O38" s="85"/>
      <c r="P38" s="85"/>
      <c r="Q38" s="85"/>
    </row>
    <row r="39" spans="1:19">
      <c r="A39" s="85"/>
      <c r="B39" s="85"/>
      <c r="C39" s="87">
        <v>0.89822417979894453</v>
      </c>
      <c r="D39" s="87">
        <v>3967.4594228790247</v>
      </c>
      <c r="E39" s="103">
        <v>5</v>
      </c>
      <c r="F39" s="87">
        <f t="shared" si="1"/>
        <v>34.390909330329166</v>
      </c>
      <c r="G39" s="87">
        <f t="shared" si="2"/>
        <v>-12.390909330329166</v>
      </c>
      <c r="H39" s="92">
        <f t="shared" si="3"/>
        <v>12.390909330329166</v>
      </c>
      <c r="I39" s="87">
        <f t="shared" si="0"/>
        <v>10.394037180046368</v>
      </c>
      <c r="K39" s="85" t="s">
        <v>110</v>
      </c>
      <c r="L39" s="87">
        <v>5.6598137769878099</v>
      </c>
      <c r="M39" s="87">
        <v>15</v>
      </c>
      <c r="N39" s="85"/>
      <c r="O39" s="85"/>
      <c r="P39" s="85"/>
      <c r="Q39" s="85"/>
    </row>
    <row r="40" spans="1:19">
      <c r="A40" s="85"/>
      <c r="B40" s="85"/>
      <c r="C40" s="85"/>
      <c r="D40" s="85"/>
      <c r="E40" s="103">
        <v>6</v>
      </c>
      <c r="F40" s="87">
        <f t="shared" si="1"/>
        <v>34.39266310018354</v>
      </c>
      <c r="G40" s="87">
        <f t="shared" si="2"/>
        <v>6.0073368998164582</v>
      </c>
      <c r="H40" s="92">
        <f t="shared" si="3"/>
        <v>6.0073368998164582</v>
      </c>
      <c r="I40" s="87">
        <f t="shared" si="0"/>
        <v>10.427813804249446</v>
      </c>
      <c r="J40" s="85"/>
      <c r="K40" s="85"/>
      <c r="L40" s="87">
        <v>333.17470693821508</v>
      </c>
      <c r="M40" s="87">
        <v>883.00089031073969</v>
      </c>
      <c r="N40" s="85"/>
      <c r="O40" s="85"/>
      <c r="P40" s="85"/>
      <c r="Q40" s="85"/>
    </row>
    <row r="41" spans="1:19">
      <c r="A41" s="85"/>
      <c r="B41" s="85"/>
      <c r="C41" s="85"/>
      <c r="D41" s="85"/>
      <c r="E41" s="103">
        <v>7</v>
      </c>
      <c r="F41" s="87">
        <f t="shared" si="1"/>
        <v>34.396170639892297</v>
      </c>
      <c r="G41" s="87">
        <f t="shared" si="2"/>
        <v>-11.796170639892296</v>
      </c>
      <c r="H41" s="92">
        <f t="shared" si="3"/>
        <v>11.796170639892296</v>
      </c>
      <c r="I41" s="87">
        <f t="shared" si="0"/>
        <v>10.495367052655602</v>
      </c>
      <c r="J41" s="85"/>
      <c r="K41" s="85"/>
      <c r="L41" s="85"/>
      <c r="M41" s="85"/>
      <c r="N41" s="85"/>
      <c r="O41" s="85"/>
      <c r="P41" s="85"/>
      <c r="Q41" s="85"/>
    </row>
    <row r="42" spans="1:19">
      <c r="A42" s="85"/>
      <c r="B42" s="85"/>
      <c r="C42" s="85"/>
      <c r="D42" s="85"/>
      <c r="E42" s="103">
        <v>8</v>
      </c>
      <c r="F42" s="87">
        <f t="shared" si="1"/>
        <v>34.402308834382623</v>
      </c>
      <c r="G42" s="87">
        <f t="shared" si="2"/>
        <v>-10.502308834382625</v>
      </c>
      <c r="H42" s="92">
        <f t="shared" si="3"/>
        <v>10.502308834382625</v>
      </c>
      <c r="I42" s="87">
        <f t="shared" si="0"/>
        <v>10.613585237366374</v>
      </c>
      <c r="J42" s="85"/>
      <c r="L42" s="85" t="s">
        <v>179</v>
      </c>
      <c r="M42">
        <f>L39</f>
        <v>5.6598137769878099</v>
      </c>
      <c r="N42" s="85"/>
      <c r="O42" s="85"/>
      <c r="P42" s="85"/>
      <c r="Q42" s="85"/>
    </row>
    <row r="43" spans="1:19">
      <c r="A43" s="85"/>
      <c r="B43" s="85"/>
      <c r="C43" s="85"/>
      <c r="D43" s="85"/>
      <c r="E43" s="103">
        <v>9</v>
      </c>
      <c r="F43" s="87">
        <f t="shared" si="1"/>
        <v>34.40581637409138</v>
      </c>
      <c r="G43" s="87">
        <f t="shared" si="2"/>
        <v>-5.1058163740913791</v>
      </c>
      <c r="H43" s="92">
        <f t="shared" si="3"/>
        <v>5.1058163740913791</v>
      </c>
      <c r="I43" s="87">
        <f t="shared" si="0"/>
        <v>10.68113848577253</v>
      </c>
      <c r="J43" s="85"/>
      <c r="K43" s="85"/>
      <c r="L43" t="s">
        <v>178</v>
      </c>
      <c r="M43" s="87">
        <f>FINV(0.05,1,17-1-1)</f>
        <v>4.5430771231332319</v>
      </c>
      <c r="N43" s="85"/>
      <c r="O43" s="85"/>
      <c r="P43" s="85"/>
      <c r="Q43" s="85"/>
    </row>
    <row r="44" spans="1:19">
      <c r="A44" s="85"/>
      <c r="B44" s="85"/>
      <c r="C44" s="85"/>
      <c r="D44" s="85"/>
      <c r="E44" s="103">
        <v>10</v>
      </c>
      <c r="F44" s="87">
        <f t="shared" si="1"/>
        <v>34.448783735523655</v>
      </c>
      <c r="G44" s="87">
        <f t="shared" si="2"/>
        <v>-9.3487837355236536</v>
      </c>
      <c r="H44" s="92">
        <f t="shared" si="3"/>
        <v>9.3487837355236536</v>
      </c>
      <c r="I44" s="87">
        <f t="shared" si="0"/>
        <v>11.508665778747936</v>
      </c>
      <c r="J44" s="85"/>
      <c r="M44" s="85"/>
      <c r="N44" s="85"/>
      <c r="O44" s="85"/>
      <c r="P44" s="85"/>
      <c r="Q44" s="85"/>
    </row>
    <row r="45" spans="1:19">
      <c r="A45" s="85"/>
      <c r="B45" s="85"/>
      <c r="C45" s="85"/>
      <c r="D45" s="85"/>
      <c r="E45" s="103">
        <v>1</v>
      </c>
      <c r="F45" s="87">
        <f t="shared" si="1"/>
        <v>34.475090283339327</v>
      </c>
      <c r="G45" s="87">
        <f t="shared" si="2"/>
        <v>11.024909716660673</v>
      </c>
      <c r="H45" s="92">
        <f t="shared" si="3"/>
        <v>11.024909716660673</v>
      </c>
      <c r="I45" s="87">
        <f t="shared" si="0"/>
        <v>12.015315141794101</v>
      </c>
      <c r="J45" s="85"/>
      <c r="K45" s="85"/>
      <c r="L45" s="85"/>
      <c r="M45" s="85"/>
      <c r="N45" s="85"/>
      <c r="O45" s="85"/>
      <c r="P45" s="85"/>
      <c r="Q45" s="85"/>
    </row>
    <row r="46" spans="1:19">
      <c r="A46" s="85"/>
      <c r="B46" s="85"/>
      <c r="C46" s="85"/>
      <c r="D46" s="85"/>
      <c r="E46" s="103">
        <v>12</v>
      </c>
      <c r="F46" s="87">
        <f t="shared" si="1"/>
        <v>34.503150601009381</v>
      </c>
      <c r="G46" s="87">
        <f t="shared" si="2"/>
        <v>2.4968493989906193</v>
      </c>
      <c r="H46" s="92">
        <f t="shared" si="3"/>
        <v>2.4968493989906193</v>
      </c>
      <c r="I46" s="87">
        <f t="shared" si="0"/>
        <v>12.555741129043346</v>
      </c>
      <c r="J46" s="85"/>
      <c r="K46" s="85"/>
      <c r="L46" s="85"/>
      <c r="M46" s="85"/>
      <c r="N46" s="85"/>
      <c r="O46" s="85"/>
      <c r="P46" s="85"/>
      <c r="Q46" s="85"/>
    </row>
    <row r="47" spans="1:19">
      <c r="A47" s="85"/>
      <c r="B47" s="85"/>
      <c r="C47" s="85"/>
      <c r="D47" s="85"/>
      <c r="E47" s="103">
        <v>13</v>
      </c>
      <c r="F47" s="87">
        <f t="shared" si="1"/>
        <v>34.603115482708951</v>
      </c>
      <c r="G47" s="87">
        <f t="shared" si="2"/>
        <v>22.896884517291049</v>
      </c>
      <c r="H47" s="92">
        <f t="shared" si="3"/>
        <v>22.896884517291049</v>
      </c>
      <c r="I47" s="87">
        <f t="shared" si="0"/>
        <v>14.481008708618781</v>
      </c>
      <c r="J47" s="85"/>
      <c r="K47" s="85"/>
      <c r="L47" s="85"/>
      <c r="M47" s="85"/>
      <c r="N47" s="85"/>
      <c r="O47" s="85"/>
      <c r="P47" s="85"/>
      <c r="Q47" s="85"/>
    </row>
    <row r="48" spans="1:19">
      <c r="A48" s="85"/>
      <c r="B48" s="85"/>
      <c r="C48" s="85"/>
      <c r="D48" s="85"/>
      <c r="E48" s="103">
        <v>14</v>
      </c>
      <c r="F48" s="87">
        <f t="shared" si="1"/>
        <v>34.624160720961491</v>
      </c>
      <c r="G48" s="87">
        <f t="shared" si="2"/>
        <v>8.0758392790385116</v>
      </c>
      <c r="H48" s="92">
        <f t="shared" si="3"/>
        <v>8.0758392790385116</v>
      </c>
      <c r="I48" s="87">
        <f t="shared" si="0"/>
        <v>14.886328199055713</v>
      </c>
      <c r="J48" s="85"/>
      <c r="K48" s="171" t="s">
        <v>175</v>
      </c>
      <c r="L48" s="171"/>
      <c r="M48" s="171"/>
      <c r="N48" s="171"/>
      <c r="O48" s="171"/>
      <c r="P48" s="171"/>
      <c r="Q48" s="171"/>
      <c r="R48" s="172"/>
      <c r="S48" s="172"/>
    </row>
    <row r="49" spans="1:18">
      <c r="A49" s="85"/>
      <c r="B49" s="85"/>
      <c r="C49" s="85"/>
      <c r="D49" s="85"/>
      <c r="E49" s="103">
        <v>15</v>
      </c>
      <c r="F49" s="87">
        <f t="shared" si="1"/>
        <v>34.634683340087761</v>
      </c>
      <c r="G49" s="87">
        <f t="shared" si="2"/>
        <v>17.765316659912237</v>
      </c>
      <c r="H49" s="92">
        <f t="shared" si="3"/>
        <v>17.765316659912237</v>
      </c>
      <c r="I49" s="87">
        <f t="shared" si="0"/>
        <v>15.088987944274178</v>
      </c>
      <c r="J49" s="85"/>
      <c r="K49" s="85"/>
      <c r="L49" s="85"/>
      <c r="M49" s="85"/>
      <c r="N49" s="85"/>
      <c r="O49" s="85"/>
      <c r="P49" s="85"/>
      <c r="Q49" s="85"/>
    </row>
    <row r="50" spans="1:18">
      <c r="A50" s="85"/>
      <c r="B50" s="85"/>
      <c r="C50" s="85"/>
      <c r="D50" s="85"/>
      <c r="E50" s="103">
        <v>16</v>
      </c>
      <c r="F50" s="87">
        <f t="shared" si="1"/>
        <v>34.682035126155981</v>
      </c>
      <c r="G50" s="87">
        <f t="shared" si="2"/>
        <v>32.717964873844025</v>
      </c>
      <c r="H50" s="92">
        <f t="shared" si="3"/>
        <v>32.717964873844025</v>
      </c>
      <c r="I50" s="87">
        <f t="shared" si="0"/>
        <v>16.000956797757279</v>
      </c>
      <c r="J50" s="85"/>
      <c r="K50" s="85" t="s">
        <v>177</v>
      </c>
      <c r="L50" s="85"/>
      <c r="M50" s="85"/>
      <c r="N50" s="85"/>
      <c r="O50" s="85"/>
      <c r="P50" s="85"/>
      <c r="Q50" s="85"/>
    </row>
    <row r="51" spans="1:18">
      <c r="A51" s="85"/>
      <c r="B51" s="85"/>
      <c r="C51" s="85"/>
      <c r="D51" s="85"/>
      <c r="E51" s="103">
        <v>17</v>
      </c>
      <c r="F51" s="87">
        <f t="shared" si="1"/>
        <v>35.32479177778567</v>
      </c>
      <c r="G51" s="94">
        <f t="shared" si="2"/>
        <v>-24.624791777785671</v>
      </c>
      <c r="H51" s="93">
        <f t="shared" si="3"/>
        <v>24.624791777785671</v>
      </c>
      <c r="I51" s="94">
        <f t="shared" si="0"/>
        <v>28.38008956818528</v>
      </c>
      <c r="J51" s="85"/>
      <c r="K51" s="85" t="s">
        <v>120</v>
      </c>
      <c r="L51" s="85" t="s">
        <v>121</v>
      </c>
      <c r="M51" s="85"/>
      <c r="N51" s="85"/>
      <c r="O51" s="85"/>
      <c r="P51" s="85"/>
      <c r="Q51" s="85"/>
    </row>
    <row r="52" spans="1:18">
      <c r="A52" s="85"/>
      <c r="B52" s="85"/>
      <c r="C52" s="85"/>
      <c r="D52" s="85"/>
      <c r="E52" s="103" t="s">
        <v>134</v>
      </c>
      <c r="F52" s="98">
        <f>AVERAGE(F35:F51)</f>
        <v>34.511764705882356</v>
      </c>
      <c r="G52" s="104">
        <f>AVERAGE(G35:G51)</f>
        <v>-4.3886463091065013E-15</v>
      </c>
      <c r="H52" s="98">
        <f>AVERAGE(H35:H51)</f>
        <v>12.721643959687874</v>
      </c>
      <c r="I52" s="98">
        <f>AVERAGE(I35:I51)</f>
        <v>12.721643959687876</v>
      </c>
      <c r="J52" s="103"/>
      <c r="K52" s="85">
        <f>L36/L37</f>
        <v>2.3790363126669192</v>
      </c>
      <c r="L52" s="85">
        <f>M36/M37</f>
        <v>3.3334556712130285</v>
      </c>
      <c r="M52" s="85"/>
      <c r="N52" s="85"/>
      <c r="O52" s="85"/>
      <c r="P52" s="85"/>
      <c r="Q52" s="85"/>
    </row>
    <row r="53" spans="1:18">
      <c r="A53" s="85"/>
      <c r="B53" s="85"/>
      <c r="C53" s="85"/>
      <c r="D53" s="85"/>
      <c r="E53" s="103"/>
      <c r="F53" s="103"/>
      <c r="G53" s="103"/>
      <c r="H53" s="103"/>
      <c r="I53" s="103"/>
      <c r="J53" s="103"/>
      <c r="K53" s="85"/>
      <c r="L53" s="85"/>
      <c r="M53" s="85"/>
      <c r="N53" s="85"/>
      <c r="O53" s="85"/>
      <c r="P53" s="85"/>
      <c r="Q53" s="85"/>
    </row>
    <row r="54" spans="1:18">
      <c r="A54" s="85"/>
      <c r="B54" s="85"/>
      <c r="C54" s="85"/>
      <c r="D54" s="85"/>
      <c r="E54" s="103"/>
      <c r="F54" s="103"/>
      <c r="G54" s="103"/>
      <c r="H54" s="103"/>
      <c r="I54" s="103"/>
      <c r="J54" s="103"/>
      <c r="K54" s="85" t="s">
        <v>113</v>
      </c>
      <c r="L54" s="85"/>
      <c r="M54" s="85">
        <f>TINV(0.05/2,17-2)</f>
        <v>2.4898796942961177</v>
      </c>
      <c r="N54" s="85"/>
      <c r="O54" s="85"/>
      <c r="P54" s="85"/>
      <c r="Q54" s="85"/>
    </row>
    <row r="55" spans="1:18">
      <c r="A55" s="85"/>
      <c r="B55" s="85"/>
      <c r="C55" s="85"/>
      <c r="D55" s="85"/>
      <c r="E55" s="103"/>
      <c r="F55" s="103"/>
      <c r="G55" s="103"/>
      <c r="H55" s="103"/>
      <c r="I55" s="103"/>
      <c r="J55" s="103"/>
      <c r="K55" s="85"/>
      <c r="L55" s="85"/>
      <c r="M55" s="85"/>
      <c r="N55" s="85"/>
      <c r="O55" s="85"/>
      <c r="P55" s="85"/>
      <c r="Q55" s="85"/>
    </row>
    <row r="56" spans="1:18">
      <c r="A56" s="85"/>
      <c r="B56" s="85"/>
      <c r="C56" s="85"/>
      <c r="D56" s="85"/>
      <c r="E56" s="103"/>
      <c r="F56" s="103"/>
      <c r="G56" s="103"/>
      <c r="H56" s="103"/>
      <c r="I56" s="103"/>
      <c r="J56" s="103"/>
      <c r="K56" s="171" t="s">
        <v>176</v>
      </c>
      <c r="L56" s="171"/>
      <c r="M56" s="171"/>
      <c r="N56" s="171"/>
      <c r="O56" s="171"/>
      <c r="P56" s="171"/>
      <c r="Q56" s="171"/>
      <c r="R56" s="172"/>
    </row>
    <row r="57" spans="1:18">
      <c r="A57" s="85"/>
      <c r="B57" s="85"/>
      <c r="C57" s="85"/>
      <c r="D57" s="85"/>
      <c r="E57" s="103"/>
      <c r="F57" s="103"/>
      <c r="G57" s="103"/>
      <c r="H57" s="103"/>
      <c r="I57" s="103"/>
      <c r="J57" s="103"/>
      <c r="K57" s="85"/>
      <c r="L57" s="85"/>
      <c r="M57" s="85"/>
      <c r="N57" s="85"/>
      <c r="O57" s="85"/>
      <c r="P57" s="85"/>
      <c r="Q57" s="85"/>
    </row>
    <row r="58" spans="1:18">
      <c r="A58" s="85"/>
      <c r="B58" s="85"/>
      <c r="C58" s="85"/>
      <c r="D58" s="85"/>
      <c r="E58" s="85"/>
      <c r="J58" s="85"/>
      <c r="K58" s="85"/>
      <c r="L58" s="85"/>
      <c r="M58" s="85"/>
      <c r="N58" s="85"/>
      <c r="O58" s="85"/>
      <c r="P58" s="85"/>
      <c r="Q58" s="85"/>
    </row>
    <row r="59" spans="1:18">
      <c r="A59" s="85"/>
      <c r="B59" s="85"/>
      <c r="C59" s="85"/>
      <c r="D59" s="85"/>
      <c r="E59" s="85"/>
      <c r="H59" s="85"/>
      <c r="I59" s="85"/>
      <c r="J59" s="85"/>
      <c r="K59" s="85"/>
      <c r="L59" s="85"/>
      <c r="M59" s="85"/>
      <c r="N59" s="85"/>
      <c r="O59" s="85"/>
      <c r="P59" s="85"/>
      <c r="Q59" s="85"/>
    </row>
    <row r="60" spans="1:18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</row>
    <row r="61" spans="1:18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</row>
    <row r="62" spans="1:18" ht="18">
      <c r="A62" s="85"/>
      <c r="B62" s="85"/>
      <c r="C62" s="95" t="s">
        <v>123</v>
      </c>
      <c r="D62" s="95"/>
      <c r="E62" s="9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</row>
    <row r="63" spans="1:18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</row>
    <row r="64" spans="1:18" ht="15.75" thickBot="1">
      <c r="A64" s="84" t="s">
        <v>73</v>
      </c>
      <c r="B64" s="84" t="s">
        <v>3</v>
      </c>
      <c r="C64" s="87" t="s">
        <v>124</v>
      </c>
      <c r="D64" s="87" t="s">
        <v>118</v>
      </c>
      <c r="E64" s="87" t="s">
        <v>125</v>
      </c>
      <c r="F64" s="96" t="s">
        <v>126</v>
      </c>
      <c r="G64" s="87" t="s">
        <v>127</v>
      </c>
      <c r="H64" s="85"/>
      <c r="I64" s="85"/>
      <c r="J64" s="85"/>
      <c r="K64" s="85"/>
      <c r="L64" s="85"/>
      <c r="M64" s="85"/>
      <c r="N64" s="85"/>
      <c r="O64" s="85"/>
      <c r="P64" s="85"/>
      <c r="Q64" s="85"/>
    </row>
    <row r="65" spans="1:17" ht="15.75" thickBot="1">
      <c r="A65" s="99">
        <v>3.7</v>
      </c>
      <c r="B65" s="99">
        <v>10.7</v>
      </c>
      <c r="C65" s="87">
        <v>1</v>
      </c>
      <c r="D65" s="87">
        <f t="shared" ref="D65:D81" si="4">H35</f>
        <v>23.626896730644351</v>
      </c>
      <c r="E65" s="87">
        <v>9</v>
      </c>
      <c r="F65" s="87">
        <f>C65-E65</f>
        <v>-8</v>
      </c>
      <c r="G65" s="87">
        <f>F65^2</f>
        <v>64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</row>
    <row r="66" spans="1:17" ht="15.75" thickBot="1">
      <c r="A66" s="99">
        <v>5</v>
      </c>
      <c r="B66" s="99">
        <v>23.6</v>
      </c>
      <c r="C66" s="87">
        <v>2</v>
      </c>
      <c r="D66" s="87">
        <f t="shared" si="4"/>
        <v>10.738296234697813</v>
      </c>
      <c r="E66" s="87">
        <v>12</v>
      </c>
      <c r="F66" s="87">
        <f t="shared" ref="F66:F81" si="5">C66-E66</f>
        <v>-10</v>
      </c>
      <c r="G66" s="87">
        <f t="shared" ref="G66:G81" si="6">F66^2</f>
        <v>100</v>
      </c>
      <c r="H66" s="85"/>
      <c r="I66" s="166" t="s">
        <v>128</v>
      </c>
      <c r="J66" s="166"/>
      <c r="K66" s="166"/>
      <c r="L66" s="166"/>
      <c r="M66" s="162"/>
      <c r="N66" s="167"/>
      <c r="O66" s="167"/>
      <c r="P66" s="85"/>
      <c r="Q66" s="85"/>
    </row>
    <row r="67" spans="1:17" ht="15.75" thickBot="1">
      <c r="A67" s="99">
        <v>8.9</v>
      </c>
      <c r="B67" s="99">
        <v>36.200000000000003</v>
      </c>
      <c r="C67" s="87">
        <v>3</v>
      </c>
      <c r="D67" s="87">
        <f t="shared" si="4"/>
        <v>1.8275052531418083</v>
      </c>
      <c r="E67" s="87">
        <v>5</v>
      </c>
      <c r="F67" s="87">
        <f t="shared" si="5"/>
        <v>-2</v>
      </c>
      <c r="G67" s="87">
        <f t="shared" si="6"/>
        <v>4</v>
      </c>
      <c r="H67" s="85"/>
      <c r="I67" s="85"/>
      <c r="J67" s="87" t="s">
        <v>172</v>
      </c>
      <c r="K67" s="160">
        <f>1-6*(G82/((17-1)*23*(17+1)))</f>
        <v>0.49818840579710144</v>
      </c>
      <c r="L67" s="106"/>
    </row>
    <row r="68" spans="1:17" ht="15.75" thickBot="1">
      <c r="A68" s="99">
        <v>9.6</v>
      </c>
      <c r="B68" s="99">
        <v>39.700000000000003</v>
      </c>
      <c r="C68" s="87">
        <v>4</v>
      </c>
      <c r="D68" s="87">
        <f t="shared" si="4"/>
        <v>5.3213670586514894</v>
      </c>
      <c r="E68" s="87">
        <v>8</v>
      </c>
      <c r="F68" s="87">
        <f t="shared" si="5"/>
        <v>-4</v>
      </c>
      <c r="G68" s="87">
        <f t="shared" si="6"/>
        <v>16</v>
      </c>
      <c r="H68" s="85"/>
      <c r="I68" s="85"/>
      <c r="J68" s="169" t="s">
        <v>173</v>
      </c>
      <c r="K68" s="87">
        <f>K67*K67</f>
        <v>0.24819168767065741</v>
      </c>
      <c r="L68" s="85"/>
      <c r="M68" s="85"/>
      <c r="N68" s="85"/>
      <c r="O68" s="85"/>
      <c r="P68" s="85"/>
      <c r="Q68" s="85"/>
    </row>
    <row r="69" spans="1:17" ht="15.75" thickBot="1">
      <c r="A69" s="99">
        <v>11</v>
      </c>
      <c r="B69" s="99">
        <v>22</v>
      </c>
      <c r="C69" s="87">
        <v>5</v>
      </c>
      <c r="D69" s="87">
        <f t="shared" si="4"/>
        <v>12.390909330329166</v>
      </c>
      <c r="E69" s="87">
        <v>7</v>
      </c>
      <c r="F69" s="87">
        <f t="shared" si="5"/>
        <v>-2</v>
      </c>
      <c r="G69" s="87">
        <f t="shared" si="6"/>
        <v>4</v>
      </c>
      <c r="H69" s="85"/>
      <c r="I69" s="85"/>
      <c r="J69" s="168" t="s">
        <v>130</v>
      </c>
      <c r="K69" s="170">
        <f>((K68/(1-K68))*(17-2))^0.5</f>
        <v>2.2252852232164058</v>
      </c>
      <c r="L69" s="85"/>
      <c r="M69" s="85"/>
      <c r="N69" s="85"/>
      <c r="O69" s="85"/>
      <c r="P69" s="85"/>
      <c r="Q69" s="85"/>
    </row>
    <row r="70" spans="1:17" ht="15.75" thickBot="1">
      <c r="A70" s="99">
        <v>11.2</v>
      </c>
      <c r="B70" s="99">
        <v>40.4</v>
      </c>
      <c r="C70" s="87">
        <v>6</v>
      </c>
      <c r="D70" s="87">
        <f t="shared" si="4"/>
        <v>6.0073368998164582</v>
      </c>
      <c r="E70" s="87">
        <v>6</v>
      </c>
      <c r="F70" s="87">
        <f t="shared" si="5"/>
        <v>0</v>
      </c>
      <c r="G70" s="87">
        <f t="shared" si="6"/>
        <v>0</v>
      </c>
      <c r="H70" s="85"/>
      <c r="I70" s="85"/>
      <c r="J70" s="168" t="s">
        <v>130</v>
      </c>
      <c r="K70" s="160">
        <f>TINV(0.05/2,17-2)</f>
        <v>2.4898796942961177</v>
      </c>
      <c r="L70" s="85" t="s">
        <v>129</v>
      </c>
      <c r="M70" s="85"/>
      <c r="N70" s="85"/>
      <c r="O70" s="85"/>
      <c r="P70" s="85"/>
      <c r="Q70" s="85"/>
    </row>
    <row r="71" spans="1:17" ht="15.75" thickBot="1">
      <c r="A71" s="100">
        <v>11.6</v>
      </c>
      <c r="B71" s="100">
        <v>22.6</v>
      </c>
      <c r="C71" s="87">
        <v>7</v>
      </c>
      <c r="D71" s="87">
        <f t="shared" si="4"/>
        <v>11.796170639892296</v>
      </c>
      <c r="E71" s="87">
        <v>16</v>
      </c>
      <c r="F71" s="87">
        <f t="shared" si="5"/>
        <v>-9</v>
      </c>
      <c r="G71" s="87">
        <f t="shared" si="6"/>
        <v>81</v>
      </c>
      <c r="H71" s="85" t="s">
        <v>174</v>
      </c>
      <c r="I71" s="85"/>
      <c r="L71" s="85"/>
      <c r="M71" s="85"/>
      <c r="N71" s="85"/>
      <c r="O71" s="85"/>
      <c r="P71" s="85"/>
      <c r="Q71" s="85"/>
    </row>
    <row r="72" spans="1:17" ht="15.75" thickBot="1">
      <c r="A72" s="100">
        <v>12.3</v>
      </c>
      <c r="B72" s="100">
        <v>23.9</v>
      </c>
      <c r="C72" s="87">
        <v>8</v>
      </c>
      <c r="D72" s="87">
        <f t="shared" si="4"/>
        <v>10.502308834382625</v>
      </c>
      <c r="E72" s="87">
        <v>10</v>
      </c>
      <c r="F72" s="87">
        <f t="shared" si="5"/>
        <v>-2</v>
      </c>
      <c r="G72" s="87">
        <f t="shared" si="6"/>
        <v>4</v>
      </c>
      <c r="H72" s="85" t="s">
        <v>131</v>
      </c>
      <c r="I72" s="85"/>
      <c r="J72" s="85"/>
      <c r="K72" s="85"/>
      <c r="L72" s="97"/>
      <c r="M72" s="97"/>
      <c r="N72" s="97"/>
      <c r="O72" s="85"/>
    </row>
    <row r="73" spans="1:17" ht="15.75" thickBot="1">
      <c r="A73" s="100">
        <v>12.7</v>
      </c>
      <c r="B73" s="100">
        <v>29.3</v>
      </c>
      <c r="C73" s="87">
        <v>9</v>
      </c>
      <c r="D73" s="87">
        <f t="shared" si="4"/>
        <v>5.1058163740913791</v>
      </c>
      <c r="E73" s="87">
        <v>11</v>
      </c>
      <c r="F73" s="87">
        <f t="shared" si="5"/>
        <v>-2</v>
      </c>
      <c r="G73" s="87">
        <f t="shared" si="6"/>
        <v>4</v>
      </c>
      <c r="H73" s="85"/>
      <c r="I73" s="85"/>
      <c r="L73" s="85"/>
      <c r="M73" s="85"/>
      <c r="N73" s="85"/>
      <c r="O73" s="85"/>
      <c r="P73" s="85"/>
      <c r="Q73" s="85"/>
    </row>
    <row r="74" spans="1:17" ht="15.75" thickBot="1">
      <c r="A74" s="100">
        <v>17.600000000000001</v>
      </c>
      <c r="B74" s="100">
        <v>25.1</v>
      </c>
      <c r="C74" s="87">
        <v>10</v>
      </c>
      <c r="D74" s="87">
        <f t="shared" si="4"/>
        <v>9.3487837355236536</v>
      </c>
      <c r="E74" s="87">
        <v>4</v>
      </c>
      <c r="F74" s="87">
        <f t="shared" si="5"/>
        <v>6</v>
      </c>
      <c r="G74" s="87">
        <f t="shared" si="6"/>
        <v>36</v>
      </c>
      <c r="H74" s="85"/>
      <c r="I74" s="85"/>
      <c r="J74" s="85"/>
      <c r="K74" s="85"/>
      <c r="L74" s="85"/>
      <c r="M74" s="85"/>
      <c r="N74" s="85"/>
      <c r="O74" s="85"/>
      <c r="P74" s="85"/>
      <c r="Q74" s="85"/>
    </row>
    <row r="75" spans="1:17" ht="15.75" thickBot="1">
      <c r="A75" s="100">
        <v>20.6</v>
      </c>
      <c r="B75" s="100">
        <v>45.5</v>
      </c>
      <c r="C75" s="87">
        <v>11</v>
      </c>
      <c r="D75" s="87">
        <f t="shared" si="4"/>
        <v>11.024909716660673</v>
      </c>
      <c r="E75" s="87">
        <v>20</v>
      </c>
      <c r="F75" s="87">
        <f t="shared" si="5"/>
        <v>-9</v>
      </c>
      <c r="G75" s="87">
        <f t="shared" si="6"/>
        <v>81</v>
      </c>
      <c r="H75" s="85"/>
      <c r="I75" s="85"/>
      <c r="J75" s="85"/>
      <c r="K75" s="85"/>
      <c r="L75" s="85"/>
      <c r="M75" s="85"/>
      <c r="N75" s="85"/>
      <c r="O75" s="85"/>
      <c r="P75" s="85"/>
      <c r="Q75" s="85"/>
    </row>
    <row r="76" spans="1:17" ht="15.75" thickBot="1">
      <c r="A76" s="99">
        <v>23.8</v>
      </c>
      <c r="B76" s="99">
        <v>37</v>
      </c>
      <c r="C76" s="87">
        <v>12</v>
      </c>
      <c r="D76" s="87">
        <f t="shared" si="4"/>
        <v>2.4968493989906193</v>
      </c>
      <c r="E76" s="87">
        <v>15</v>
      </c>
      <c r="F76" s="87">
        <f t="shared" si="5"/>
        <v>-3</v>
      </c>
      <c r="G76" s="87">
        <f t="shared" si="6"/>
        <v>9</v>
      </c>
      <c r="H76" s="85"/>
      <c r="I76" s="85"/>
    </row>
    <row r="77" spans="1:17" ht="15.75" thickBot="1">
      <c r="A77" s="99">
        <v>35.200000000000003</v>
      </c>
      <c r="B77" s="99">
        <v>57.5</v>
      </c>
      <c r="C77" s="87">
        <v>13</v>
      </c>
      <c r="D77" s="87">
        <f t="shared" si="4"/>
        <v>22.896884517291049</v>
      </c>
      <c r="E77" s="87">
        <v>3</v>
      </c>
      <c r="F77" s="87">
        <f t="shared" si="5"/>
        <v>10</v>
      </c>
      <c r="G77" s="87">
        <f t="shared" si="6"/>
        <v>100</v>
      </c>
      <c r="H77" s="85"/>
      <c r="I77" s="85"/>
      <c r="J77" s="85"/>
      <c r="K77" s="85"/>
      <c r="L77" s="85"/>
      <c r="M77" s="85"/>
      <c r="N77" s="85"/>
      <c r="O77" s="85"/>
      <c r="P77" s="85"/>
      <c r="Q77" s="85"/>
    </row>
    <row r="78" spans="1:17" ht="15.75" thickBot="1">
      <c r="A78" s="99">
        <v>37.6</v>
      </c>
      <c r="B78" s="99">
        <v>42.7</v>
      </c>
      <c r="C78" s="87">
        <v>14</v>
      </c>
      <c r="D78" s="87">
        <f t="shared" si="4"/>
        <v>8.0758392790385116</v>
      </c>
      <c r="E78" s="87">
        <v>14</v>
      </c>
      <c r="F78" s="87">
        <f t="shared" si="5"/>
        <v>0</v>
      </c>
      <c r="G78" s="87">
        <f t="shared" si="6"/>
        <v>0</v>
      </c>
      <c r="H78" s="85"/>
      <c r="I78" s="85"/>
      <c r="J78" s="85"/>
      <c r="K78" s="85"/>
      <c r="L78" s="85"/>
      <c r="M78" s="85"/>
      <c r="N78" s="85"/>
      <c r="O78" s="85"/>
      <c r="P78" s="85"/>
      <c r="Q78" s="85"/>
    </row>
    <row r="79" spans="1:17">
      <c r="A79" s="101">
        <v>38.799999999999997</v>
      </c>
      <c r="B79" s="101">
        <v>52.4</v>
      </c>
      <c r="C79" s="94">
        <v>15</v>
      </c>
      <c r="D79" s="94">
        <f t="shared" si="4"/>
        <v>17.765316659912237</v>
      </c>
      <c r="E79" s="94">
        <v>22</v>
      </c>
      <c r="F79" s="94">
        <f t="shared" si="5"/>
        <v>-7</v>
      </c>
      <c r="G79" s="94">
        <f t="shared" si="6"/>
        <v>49</v>
      </c>
      <c r="H79" s="85"/>
      <c r="I79" s="85"/>
      <c r="J79" s="85"/>
      <c r="K79" s="85"/>
      <c r="L79" s="85"/>
      <c r="M79" s="85"/>
      <c r="N79" s="85"/>
      <c r="O79" s="85"/>
      <c r="P79" s="85"/>
      <c r="Q79" s="85"/>
    </row>
    <row r="80" spans="1:17">
      <c r="A80" s="105">
        <v>44.2</v>
      </c>
      <c r="B80" s="105">
        <v>67.400000000000006</v>
      </c>
      <c r="C80" s="87">
        <v>16</v>
      </c>
      <c r="D80" s="87">
        <f t="shared" si="4"/>
        <v>32.717964873844025</v>
      </c>
      <c r="E80" s="87">
        <v>17</v>
      </c>
      <c r="F80" s="87">
        <f t="shared" si="5"/>
        <v>-1</v>
      </c>
      <c r="G80" s="87">
        <f t="shared" si="6"/>
        <v>1</v>
      </c>
      <c r="H80" s="85"/>
      <c r="I80" s="85"/>
      <c r="J80" s="85"/>
      <c r="K80" s="85"/>
      <c r="L80" s="85"/>
      <c r="M80" s="85"/>
      <c r="N80" s="85"/>
      <c r="O80" s="85"/>
      <c r="P80" s="85"/>
      <c r="Q80" s="85"/>
    </row>
    <row r="81" spans="1:17">
      <c r="A81" s="105">
        <v>117.5</v>
      </c>
      <c r="B81" s="105">
        <v>10.7</v>
      </c>
      <c r="C81" s="87">
        <v>17</v>
      </c>
      <c r="D81" s="87">
        <f t="shared" si="4"/>
        <v>24.624791777785671</v>
      </c>
      <c r="E81" s="87">
        <v>18</v>
      </c>
      <c r="F81" s="87">
        <f t="shared" si="5"/>
        <v>-1</v>
      </c>
      <c r="G81" s="87">
        <f t="shared" si="6"/>
        <v>1</v>
      </c>
      <c r="H81" s="85"/>
      <c r="I81" s="85"/>
      <c r="J81" s="85"/>
      <c r="K81" s="85"/>
      <c r="L81" s="85"/>
      <c r="M81" s="85"/>
      <c r="N81" s="85"/>
      <c r="O81" s="85"/>
      <c r="P81" s="85"/>
      <c r="Q81" s="85"/>
    </row>
    <row r="82" spans="1:17">
      <c r="A82" s="64"/>
      <c r="B82" s="64"/>
      <c r="C82" s="103"/>
      <c r="D82" s="103"/>
      <c r="E82" s="103"/>
      <c r="F82" s="103"/>
      <c r="G82" s="98">
        <f>SUM(G65:G81)</f>
        <v>554</v>
      </c>
      <c r="H82" s="85"/>
      <c r="I82" s="85"/>
      <c r="J82" s="85"/>
      <c r="K82" s="85"/>
      <c r="L82" s="85"/>
      <c r="M82" s="85"/>
      <c r="N82" s="85"/>
      <c r="O82" s="85"/>
      <c r="P82" s="85"/>
      <c r="Q82" s="85"/>
    </row>
    <row r="83" spans="1:17">
      <c r="A83" s="64"/>
      <c r="B83" s="64"/>
      <c r="C83" s="103"/>
      <c r="D83" s="103"/>
      <c r="E83" s="103"/>
      <c r="F83" s="103"/>
      <c r="G83" s="103"/>
      <c r="H83" s="85"/>
      <c r="I83" s="85"/>
      <c r="J83" s="85"/>
      <c r="K83" s="85"/>
      <c r="L83" s="85"/>
      <c r="M83" s="85"/>
      <c r="N83" s="85"/>
      <c r="O83" s="85"/>
      <c r="P83" s="85"/>
      <c r="Q83" s="85"/>
    </row>
    <row r="84" spans="1:17">
      <c r="A84" s="64"/>
      <c r="B84" s="64"/>
      <c r="C84" s="103"/>
      <c r="D84" s="103"/>
      <c r="E84" s="103"/>
      <c r="F84" s="103"/>
      <c r="G84" s="103"/>
      <c r="H84" s="85"/>
      <c r="I84" s="85"/>
      <c r="J84" s="85"/>
      <c r="K84" s="85"/>
      <c r="L84" s="85"/>
      <c r="M84" s="85"/>
      <c r="N84" s="85"/>
      <c r="O84" s="85"/>
      <c r="P84" s="85"/>
      <c r="Q84" s="85"/>
    </row>
    <row r="85" spans="1:17">
      <c r="A85" s="64"/>
      <c r="B85" s="64"/>
      <c r="C85" s="103"/>
      <c r="D85" s="31"/>
      <c r="E85" s="103"/>
      <c r="F85" s="31"/>
      <c r="G85" s="31"/>
    </row>
    <row r="86" spans="1:17">
      <c r="A86" s="64"/>
      <c r="B86" s="64"/>
      <c r="C86" s="103"/>
      <c r="D86" s="31"/>
      <c r="E86" s="31"/>
      <c r="F86" s="31"/>
      <c r="G86" s="31"/>
    </row>
    <row r="87" spans="1:17">
      <c r="A87" s="64"/>
      <c r="B87" s="64"/>
      <c r="C87" s="103"/>
      <c r="D87" s="31"/>
      <c r="E87" s="31"/>
      <c r="F87" s="31"/>
      <c r="G87" s="31"/>
    </row>
  </sheetData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44"/>
  <sheetViews>
    <sheetView topLeftCell="A54" zoomScaleNormal="100" workbookViewId="0">
      <selection activeCell="P31" sqref="P31"/>
    </sheetView>
  </sheetViews>
  <sheetFormatPr defaultRowHeight="15"/>
  <cols>
    <col min="6" max="7" width="9.85546875" bestFit="1" customWidth="1"/>
    <col min="12" max="12" width="13.7109375" customWidth="1"/>
    <col min="13" max="13" width="28.85546875" customWidth="1"/>
  </cols>
  <sheetData>
    <row r="1" spans="1:6" ht="19.5" thickBot="1">
      <c r="A1" s="123" t="s">
        <v>135</v>
      </c>
      <c r="B1" s="123"/>
      <c r="C1" s="123"/>
      <c r="D1" s="123"/>
    </row>
    <row r="2" spans="1:6">
      <c r="A2" s="108" t="s">
        <v>136</v>
      </c>
      <c r="B2" s="109" t="s">
        <v>137</v>
      </c>
      <c r="C2" s="110" t="s">
        <v>138</v>
      </c>
    </row>
    <row r="3" spans="1:6" ht="15.75" thickBot="1">
      <c r="A3" s="112" t="s">
        <v>141</v>
      </c>
      <c r="B3" s="1" t="s">
        <v>1</v>
      </c>
      <c r="C3" s="113" t="s">
        <v>3</v>
      </c>
    </row>
    <row r="4" spans="1:6" ht="15.75" thickBot="1">
      <c r="A4" s="112">
        <v>1</v>
      </c>
      <c r="B4" s="99">
        <v>3.7</v>
      </c>
      <c r="C4" s="99">
        <v>10.7</v>
      </c>
    </row>
    <row r="5" spans="1:6" ht="15.75" thickBot="1">
      <c r="A5" s="112">
        <v>2</v>
      </c>
      <c r="B5" s="99">
        <v>5</v>
      </c>
      <c r="C5" s="99">
        <v>23.6</v>
      </c>
    </row>
    <row r="6" spans="1:6" ht="15.75" thickBot="1">
      <c r="A6" s="112">
        <v>3</v>
      </c>
      <c r="B6" s="99">
        <v>8.9</v>
      </c>
      <c r="C6" s="99">
        <v>36.200000000000003</v>
      </c>
    </row>
    <row r="7" spans="1:6" ht="15.75" thickBot="1">
      <c r="A7" s="112">
        <v>4</v>
      </c>
      <c r="B7" s="99">
        <v>9.6</v>
      </c>
      <c r="C7" s="99">
        <v>39.700000000000003</v>
      </c>
      <c r="E7" s="124" t="s">
        <v>148</v>
      </c>
      <c r="F7" s="125"/>
    </row>
    <row r="8" spans="1:6" ht="15.75" thickBot="1">
      <c r="A8" s="112">
        <v>5</v>
      </c>
      <c r="B8" s="99">
        <v>11</v>
      </c>
      <c r="C8" s="99">
        <v>22</v>
      </c>
      <c r="E8" s="108">
        <f t="array" ref="E8:F12">LINEST(C4:C20,B4:B20,1,1)</f>
        <v>8.7688492718920753E-3</v>
      </c>
      <c r="F8" s="110">
        <v>34.294451988338352</v>
      </c>
    </row>
    <row r="9" spans="1:6" ht="15.75" thickBot="1">
      <c r="A9" s="112">
        <v>6</v>
      </c>
      <c r="B9" s="99">
        <v>11.2</v>
      </c>
      <c r="C9" s="99">
        <v>40.4</v>
      </c>
      <c r="E9" s="112">
        <v>0.15047378711733841</v>
      </c>
      <c r="F9" s="113">
        <v>5.4281497951766751</v>
      </c>
    </row>
    <row r="10" spans="1:6" ht="15.75" thickBot="1">
      <c r="A10" s="112">
        <v>7</v>
      </c>
      <c r="B10" s="100">
        <v>11.6</v>
      </c>
      <c r="C10" s="100">
        <v>22.6</v>
      </c>
      <c r="E10" s="112">
        <v>2.263465795389359E-4</v>
      </c>
      <c r="F10" s="113">
        <v>16.263372800824609</v>
      </c>
    </row>
    <row r="11" spans="1:6" ht="15.75" thickBot="1">
      <c r="A11" s="112">
        <v>8</v>
      </c>
      <c r="B11" s="100">
        <v>12.3</v>
      </c>
      <c r="C11" s="100">
        <v>23.9</v>
      </c>
      <c r="E11" s="112">
        <v>3.3959673586799015E-3</v>
      </c>
      <c r="F11" s="113">
        <v>15</v>
      </c>
    </row>
    <row r="12" spans="1:6" ht="15.75" thickBot="1">
      <c r="A12" s="112">
        <v>9</v>
      </c>
      <c r="B12" s="100">
        <v>12.7</v>
      </c>
      <c r="C12" s="100">
        <v>29.3</v>
      </c>
      <c r="E12" s="117">
        <v>0.89822417979894453</v>
      </c>
      <c r="F12" s="118">
        <v>3967.4594228790247</v>
      </c>
    </row>
    <row r="13" spans="1:6" ht="15.75" thickBot="1">
      <c r="A13" s="112">
        <v>10</v>
      </c>
      <c r="B13" s="100">
        <v>17.600000000000001</v>
      </c>
      <c r="C13" s="100">
        <v>25.1</v>
      </c>
    </row>
    <row r="14" spans="1:6" ht="15.75" thickBot="1">
      <c r="A14" s="112">
        <v>11</v>
      </c>
      <c r="B14" s="100">
        <v>20.6</v>
      </c>
      <c r="C14" s="100">
        <v>45.5</v>
      </c>
    </row>
    <row r="15" spans="1:6" ht="15.75" thickBot="1">
      <c r="A15" s="112">
        <v>12</v>
      </c>
      <c r="B15" s="99">
        <v>23.8</v>
      </c>
      <c r="C15" s="99">
        <v>37</v>
      </c>
    </row>
    <row r="16" spans="1:6" ht="15.75" thickBot="1">
      <c r="A16" s="112">
        <v>13</v>
      </c>
      <c r="B16" s="99">
        <v>35.200000000000003</v>
      </c>
      <c r="C16" s="99">
        <v>57.5</v>
      </c>
    </row>
    <row r="17" spans="1:17" ht="15.75" thickBot="1">
      <c r="A17" s="112">
        <v>14</v>
      </c>
      <c r="B17" s="99">
        <v>37.6</v>
      </c>
      <c r="C17" s="99">
        <v>42.7</v>
      </c>
    </row>
    <row r="18" spans="1:17" ht="15.75" thickBot="1">
      <c r="A18" s="112">
        <v>15</v>
      </c>
      <c r="B18" s="99">
        <v>38.799999999999997</v>
      </c>
      <c r="C18" s="99">
        <v>52.4</v>
      </c>
    </row>
    <row r="19" spans="1:17" ht="15.75" thickBot="1">
      <c r="A19" s="112">
        <v>16</v>
      </c>
      <c r="B19" s="99">
        <v>44.2</v>
      </c>
      <c r="C19" s="99">
        <v>67.400000000000006</v>
      </c>
    </row>
    <row r="20" spans="1:17" ht="15.75" thickBot="1">
      <c r="A20" s="117">
        <v>17</v>
      </c>
      <c r="B20" s="101">
        <v>117.5</v>
      </c>
      <c r="C20" s="101">
        <v>10.7</v>
      </c>
    </row>
    <row r="21" spans="1:17">
      <c r="B21">
        <f>AVERAGE(B4:B20)</f>
        <v>24.78235294117647</v>
      </c>
      <c r="C21">
        <f>AVERAGE(C4:C20)</f>
        <v>34.511764705882356</v>
      </c>
    </row>
    <row r="25" spans="1:17">
      <c r="A25" s="122" t="s">
        <v>136</v>
      </c>
      <c r="B25" s="111" t="s">
        <v>139</v>
      </c>
      <c r="C25" s="111" t="s">
        <v>140</v>
      </c>
      <c r="D25" s="1"/>
      <c r="E25" s="1"/>
      <c r="F25" s="1"/>
      <c r="G25" s="1"/>
      <c r="H25" s="1"/>
      <c r="I25" s="1"/>
      <c r="K25" s="120" t="s">
        <v>150</v>
      </c>
    </row>
    <row r="26" spans="1:17" ht="15.75" thickBot="1">
      <c r="A26" s="122"/>
      <c r="B26" s="3" t="s">
        <v>142</v>
      </c>
      <c r="C26" s="114" t="s">
        <v>1</v>
      </c>
      <c r="D26" s="1" t="s">
        <v>24</v>
      </c>
      <c r="E26" s="1" t="s">
        <v>143</v>
      </c>
      <c r="F26" s="1" t="s">
        <v>144</v>
      </c>
      <c r="G26" s="115" t="s">
        <v>145</v>
      </c>
      <c r="H26" s="116" t="s">
        <v>146</v>
      </c>
      <c r="I26" s="1" t="s">
        <v>147</v>
      </c>
      <c r="K26" t="s">
        <v>151</v>
      </c>
      <c r="L26">
        <f>H44/F44</f>
        <v>0.83167165972155799</v>
      </c>
      <c r="M26" t="s">
        <v>298</v>
      </c>
    </row>
    <row r="27" spans="1:17" ht="15.75" thickBot="1">
      <c r="A27" s="1">
        <v>1</v>
      </c>
      <c r="B27" s="99">
        <v>10.7</v>
      </c>
      <c r="C27" s="99">
        <v>3.7</v>
      </c>
      <c r="D27" s="1">
        <f t="shared" ref="D27:D43" si="0">$F$8+$E$8*C27</f>
        <v>34.32689673064435</v>
      </c>
      <c r="E27" s="1">
        <f>B27-D27</f>
        <v>-23.626896730644351</v>
      </c>
      <c r="F27" s="1">
        <f>E27^2</f>
        <v>558.23024912053268</v>
      </c>
      <c r="G27" s="1"/>
      <c r="H27" s="1"/>
      <c r="I27" s="1"/>
      <c r="K27" t="s">
        <v>154</v>
      </c>
      <c r="L27">
        <f>I44/F44</f>
        <v>0.34187658198213222</v>
      </c>
    </row>
    <row r="28" spans="1:17" ht="15.75" thickBot="1">
      <c r="A28" s="1">
        <v>2</v>
      </c>
      <c r="B28" s="99">
        <v>23.6</v>
      </c>
      <c r="C28" s="99">
        <v>5</v>
      </c>
      <c r="D28" s="1">
        <f t="shared" si="0"/>
        <v>34.338296234697815</v>
      </c>
      <c r="E28" s="1">
        <f t="shared" ref="E28:E43" si="1">B28-D28</f>
        <v>-10.738296234697813</v>
      </c>
      <c r="F28" s="1">
        <f t="shared" ref="F28:F43" si="2">E28^2</f>
        <v>115.31100602412523</v>
      </c>
      <c r="G28" s="1">
        <f>E28-E27</f>
        <v>12.888600495946537</v>
      </c>
      <c r="H28" s="1">
        <f>G28^2</f>
        <v>166.11602274411334</v>
      </c>
      <c r="I28" s="1">
        <f>E28*E27</f>
        <v>253.71261620027229</v>
      </c>
      <c r="J28" t="s">
        <v>159</v>
      </c>
    </row>
    <row r="29" spans="1:17" ht="15.75" thickBot="1">
      <c r="A29" s="1">
        <v>3</v>
      </c>
      <c r="B29" s="99">
        <v>36.200000000000003</v>
      </c>
      <c r="C29" s="99">
        <v>8.9</v>
      </c>
      <c r="D29" s="1">
        <f t="shared" si="0"/>
        <v>34.372494746858195</v>
      </c>
      <c r="E29" s="1">
        <f t="shared" si="1"/>
        <v>1.8275052531418083</v>
      </c>
      <c r="F29" s="1">
        <f t="shared" si="2"/>
        <v>3.3397754502609049</v>
      </c>
      <c r="G29" s="1">
        <f t="shared" ref="G29:G43" si="3">E29-E28</f>
        <v>12.565801487839622</v>
      </c>
      <c r="H29" s="1">
        <f t="shared" ref="H29:H43" si="4">G29^2</f>
        <v>157.89936703179245</v>
      </c>
      <c r="I29" s="1">
        <f t="shared" ref="I29:I43" si="5">E29*E28</f>
        <v>-19.624292778703154</v>
      </c>
      <c r="J29" t="s">
        <v>152</v>
      </c>
      <c r="K29">
        <v>1.1399999999999999</v>
      </c>
      <c r="L29" t="s">
        <v>153</v>
      </c>
      <c r="M29">
        <v>1.38</v>
      </c>
      <c r="O29" t="s">
        <v>301</v>
      </c>
    </row>
    <row r="30" spans="1:17" ht="15.75" thickBot="1">
      <c r="A30" s="1">
        <v>4</v>
      </c>
      <c r="B30" s="99">
        <v>39.700000000000003</v>
      </c>
      <c r="C30" s="99">
        <v>9.6</v>
      </c>
      <c r="D30" s="1">
        <f t="shared" si="0"/>
        <v>34.378632941348513</v>
      </c>
      <c r="E30" s="1">
        <f t="shared" si="1"/>
        <v>5.3213670586514894</v>
      </c>
      <c r="F30" s="1">
        <f t="shared" si="2"/>
        <v>28.316947372901204</v>
      </c>
      <c r="G30" s="1">
        <f t="shared" si="3"/>
        <v>3.4938618055096811</v>
      </c>
      <c r="H30" s="1">
        <f t="shared" si="4"/>
        <v>12.207070315999369</v>
      </c>
      <c r="I30" s="1">
        <f t="shared" si="5"/>
        <v>9.7248262535813694</v>
      </c>
      <c r="J30" t="s">
        <v>155</v>
      </c>
      <c r="K30">
        <f>4-K29</f>
        <v>2.8600000000000003</v>
      </c>
      <c r="L30" t="s">
        <v>156</v>
      </c>
      <c r="M30">
        <f>4-M29</f>
        <v>2.62</v>
      </c>
      <c r="O30" t="s">
        <v>302</v>
      </c>
      <c r="Q30" t="s">
        <v>303</v>
      </c>
    </row>
    <row r="31" spans="1:17" ht="15.75" thickBot="1">
      <c r="A31" s="1">
        <v>5</v>
      </c>
      <c r="B31" s="99">
        <v>22</v>
      </c>
      <c r="C31" s="99">
        <v>11</v>
      </c>
      <c r="D31" s="1">
        <f t="shared" si="0"/>
        <v>34.390909330329166</v>
      </c>
      <c r="E31" s="1">
        <f t="shared" si="1"/>
        <v>-12.390909330329166</v>
      </c>
      <c r="F31" s="1">
        <f t="shared" si="2"/>
        <v>153.53463403243836</v>
      </c>
      <c r="G31" s="1">
        <f t="shared" si="3"/>
        <v>-17.712276388980655</v>
      </c>
      <c r="H31" s="1">
        <f t="shared" si="4"/>
        <v>313.72473487964157</v>
      </c>
      <c r="I31" s="1">
        <f t="shared" si="5"/>
        <v>-65.936576737151015</v>
      </c>
      <c r="J31" s="264"/>
      <c r="K31" s="264"/>
      <c r="L31" s="264"/>
      <c r="M31" s="264"/>
      <c r="N31" s="264"/>
      <c r="O31" s="264"/>
    </row>
    <row r="32" spans="1:17" ht="15.75" thickBot="1">
      <c r="A32" s="1">
        <v>6</v>
      </c>
      <c r="B32" s="99">
        <v>40.4</v>
      </c>
      <c r="C32" s="99">
        <v>11.2</v>
      </c>
      <c r="D32" s="1">
        <f t="shared" si="0"/>
        <v>34.39266310018354</v>
      </c>
      <c r="E32" s="1">
        <f t="shared" si="1"/>
        <v>6.0073368998164582</v>
      </c>
      <c r="F32" s="1">
        <f t="shared" si="2"/>
        <v>36.088096627896412</v>
      </c>
      <c r="G32" s="1">
        <f t="shared" si="3"/>
        <v>18.398246230145624</v>
      </c>
      <c r="H32" s="1">
        <f t="shared" si="4"/>
        <v>338.49546434506766</v>
      </c>
      <c r="I32" s="1">
        <f t="shared" si="5"/>
        <v>-74.436366842366439</v>
      </c>
    </row>
    <row r="33" spans="1:19" ht="15.75" thickBot="1">
      <c r="A33" s="1">
        <v>7</v>
      </c>
      <c r="B33" s="100">
        <v>22.6</v>
      </c>
      <c r="C33" s="100">
        <v>11.6</v>
      </c>
      <c r="D33" s="1">
        <f t="shared" si="0"/>
        <v>34.396170639892297</v>
      </c>
      <c r="E33" s="1">
        <f t="shared" si="1"/>
        <v>-11.796170639892296</v>
      </c>
      <c r="F33" s="1">
        <f t="shared" si="2"/>
        <v>139.14964176545701</v>
      </c>
      <c r="G33" s="1">
        <f t="shared" si="3"/>
        <v>-17.803507539708754</v>
      </c>
      <c r="H33" s="1">
        <f t="shared" si="4"/>
        <v>316.96488071646644</v>
      </c>
      <c r="I33" s="1">
        <f t="shared" si="5"/>
        <v>-70.863571161556507</v>
      </c>
      <c r="K33" t="s">
        <v>300</v>
      </c>
      <c r="L33" t="s">
        <v>299</v>
      </c>
    </row>
    <row r="34" spans="1:19" ht="15.75" thickBot="1">
      <c r="A34" s="1">
        <v>8</v>
      </c>
      <c r="B34" s="100">
        <v>23.9</v>
      </c>
      <c r="C34" s="100">
        <v>12.3</v>
      </c>
      <c r="D34" s="1">
        <f t="shared" si="0"/>
        <v>34.402308834382623</v>
      </c>
      <c r="E34" s="1">
        <f t="shared" si="1"/>
        <v>-10.502308834382625</v>
      </c>
      <c r="F34" s="1">
        <f t="shared" si="2"/>
        <v>110.29849085275133</v>
      </c>
      <c r="G34" s="1">
        <f t="shared" si="3"/>
        <v>1.2938618055096711</v>
      </c>
      <c r="H34" s="1">
        <f t="shared" si="4"/>
        <v>1.674078371756746</v>
      </c>
      <c r="I34" s="1">
        <f t="shared" si="5"/>
        <v>123.88702712322579</v>
      </c>
    </row>
    <row r="35" spans="1:19" ht="15.75" thickBot="1">
      <c r="A35" s="1">
        <v>9</v>
      </c>
      <c r="B35" s="100">
        <v>29.3</v>
      </c>
      <c r="C35" s="100">
        <v>12.7</v>
      </c>
      <c r="D35" s="1">
        <f t="shared" si="0"/>
        <v>34.40581637409138</v>
      </c>
      <c r="E35" s="1">
        <f t="shared" si="1"/>
        <v>-5.1058163740913791</v>
      </c>
      <c r="F35" s="1">
        <f t="shared" si="2"/>
        <v>26.069360845939638</v>
      </c>
      <c r="G35" s="1">
        <f t="shared" si="3"/>
        <v>5.3964924602912454</v>
      </c>
      <c r="H35" s="1">
        <f t="shared" si="4"/>
        <v>29.122130873980257</v>
      </c>
      <c r="I35" s="1">
        <f t="shared" si="5"/>
        <v>53.622860412355351</v>
      </c>
      <c r="K35" s="120" t="s">
        <v>157</v>
      </c>
      <c r="S35" s="185"/>
    </row>
    <row r="36" spans="1:19" ht="15.75" thickBot="1">
      <c r="A36" s="1">
        <v>10</v>
      </c>
      <c r="B36" s="100">
        <v>25.1</v>
      </c>
      <c r="C36" s="100">
        <v>17.600000000000001</v>
      </c>
      <c r="D36" s="1">
        <f t="shared" si="0"/>
        <v>34.448783735523655</v>
      </c>
      <c r="E36" s="1">
        <f t="shared" si="1"/>
        <v>-9.3487837355236536</v>
      </c>
      <c r="F36" s="1">
        <f t="shared" si="2"/>
        <v>87.399757333591594</v>
      </c>
      <c r="G36" s="1">
        <f t="shared" si="3"/>
        <v>-4.2429673614322745</v>
      </c>
      <c r="H36" s="1">
        <f t="shared" si="4"/>
        <v>18.002772030179557</v>
      </c>
      <c r="I36" s="1">
        <f t="shared" si="5"/>
        <v>47.73317307467584</v>
      </c>
      <c r="K36" t="s">
        <v>158</v>
      </c>
      <c r="L36">
        <f>L26*17/16</f>
        <v>0.88365113845415533</v>
      </c>
      <c r="R36" s="185"/>
    </row>
    <row r="37" spans="1:19" ht="15.75" thickBot="1">
      <c r="A37" s="1">
        <v>11</v>
      </c>
      <c r="B37" s="100">
        <v>45.5</v>
      </c>
      <c r="C37" s="100">
        <v>20.6</v>
      </c>
      <c r="D37" s="1">
        <f t="shared" si="0"/>
        <v>34.475090283339327</v>
      </c>
      <c r="E37" s="1">
        <f t="shared" si="1"/>
        <v>11.024909716660673</v>
      </c>
      <c r="F37" s="1">
        <f t="shared" si="2"/>
        <v>121.54863426051892</v>
      </c>
      <c r="G37" s="1">
        <f t="shared" si="3"/>
        <v>20.373693452184327</v>
      </c>
      <c r="H37" s="1">
        <f t="shared" si="4"/>
        <v>415.08738488357852</v>
      </c>
      <c r="I37" s="1">
        <f t="shared" si="5"/>
        <v>-103.06949664473399</v>
      </c>
      <c r="K37" t="s">
        <v>297</v>
      </c>
      <c r="L37">
        <v>1.33</v>
      </c>
      <c r="N37" s="10"/>
      <c r="O37" s="10"/>
    </row>
    <row r="38" spans="1:19" ht="15.75" thickBot="1">
      <c r="A38" s="1">
        <v>12</v>
      </c>
      <c r="B38" s="99">
        <v>37</v>
      </c>
      <c r="C38" s="99">
        <v>23.8</v>
      </c>
      <c r="D38" s="1">
        <f t="shared" si="0"/>
        <v>34.503150601009381</v>
      </c>
      <c r="E38" s="1">
        <f t="shared" si="1"/>
        <v>2.4968493989906193</v>
      </c>
      <c r="F38" s="1">
        <f t="shared" si="2"/>
        <v>6.2342569212398171</v>
      </c>
      <c r="G38" s="1">
        <f t="shared" si="3"/>
        <v>-8.5280603176700538</v>
      </c>
      <c r="H38" s="1">
        <f t="shared" si="4"/>
        <v>72.727812781818656</v>
      </c>
      <c r="I38" s="1">
        <f t="shared" si="5"/>
        <v>27.52753919997004</v>
      </c>
      <c r="K38" t="s">
        <v>296</v>
      </c>
      <c r="M38">
        <f>I44/F44</f>
        <v>0.34187658198213222</v>
      </c>
    </row>
    <row r="39" spans="1:19" ht="15.75" thickBot="1">
      <c r="A39" s="1">
        <v>13</v>
      </c>
      <c r="B39" s="99">
        <v>57.5</v>
      </c>
      <c r="C39" s="99">
        <v>35.200000000000003</v>
      </c>
      <c r="D39" s="1">
        <f t="shared" si="0"/>
        <v>34.603115482708951</v>
      </c>
      <c r="E39" s="1">
        <f t="shared" si="1"/>
        <v>22.896884517291049</v>
      </c>
      <c r="F39" s="1">
        <f t="shared" si="2"/>
        <v>524.26732059816254</v>
      </c>
      <c r="G39" s="1">
        <f t="shared" si="3"/>
        <v>20.40003511830043</v>
      </c>
      <c r="H39" s="1">
        <f t="shared" si="4"/>
        <v>416.16143282789085</v>
      </c>
      <c r="I39" s="1">
        <f t="shared" si="5"/>
        <v>57.17007234575577</v>
      </c>
    </row>
    <row r="40" spans="1:19" ht="15.75" thickBot="1">
      <c r="A40" s="1">
        <v>14</v>
      </c>
      <c r="B40" s="99">
        <v>42.7</v>
      </c>
      <c r="C40" s="99">
        <v>37.6</v>
      </c>
      <c r="D40" s="1">
        <f t="shared" si="0"/>
        <v>34.624160720961491</v>
      </c>
      <c r="E40" s="1">
        <f t="shared" si="1"/>
        <v>8.0758392790385116</v>
      </c>
      <c r="F40" s="1">
        <f t="shared" si="2"/>
        <v>65.219180060861262</v>
      </c>
      <c r="G40" s="1">
        <f t="shared" si="3"/>
        <v>-14.821045238252538</v>
      </c>
      <c r="H40" s="1">
        <f t="shared" si="4"/>
        <v>219.66338195432823</v>
      </c>
      <c r="I40" s="1">
        <f t="shared" si="5"/>
        <v>184.91155935234781</v>
      </c>
    </row>
    <row r="41" spans="1:19" ht="15.75" thickBot="1">
      <c r="A41" s="1">
        <v>15</v>
      </c>
      <c r="B41" s="99">
        <v>52.4</v>
      </c>
      <c r="C41" s="99">
        <v>38.799999999999997</v>
      </c>
      <c r="D41" s="1">
        <f t="shared" si="0"/>
        <v>34.634683340087761</v>
      </c>
      <c r="E41" s="1">
        <f t="shared" si="1"/>
        <v>17.765316659912237</v>
      </c>
      <c r="F41" s="1">
        <f t="shared" si="2"/>
        <v>315.60647602695531</v>
      </c>
      <c r="G41" s="1">
        <f t="shared" si="3"/>
        <v>9.6894773808737256</v>
      </c>
      <c r="H41" s="1">
        <f t="shared" si="4"/>
        <v>93.885971914463553</v>
      </c>
      <c r="I41" s="1">
        <f t="shared" si="5"/>
        <v>143.46984208667649</v>
      </c>
    </row>
    <row r="42" spans="1:19" ht="15.75" thickBot="1">
      <c r="A42" s="1">
        <v>16</v>
      </c>
      <c r="B42" s="99">
        <v>67.400000000000006</v>
      </c>
      <c r="C42" s="99">
        <v>44.2</v>
      </c>
      <c r="D42" s="1">
        <f t="shared" si="0"/>
        <v>34.682035126155981</v>
      </c>
      <c r="E42" s="1">
        <f t="shared" si="1"/>
        <v>32.717964873844025</v>
      </c>
      <c r="F42" s="1">
        <f t="shared" si="2"/>
        <v>1070.4652254860914</v>
      </c>
      <c r="G42" s="1">
        <f t="shared" si="3"/>
        <v>14.952648213931788</v>
      </c>
      <c r="H42" s="1">
        <f t="shared" si="4"/>
        <v>223.58168860959748</v>
      </c>
      <c r="I42" s="1">
        <f t="shared" si="5"/>
        <v>581.24500645172463</v>
      </c>
    </row>
    <row r="43" spans="1:19">
      <c r="A43" s="107">
        <v>17</v>
      </c>
      <c r="B43" s="101">
        <v>10.7</v>
      </c>
      <c r="C43" s="101">
        <v>117.5</v>
      </c>
      <c r="D43" s="1">
        <f t="shared" si="0"/>
        <v>35.32479177778567</v>
      </c>
      <c r="E43" s="1">
        <f t="shared" si="1"/>
        <v>-24.624791777785671</v>
      </c>
      <c r="F43" s="1">
        <f t="shared" si="2"/>
        <v>606.38037009930076</v>
      </c>
      <c r="G43" s="1">
        <f t="shared" si="3"/>
        <v>-57.342756651629699</v>
      </c>
      <c r="H43" s="1">
        <f t="shared" si="4"/>
        <v>3288.1917404080223</v>
      </c>
      <c r="I43" s="1">
        <f t="shared" si="5"/>
        <v>-805.67307241131471</v>
      </c>
    </row>
    <row r="44" spans="1:19">
      <c r="A44" s="1" t="s">
        <v>149</v>
      </c>
      <c r="B44" s="1">
        <f>SUM(B27:B42)</f>
        <v>576</v>
      </c>
      <c r="C44" s="1">
        <f>SUM(C27:C42)</f>
        <v>303.8</v>
      </c>
      <c r="D44" s="1">
        <f>SUM(D27:D42)</f>
        <v>551.37520822221438</v>
      </c>
      <c r="E44" s="119">
        <f>SUM(E27:E42)</f>
        <v>24.624791777785596</v>
      </c>
      <c r="F44" s="1">
        <f>SUM(F27:F42)</f>
        <v>3361.0790527797235</v>
      </c>
      <c r="G44" s="1">
        <f>SUM(G28:G42)</f>
        <v>56.344861604488372</v>
      </c>
      <c r="H44" s="1">
        <f>SUM(H28:H42)</f>
        <v>2795.3141942806747</v>
      </c>
      <c r="I44" s="1">
        <f>SUM(I28:I42)</f>
        <v>1149.0742183360744</v>
      </c>
      <c r="M44" s="10"/>
      <c r="N44" s="10"/>
      <c r="O44" s="10"/>
    </row>
  </sheetData>
  <mergeCells count="1">
    <mergeCell ref="J31:O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V149"/>
  <sheetViews>
    <sheetView tabSelected="1" workbookViewId="0">
      <selection activeCell="E150" sqref="E150"/>
    </sheetView>
  </sheetViews>
  <sheetFormatPr defaultRowHeight="15"/>
  <cols>
    <col min="2" max="2" width="10" customWidth="1"/>
    <col min="4" max="4" width="10.7109375" customWidth="1"/>
    <col min="5" max="5" width="11" customWidth="1"/>
    <col min="7" max="7" width="11.140625" customWidth="1"/>
    <col min="8" max="8" width="13.85546875" customWidth="1"/>
    <col min="9" max="9" width="18.28515625" customWidth="1"/>
    <col min="10" max="10" width="17.7109375" customWidth="1"/>
    <col min="11" max="11" width="16.5703125" bestFit="1" customWidth="1"/>
    <col min="12" max="12" width="23.85546875" bestFit="1" customWidth="1"/>
    <col min="13" max="13" width="10.42578125" bestFit="1" customWidth="1"/>
    <col min="14" max="14" width="21.85546875" bestFit="1" customWidth="1"/>
    <col min="15" max="15" width="20.7109375" bestFit="1" customWidth="1"/>
    <col min="16" max="16" width="15.7109375" bestFit="1" customWidth="1"/>
    <col min="17" max="17" width="16.5703125" bestFit="1" customWidth="1"/>
  </cols>
  <sheetData>
    <row r="1" spans="1:11" ht="21">
      <c r="D1" s="195"/>
    </row>
    <row r="2" spans="1:11">
      <c r="A2" s="247" t="s">
        <v>238</v>
      </c>
      <c r="B2" s="247"/>
      <c r="C2" s="247"/>
    </row>
    <row r="3" spans="1:11" ht="17.25">
      <c r="A3" s="265" t="s">
        <v>136</v>
      </c>
      <c r="B3" s="262" t="s">
        <v>139</v>
      </c>
      <c r="C3" s="262" t="s">
        <v>140</v>
      </c>
      <c r="D3" s="264" t="s">
        <v>241</v>
      </c>
      <c r="E3" s="264"/>
      <c r="F3" s="264"/>
      <c r="H3" s="266" t="s">
        <v>242</v>
      </c>
      <c r="I3" s="266"/>
      <c r="J3" s="266"/>
    </row>
    <row r="4" spans="1:11" ht="17.25">
      <c r="A4" s="265"/>
      <c r="B4" s="199" t="s">
        <v>142</v>
      </c>
      <c r="C4" s="200" t="s">
        <v>204</v>
      </c>
      <c r="D4" s="201" t="s">
        <v>130</v>
      </c>
      <c r="E4" s="202" t="s">
        <v>239</v>
      </c>
      <c r="F4" s="203" t="s">
        <v>240</v>
      </c>
      <c r="G4" s="203" t="s">
        <v>26</v>
      </c>
      <c r="I4" t="s">
        <v>243</v>
      </c>
    </row>
    <row r="5" spans="1:11">
      <c r="A5" s="242">
        <v>1</v>
      </c>
      <c r="B5" s="198">
        <v>10.7</v>
      </c>
      <c r="C5" s="198">
        <v>3.7</v>
      </c>
      <c r="D5" s="197">
        <f t="shared" ref="D5:D21" si="0">C5^2</f>
        <v>13.690000000000001</v>
      </c>
      <c r="E5" s="1">
        <f t="shared" ref="E5:E21" si="1">$K$8+$J$8*C5+$I$8*D5</f>
        <v>18.508159240330265</v>
      </c>
      <c r="F5" s="1">
        <f t="shared" ref="F5:F21" si="2">B5-E5</f>
        <v>-7.8081592403302658</v>
      </c>
      <c r="G5" s="1">
        <f>F5*F5</f>
        <v>60.967350722354915</v>
      </c>
      <c r="H5" s="264" t="s">
        <v>244</v>
      </c>
      <c r="I5" s="264"/>
      <c r="J5" s="264"/>
    </row>
    <row r="6" spans="1:11">
      <c r="A6" s="242">
        <v>2</v>
      </c>
      <c r="B6" s="105">
        <v>23.6</v>
      </c>
      <c r="C6" s="105">
        <v>5</v>
      </c>
      <c r="D6" s="119">
        <f t="shared" si="0"/>
        <v>25</v>
      </c>
      <c r="E6" s="1">
        <f t="shared" si="1"/>
        <v>20.427905817713523</v>
      </c>
      <c r="F6" s="1">
        <f t="shared" si="2"/>
        <v>3.1720941822864788</v>
      </c>
      <c r="G6" s="1">
        <f t="shared" ref="G6:G21" si="3">F6*F6</f>
        <v>10.062181501295724</v>
      </c>
    </row>
    <row r="7" spans="1:11">
      <c r="A7" s="242">
        <v>3</v>
      </c>
      <c r="B7" s="105">
        <v>36.200000000000003</v>
      </c>
      <c r="C7" s="105">
        <v>8.9</v>
      </c>
      <c r="D7" s="119">
        <f t="shared" si="0"/>
        <v>79.210000000000008</v>
      </c>
      <c r="E7" s="1">
        <f t="shared" si="1"/>
        <v>25.909279032729405</v>
      </c>
      <c r="F7" s="1">
        <f t="shared" si="2"/>
        <v>10.290720967270598</v>
      </c>
      <c r="G7" s="1">
        <f t="shared" si="3"/>
        <v>105.89893802622271</v>
      </c>
      <c r="I7" s="207" t="s">
        <v>245</v>
      </c>
      <c r="J7" s="121"/>
    </row>
    <row r="8" spans="1:11">
      <c r="A8" s="242">
        <v>4</v>
      </c>
      <c r="B8" s="105">
        <v>39.700000000000003</v>
      </c>
      <c r="C8" s="105">
        <v>9.6</v>
      </c>
      <c r="D8" s="119">
        <f t="shared" si="0"/>
        <v>92.16</v>
      </c>
      <c r="E8" s="1">
        <f t="shared" si="1"/>
        <v>26.84899640538654</v>
      </c>
      <c r="F8" s="1">
        <f t="shared" si="2"/>
        <v>12.851003594613463</v>
      </c>
      <c r="G8" s="1">
        <f t="shared" si="3"/>
        <v>165.14829338876814</v>
      </c>
      <c r="I8" s="206">
        <f t="array" ref="I8:K12">LINEST(B5:B21,C5:D21,1,1)</f>
        <v>-1.3701504789639517E-2</v>
      </c>
      <c r="J8" s="206">
        <v>1.5959312281185234</v>
      </c>
      <c r="K8" s="206">
        <v>12.790787296861893</v>
      </c>
    </row>
    <row r="9" spans="1:11">
      <c r="A9" s="242">
        <v>5</v>
      </c>
      <c r="B9" s="105">
        <v>22</v>
      </c>
      <c r="C9" s="105">
        <v>11</v>
      </c>
      <c r="D9" s="119">
        <f t="shared" si="0"/>
        <v>121</v>
      </c>
      <c r="E9" s="1">
        <f t="shared" si="1"/>
        <v>28.688148726619268</v>
      </c>
      <c r="F9" s="1">
        <f t="shared" si="2"/>
        <v>-6.6881487266192678</v>
      </c>
      <c r="G9" s="1">
        <f t="shared" si="3"/>
        <v>44.731333389378932</v>
      </c>
      <c r="I9" s="206">
        <v>2.233881871656831E-3</v>
      </c>
      <c r="J9" s="206">
        <v>0.27118495525900288</v>
      </c>
      <c r="K9" s="206">
        <v>4.5665833168844427</v>
      </c>
    </row>
    <row r="10" spans="1:11">
      <c r="A10" s="242">
        <v>6</v>
      </c>
      <c r="B10" s="105">
        <v>40.4</v>
      </c>
      <c r="C10" s="105">
        <v>11.2</v>
      </c>
      <c r="D10" s="119">
        <f t="shared" si="0"/>
        <v>125.43999999999998</v>
      </c>
      <c r="E10" s="1">
        <f t="shared" si="1"/>
        <v>28.946500290976974</v>
      </c>
      <c r="F10" s="1">
        <f t="shared" si="2"/>
        <v>11.453499709023024</v>
      </c>
      <c r="G10" s="1">
        <f t="shared" si="3"/>
        <v>131.18265558459049</v>
      </c>
      <c r="I10" s="206">
        <v>0.72884746718270932</v>
      </c>
      <c r="J10" s="206">
        <v>8.7669437056188677</v>
      </c>
      <c r="K10" s="206" t="e">
        <v>#N/A</v>
      </c>
    </row>
    <row r="11" spans="1:11">
      <c r="A11" s="242">
        <v>7</v>
      </c>
      <c r="B11" s="196">
        <v>22.6</v>
      </c>
      <c r="C11" s="196">
        <v>11.6</v>
      </c>
      <c r="D11" s="119">
        <f t="shared" si="0"/>
        <v>134.56</v>
      </c>
      <c r="E11" s="1">
        <f t="shared" si="1"/>
        <v>29.459915058542872</v>
      </c>
      <c r="F11" s="1">
        <f t="shared" si="2"/>
        <v>-6.859915058542871</v>
      </c>
      <c r="G11" s="1">
        <f t="shared" si="3"/>
        <v>47.058434610423241</v>
      </c>
      <c r="I11" s="206">
        <v>18.815727875633655</v>
      </c>
      <c r="J11" s="206">
        <v>14</v>
      </c>
      <c r="K11" s="206" t="e">
        <v>#N/A</v>
      </c>
    </row>
    <row r="12" spans="1:11">
      <c r="A12" s="242">
        <v>8</v>
      </c>
      <c r="B12" s="196">
        <v>23.9</v>
      </c>
      <c r="C12" s="196">
        <v>12.3</v>
      </c>
      <c r="D12" s="119">
        <f t="shared" si="0"/>
        <v>151.29000000000002</v>
      </c>
      <c r="E12" s="1">
        <f t="shared" si="1"/>
        <v>30.347840743095166</v>
      </c>
      <c r="F12" s="1">
        <f t="shared" si="2"/>
        <v>-6.447840743095167</v>
      </c>
      <c r="G12" s="1">
        <f t="shared" si="3"/>
        <v>41.574650248318036</v>
      </c>
      <c r="I12" s="206">
        <v>2892.3274199339594</v>
      </c>
      <c r="J12" s="206">
        <v>1076.030227124864</v>
      </c>
      <c r="K12" s="206" t="e">
        <v>#N/A</v>
      </c>
    </row>
    <row r="13" spans="1:11">
      <c r="A13" s="242">
        <v>9</v>
      </c>
      <c r="B13" s="196">
        <v>29.3</v>
      </c>
      <c r="C13" s="196">
        <v>12.7</v>
      </c>
      <c r="D13" s="119">
        <f t="shared" si="0"/>
        <v>161.29</v>
      </c>
      <c r="E13" s="1">
        <f t="shared" si="1"/>
        <v>30.849198186446181</v>
      </c>
      <c r="F13" s="1">
        <f t="shared" si="2"/>
        <v>-1.5491981864461799</v>
      </c>
      <c r="G13" s="1">
        <f t="shared" si="3"/>
        <v>2.4000150208881328</v>
      </c>
    </row>
    <row r="14" spans="1:11">
      <c r="A14" s="242">
        <v>10</v>
      </c>
      <c r="B14" s="196">
        <v>25.1</v>
      </c>
      <c r="C14" s="196">
        <v>17.600000000000001</v>
      </c>
      <c r="D14" s="119">
        <f t="shared" si="0"/>
        <v>309.76000000000005</v>
      </c>
      <c r="E14" s="1">
        <f t="shared" si="1"/>
        <v>36.634998788109165</v>
      </c>
      <c r="F14" s="1">
        <f t="shared" si="2"/>
        <v>-11.534998788109164</v>
      </c>
      <c r="G14" s="1">
        <f t="shared" si="3"/>
        <v>133.05619704167987</v>
      </c>
    </row>
    <row r="15" spans="1:11">
      <c r="A15" s="242">
        <v>11</v>
      </c>
      <c r="B15" s="196">
        <v>45.5</v>
      </c>
      <c r="C15" s="196">
        <v>20.6</v>
      </c>
      <c r="D15" s="119">
        <f t="shared" si="0"/>
        <v>424.36000000000007</v>
      </c>
      <c r="E15" s="1">
        <f t="shared" si="1"/>
        <v>39.852600023572052</v>
      </c>
      <c r="F15" s="1">
        <f t="shared" si="2"/>
        <v>5.6473999764279483</v>
      </c>
      <c r="G15" s="1">
        <f t="shared" si="3"/>
        <v>31.893126493758391</v>
      </c>
    </row>
    <row r="16" spans="1:11">
      <c r="A16" s="242">
        <v>12</v>
      </c>
      <c r="B16" s="105">
        <v>37</v>
      </c>
      <c r="C16" s="105">
        <v>23.8</v>
      </c>
      <c r="D16" s="119">
        <f t="shared" si="0"/>
        <v>566.44000000000005</v>
      </c>
      <c r="E16" s="1">
        <f t="shared" si="1"/>
        <v>43.012870153039344</v>
      </c>
      <c r="F16" s="1">
        <f t="shared" si="2"/>
        <v>-6.0128701530393442</v>
      </c>
      <c r="G16" s="1">
        <f t="shared" si="3"/>
        <v>36.154607477311387</v>
      </c>
    </row>
    <row r="17" spans="1:13">
      <c r="A17" s="242">
        <v>13</v>
      </c>
      <c r="B17" s="105">
        <v>57.5</v>
      </c>
      <c r="C17" s="105">
        <v>35.200000000000003</v>
      </c>
      <c r="D17" s="119">
        <f t="shared" si="0"/>
        <v>1239.0400000000002</v>
      </c>
      <c r="E17" s="1">
        <f t="shared" si="1"/>
        <v>51.990854032078985</v>
      </c>
      <c r="F17" s="1">
        <f t="shared" si="2"/>
        <v>5.5091459679210146</v>
      </c>
      <c r="G17" s="1">
        <f t="shared" si="3"/>
        <v>30.350689295860374</v>
      </c>
    </row>
    <row r="18" spans="1:13">
      <c r="A18" s="242">
        <v>14</v>
      </c>
      <c r="B18" s="105">
        <v>42.7</v>
      </c>
      <c r="C18" s="105">
        <v>37.6</v>
      </c>
      <c r="D18" s="119">
        <f t="shared" si="0"/>
        <v>1413.7600000000002</v>
      </c>
      <c r="E18" s="1">
        <f t="shared" si="1"/>
        <v>53.427162062717606</v>
      </c>
      <c r="F18" s="1">
        <f t="shared" si="2"/>
        <v>-10.727162062717603</v>
      </c>
      <c r="G18" s="1">
        <f t="shared" si="3"/>
        <v>115.07200591980779</v>
      </c>
    </row>
    <row r="19" spans="1:13">
      <c r="A19" s="242">
        <v>15</v>
      </c>
      <c r="B19" s="105">
        <v>52.4</v>
      </c>
      <c r="C19" s="105">
        <v>38.799999999999997</v>
      </c>
      <c r="D19" s="119">
        <f t="shared" si="0"/>
        <v>1505.4399999999998</v>
      </c>
      <c r="E19" s="1">
        <f t="shared" si="1"/>
        <v>54.08612557734569</v>
      </c>
      <c r="F19" s="1">
        <f t="shared" si="2"/>
        <v>-1.6861255773456918</v>
      </c>
      <c r="G19" s="1">
        <f t="shared" si="3"/>
        <v>2.8430194625793423</v>
      </c>
    </row>
    <row r="20" spans="1:13">
      <c r="A20" s="242">
        <v>16</v>
      </c>
      <c r="B20" s="105">
        <v>67.400000000000006</v>
      </c>
      <c r="C20" s="105">
        <v>44.2</v>
      </c>
      <c r="D20" s="119">
        <f t="shared" si="0"/>
        <v>1953.6400000000003</v>
      </c>
      <c r="E20" s="1">
        <f t="shared" si="1"/>
        <v>56.563139762469284</v>
      </c>
      <c r="F20" s="1">
        <f t="shared" si="2"/>
        <v>10.836860237530722</v>
      </c>
      <c r="G20" s="1">
        <f t="shared" si="3"/>
        <v>117.43753980777441</v>
      </c>
    </row>
    <row r="21" spans="1:13">
      <c r="A21" s="242">
        <v>17</v>
      </c>
      <c r="B21" s="105">
        <v>10.7</v>
      </c>
      <c r="C21" s="105">
        <v>117.5</v>
      </c>
      <c r="D21" s="119">
        <f t="shared" si="0"/>
        <v>13806.25</v>
      </c>
      <c r="E21" s="1">
        <f t="shared" si="1"/>
        <v>11.146306098827807</v>
      </c>
      <c r="F21" s="1">
        <f t="shared" si="2"/>
        <v>-0.44630609882780803</v>
      </c>
      <c r="G21" s="1">
        <f t="shared" si="3"/>
        <v>0.19918913385089715</v>
      </c>
      <c r="K21" s="31"/>
      <c r="L21" s="31"/>
    </row>
    <row r="22" spans="1:13">
      <c r="A22" s="245" t="s">
        <v>288</v>
      </c>
      <c r="B22" s="1"/>
      <c r="C22" s="1"/>
      <c r="D22" s="1"/>
      <c r="E22" s="1"/>
      <c r="F22" s="1"/>
      <c r="G22" s="203">
        <f ca="1">SUM(G5:G22)</f>
        <v>1076.0302271248627</v>
      </c>
      <c r="K22" s="190"/>
      <c r="L22" s="31"/>
    </row>
    <row r="23" spans="1:13">
      <c r="K23" s="190"/>
      <c r="L23" s="31"/>
      <c r="M23" s="189"/>
    </row>
    <row r="24" spans="1:13" ht="15.75">
      <c r="A24" s="267" t="s">
        <v>246</v>
      </c>
      <c r="B24" s="267"/>
      <c r="C24" s="267"/>
      <c r="E24" s="268" t="s">
        <v>250</v>
      </c>
      <c r="F24" s="268"/>
      <c r="G24" s="268"/>
      <c r="K24" s="31"/>
      <c r="L24" s="31"/>
    </row>
    <row r="25" spans="1:13" ht="17.25">
      <c r="F25" t="s">
        <v>251</v>
      </c>
      <c r="G25" t="s">
        <v>252</v>
      </c>
      <c r="H25" s="264" t="s">
        <v>253</v>
      </c>
      <c r="I25" s="264"/>
      <c r="J25" s="264"/>
    </row>
    <row r="26" spans="1:13" ht="18" thickBot="1">
      <c r="A26" s="265" t="s">
        <v>136</v>
      </c>
      <c r="B26" s="208" t="s">
        <v>139</v>
      </c>
      <c r="C26" s="208" t="s">
        <v>140</v>
      </c>
      <c r="D26" s="209"/>
      <c r="E26" s="210"/>
      <c r="H26" s="264" t="s">
        <v>247</v>
      </c>
      <c r="I26" s="264"/>
      <c r="J26" s="264"/>
    </row>
    <row r="27" spans="1:13">
      <c r="A27" s="265"/>
      <c r="B27" s="261" t="s">
        <v>142</v>
      </c>
      <c r="C27" s="257" t="s">
        <v>204</v>
      </c>
      <c r="D27" s="258" t="s">
        <v>130</v>
      </c>
      <c r="E27" s="259" t="s">
        <v>248</v>
      </c>
      <c r="F27" s="259" t="s">
        <v>249</v>
      </c>
      <c r="G27" s="259" t="s">
        <v>240</v>
      </c>
      <c r="H27" s="260" t="s">
        <v>26</v>
      </c>
    </row>
    <row r="28" spans="1:13">
      <c r="A28" s="242">
        <v>1</v>
      </c>
      <c r="B28" s="238">
        <v>10.7</v>
      </c>
      <c r="C28" s="105">
        <v>3.7</v>
      </c>
      <c r="D28" s="119">
        <f t="shared" ref="D28:D44" si="4">C28^2</f>
        <v>13.690000000000001</v>
      </c>
      <c r="E28" s="119">
        <f t="shared" ref="E28:E44" si="5">C28^3</f>
        <v>50.653000000000006</v>
      </c>
      <c r="F28" s="1">
        <f t="shared" ref="F28:F44" si="6">$L$30+$K$30*C28+$J$30*D28+$I$30*E28</f>
        <v>21.730528900165734</v>
      </c>
      <c r="G28" s="1">
        <f t="shared" ref="G28:G43" si="7">B28-F28</f>
        <v>-11.030528900165734</v>
      </c>
      <c r="H28" s="113">
        <f>G28*G28</f>
        <v>121.67256781739148</v>
      </c>
    </row>
    <row r="29" spans="1:13">
      <c r="A29" s="242">
        <v>2</v>
      </c>
      <c r="B29" s="238">
        <v>23.6</v>
      </c>
      <c r="C29" s="105">
        <v>5</v>
      </c>
      <c r="D29" s="119">
        <f t="shared" si="4"/>
        <v>25</v>
      </c>
      <c r="E29" s="119">
        <f t="shared" si="5"/>
        <v>125</v>
      </c>
      <c r="F29" s="1">
        <f t="shared" si="6"/>
        <v>22.827089474978578</v>
      </c>
      <c r="G29" s="1">
        <f t="shared" si="7"/>
        <v>0.77291052502142321</v>
      </c>
      <c r="H29" s="113">
        <f t="shared" ref="H29:H43" si="8">G29*G29</f>
        <v>0.59739067968889203</v>
      </c>
      <c r="J29" s="256" t="s">
        <v>245</v>
      </c>
    </row>
    <row r="30" spans="1:13">
      <c r="A30" s="242">
        <v>3</v>
      </c>
      <c r="B30" s="238">
        <v>36.200000000000003</v>
      </c>
      <c r="C30" s="105">
        <v>8.9</v>
      </c>
      <c r="D30" s="119">
        <f t="shared" si="4"/>
        <v>79.210000000000008</v>
      </c>
      <c r="E30" s="119">
        <f t="shared" si="5"/>
        <v>704.96900000000005</v>
      </c>
      <c r="F30" s="1">
        <f t="shared" si="6"/>
        <v>26.270702962053818</v>
      </c>
      <c r="G30" s="1">
        <f t="shared" si="7"/>
        <v>9.9292970379461849</v>
      </c>
      <c r="H30" s="225">
        <f t="shared" si="8"/>
        <v>98.590939667766875</v>
      </c>
      <c r="I30" s="255">
        <f t="array" ref="I30:L34">LINEST(B28:B44,C28:E44,1,1)</f>
        <v>-1.4681391643067837E-4</v>
      </c>
      <c r="J30" s="255">
        <v>1.0174248530596166E-2</v>
      </c>
      <c r="K30" s="255">
        <v>0.76338846013589901</v>
      </c>
      <c r="L30" s="255">
        <v>18.774142700588012</v>
      </c>
    </row>
    <row r="31" spans="1:13">
      <c r="A31" s="242">
        <v>4</v>
      </c>
      <c r="B31" s="238">
        <v>39.700000000000003</v>
      </c>
      <c r="C31" s="105">
        <v>9.6</v>
      </c>
      <c r="D31" s="119">
        <f t="shared" si="4"/>
        <v>92.16</v>
      </c>
      <c r="E31" s="119">
        <f t="shared" si="5"/>
        <v>884.73599999999999</v>
      </c>
      <c r="F31" s="1">
        <f t="shared" si="6"/>
        <v>26.910439105305173</v>
      </c>
      <c r="G31" s="1">
        <f t="shared" si="7"/>
        <v>12.78956089469483</v>
      </c>
      <c r="H31" s="225">
        <f t="shared" si="8"/>
        <v>163.57286787910724</v>
      </c>
      <c r="I31" s="255">
        <v>1.93327193375982E-4</v>
      </c>
      <c r="J31" s="255">
        <v>3.1521748611130017E-2</v>
      </c>
      <c r="K31" s="255">
        <v>1.1303644161702322</v>
      </c>
      <c r="L31" s="255">
        <v>9.1423381363645184</v>
      </c>
    </row>
    <row r="32" spans="1:13">
      <c r="A32" s="242">
        <v>5</v>
      </c>
      <c r="B32" s="238">
        <v>22</v>
      </c>
      <c r="C32" s="105">
        <v>11</v>
      </c>
      <c r="D32" s="119">
        <f t="shared" si="4"/>
        <v>121</v>
      </c>
      <c r="E32" s="119">
        <f t="shared" si="5"/>
        <v>1331</v>
      </c>
      <c r="F32" s="1">
        <f t="shared" si="6"/>
        <v>28.207090511515805</v>
      </c>
      <c r="G32" s="1">
        <f t="shared" si="7"/>
        <v>-6.2070905115158048</v>
      </c>
      <c r="H32" s="225">
        <f t="shared" si="8"/>
        <v>38.527972618149533</v>
      </c>
      <c r="I32" s="255">
        <v>0.7403652280952856</v>
      </c>
      <c r="J32" s="255">
        <v>8.9025650259239111</v>
      </c>
      <c r="K32" s="255" t="e">
        <v>#N/A</v>
      </c>
      <c r="L32" s="255" t="e">
        <v>#N/A</v>
      </c>
    </row>
    <row r="33" spans="1:22">
      <c r="A33" s="242">
        <v>6</v>
      </c>
      <c r="B33" s="238">
        <v>40.4</v>
      </c>
      <c r="C33" s="105">
        <v>11.2</v>
      </c>
      <c r="D33" s="119">
        <f t="shared" si="4"/>
        <v>125.43999999999998</v>
      </c>
      <c r="E33" s="119">
        <f t="shared" si="5"/>
        <v>1404.9279999999997</v>
      </c>
      <c r="F33" s="1">
        <f t="shared" si="6"/>
        <v>28.394088207804945</v>
      </c>
      <c r="G33" s="1">
        <f t="shared" si="7"/>
        <v>12.005911792195054</v>
      </c>
      <c r="H33" s="225">
        <f t="shared" si="8"/>
        <v>144.14191796196826</v>
      </c>
      <c r="I33" s="255">
        <v>12.356778324452089</v>
      </c>
      <c r="J33" s="255">
        <v>13</v>
      </c>
      <c r="K33" s="255" t="e">
        <v>#N/A</v>
      </c>
      <c r="L33" s="255" t="e">
        <v>#N/A</v>
      </c>
    </row>
    <row r="34" spans="1:22">
      <c r="A34" s="242">
        <v>7</v>
      </c>
      <c r="B34" s="239">
        <v>22.6</v>
      </c>
      <c r="C34" s="196">
        <v>11.6</v>
      </c>
      <c r="D34" s="119">
        <f t="shared" si="4"/>
        <v>134.56</v>
      </c>
      <c r="E34" s="119">
        <f t="shared" si="5"/>
        <v>1560.896</v>
      </c>
      <c r="F34" s="1">
        <f t="shared" si="6"/>
        <v>28.769334465540481</v>
      </c>
      <c r="G34" s="1">
        <f t="shared" si="7"/>
        <v>-6.16933446554048</v>
      </c>
      <c r="H34" s="225">
        <f t="shared" si="8"/>
        <v>38.060687747705643</v>
      </c>
      <c r="I34" s="1">
        <v>2938.0340145283767</v>
      </c>
      <c r="J34" s="1">
        <v>1030.323632530447</v>
      </c>
      <c r="K34" s="1" t="e">
        <v>#N/A</v>
      </c>
      <c r="L34" s="1" t="e">
        <v>#N/A</v>
      </c>
    </row>
    <row r="35" spans="1:22">
      <c r="A35" s="242">
        <v>8</v>
      </c>
      <c r="B35" s="239">
        <v>23.9</v>
      </c>
      <c r="C35" s="196">
        <v>12.3</v>
      </c>
      <c r="D35" s="119">
        <f t="shared" si="4"/>
        <v>151.29000000000002</v>
      </c>
      <c r="E35" s="119">
        <f t="shared" si="5"/>
        <v>1860.8670000000004</v>
      </c>
      <c r="F35" s="1">
        <f t="shared" si="6"/>
        <v>29.429881648226857</v>
      </c>
      <c r="G35" s="1">
        <f t="shared" si="7"/>
        <v>-5.5298816482268585</v>
      </c>
      <c r="H35" s="113">
        <f t="shared" si="8"/>
        <v>30.579591043396196</v>
      </c>
    </row>
    <row r="36" spans="1:22">
      <c r="A36" s="242">
        <v>9</v>
      </c>
      <c r="B36" s="239">
        <v>29.3</v>
      </c>
      <c r="C36" s="196">
        <v>12.7</v>
      </c>
      <c r="D36" s="119">
        <f t="shared" si="4"/>
        <v>161.29</v>
      </c>
      <c r="E36" s="119">
        <f t="shared" si="5"/>
        <v>2048.3829999999998</v>
      </c>
      <c r="F36" s="1">
        <f t="shared" si="6"/>
        <v>29.809449559233759</v>
      </c>
      <c r="G36" s="1">
        <f t="shared" si="7"/>
        <v>-0.50944955923375801</v>
      </c>
      <c r="H36" s="113">
        <f t="shared" si="8"/>
        <v>0.25953885340347033</v>
      </c>
    </row>
    <row r="37" spans="1:22">
      <c r="A37" s="242">
        <v>10</v>
      </c>
      <c r="B37" s="239">
        <v>25.1</v>
      </c>
      <c r="C37" s="196">
        <v>17.600000000000001</v>
      </c>
      <c r="D37" s="119">
        <f t="shared" si="4"/>
        <v>309.76000000000005</v>
      </c>
      <c r="E37" s="119">
        <f t="shared" si="5"/>
        <v>5451.7760000000017</v>
      </c>
      <c r="F37" s="1">
        <f t="shared" si="6"/>
        <v>34.560958237754527</v>
      </c>
      <c r="G37" s="1">
        <f t="shared" si="7"/>
        <v>-9.4609582377545252</v>
      </c>
      <c r="H37" s="113">
        <f t="shared" si="8"/>
        <v>89.509730776535207</v>
      </c>
    </row>
    <row r="38" spans="1:22">
      <c r="A38" s="242">
        <v>11</v>
      </c>
      <c r="B38" s="239">
        <v>45.5</v>
      </c>
      <c r="C38" s="196">
        <v>20.6</v>
      </c>
      <c r="D38" s="119">
        <f t="shared" si="4"/>
        <v>424.36000000000007</v>
      </c>
      <c r="E38" s="119">
        <f t="shared" si="5"/>
        <v>8741.8160000000025</v>
      </c>
      <c r="F38" s="1">
        <f t="shared" si="6"/>
        <v>37.534068842154959</v>
      </c>
      <c r="G38" s="1">
        <f t="shared" si="7"/>
        <v>7.9659311578450414</v>
      </c>
      <c r="H38" s="113">
        <f t="shared" si="8"/>
        <v>63.456059211526444</v>
      </c>
    </row>
    <row r="39" spans="1:22">
      <c r="A39" s="242">
        <v>12</v>
      </c>
      <c r="B39" s="238">
        <v>37</v>
      </c>
      <c r="C39" s="105">
        <v>23.8</v>
      </c>
      <c r="D39" s="119">
        <f t="shared" si="4"/>
        <v>566.44000000000005</v>
      </c>
      <c r="E39" s="119">
        <f t="shared" si="5"/>
        <v>13481.272000000001</v>
      </c>
      <c r="F39" s="1">
        <f t="shared" si="6"/>
        <v>40.726651048706046</v>
      </c>
      <c r="G39" s="1">
        <f t="shared" si="7"/>
        <v>-3.7266510487060458</v>
      </c>
      <c r="H39" s="113">
        <f t="shared" si="8"/>
        <v>13.887928038821871</v>
      </c>
    </row>
    <row r="40" spans="1:22">
      <c r="A40" s="242">
        <v>13</v>
      </c>
      <c r="B40" s="238">
        <v>57.5</v>
      </c>
      <c r="C40" s="105">
        <v>35.200000000000003</v>
      </c>
      <c r="D40" s="119">
        <f t="shared" si="4"/>
        <v>1239.0400000000002</v>
      </c>
      <c r="E40" s="119">
        <f t="shared" si="5"/>
        <v>43614.208000000013</v>
      </c>
      <c r="F40" s="1">
        <f t="shared" si="6"/>
        <v>51.848544708219308</v>
      </c>
      <c r="G40" s="1">
        <f t="shared" si="7"/>
        <v>5.6514552917806924</v>
      </c>
      <c r="H40" s="113">
        <f t="shared" si="8"/>
        <v>31.938946914995991</v>
      </c>
    </row>
    <row r="41" spans="1:22">
      <c r="A41" s="242">
        <v>14</v>
      </c>
      <c r="B41" s="238">
        <v>42.7</v>
      </c>
      <c r="C41" s="105">
        <v>37.6</v>
      </c>
      <c r="D41" s="119">
        <f t="shared" si="4"/>
        <v>1413.7600000000002</v>
      </c>
      <c r="E41" s="119">
        <f t="shared" si="5"/>
        <v>53157.376000000011</v>
      </c>
      <c r="F41" s="1">
        <f t="shared" si="6"/>
        <v>54.057251846575305</v>
      </c>
      <c r="G41" s="1">
        <f t="shared" si="7"/>
        <v>-11.357251846575302</v>
      </c>
      <c r="H41" s="113">
        <f t="shared" si="8"/>
        <v>128.98716950653809</v>
      </c>
    </row>
    <row r="42" spans="1:22">
      <c r="A42" s="242">
        <v>15</v>
      </c>
      <c r="B42" s="238">
        <v>52.4</v>
      </c>
      <c r="C42" s="105">
        <v>38.799999999999997</v>
      </c>
      <c r="D42" s="119">
        <f t="shared" si="4"/>
        <v>1505.4399999999998</v>
      </c>
      <c r="E42" s="119">
        <f t="shared" si="5"/>
        <v>58411.071999999986</v>
      </c>
      <c r="F42" s="1">
        <f t="shared" si="6"/>
        <v>55.13477741852725</v>
      </c>
      <c r="G42" s="1">
        <f t="shared" si="7"/>
        <v>-2.7347774185272513</v>
      </c>
      <c r="H42" s="113">
        <f t="shared" si="8"/>
        <v>7.4790075288865765</v>
      </c>
    </row>
    <row r="43" spans="1:22">
      <c r="A43" s="242">
        <v>16</v>
      </c>
      <c r="B43" s="238">
        <v>67.400000000000006</v>
      </c>
      <c r="C43" s="105">
        <v>44.2</v>
      </c>
      <c r="D43" s="119">
        <f t="shared" si="4"/>
        <v>1953.6400000000003</v>
      </c>
      <c r="E43" s="119">
        <f t="shared" si="5"/>
        <v>86350.888000000021</v>
      </c>
      <c r="F43" s="1">
        <f t="shared" si="6"/>
        <v>59.715219483361778</v>
      </c>
      <c r="G43" s="1">
        <f t="shared" si="7"/>
        <v>7.6847805166382273</v>
      </c>
      <c r="H43" s="113">
        <f t="shared" si="8"/>
        <v>59.055851588902499</v>
      </c>
    </row>
    <row r="44" spans="1:22" ht="15.75" thickBot="1">
      <c r="A44" s="242">
        <v>17</v>
      </c>
      <c r="B44" s="240">
        <v>10.7</v>
      </c>
      <c r="C44" s="223">
        <v>117.5</v>
      </c>
      <c r="D44" s="243">
        <f t="shared" si="4"/>
        <v>13806.25</v>
      </c>
      <c r="E44" s="243">
        <f t="shared" si="5"/>
        <v>1622234.375</v>
      </c>
      <c r="F44" s="224">
        <f t="shared" si="6"/>
        <v>10.773923579875742</v>
      </c>
      <c r="G44" s="224">
        <f>SUM(G28:G43)</f>
        <v>7.392357987569298E-2</v>
      </c>
      <c r="H44" s="244">
        <f>G44*G44</f>
        <v>5.46469566163796E-3</v>
      </c>
    </row>
    <row r="45" spans="1:22" ht="15.75" thickBot="1">
      <c r="A45" s="245" t="s">
        <v>288</v>
      </c>
      <c r="B45" s="1"/>
      <c r="C45" s="1"/>
      <c r="D45" s="1"/>
      <c r="E45" s="1"/>
      <c r="F45" s="1"/>
      <c r="G45" s="225"/>
      <c r="H45" s="246">
        <f>SUM(H28:H44)</f>
        <v>1030.3236325304458</v>
      </c>
      <c r="I45" s="188"/>
      <c r="J45" s="188"/>
      <c r="K45" s="190"/>
      <c r="L45" s="190"/>
      <c r="M45" s="31"/>
      <c r="N45" s="31"/>
      <c r="O45" s="31"/>
      <c r="P45" s="31"/>
      <c r="Q45" s="31"/>
      <c r="R45" s="31"/>
      <c r="S45" s="31"/>
      <c r="T45" s="31"/>
      <c r="U45" s="31"/>
      <c r="V45" s="31"/>
    </row>
    <row r="46" spans="1:22" ht="15.75">
      <c r="A46" s="269" t="s">
        <v>254</v>
      </c>
      <c r="B46" s="269"/>
      <c r="C46" s="269"/>
      <c r="D46" s="185"/>
      <c r="F46" s="185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</row>
    <row r="47" spans="1:22" ht="18.75">
      <c r="G47" s="270" t="s">
        <v>250</v>
      </c>
      <c r="H47" s="270"/>
      <c r="I47" s="270"/>
    </row>
    <row r="48" spans="1:22">
      <c r="A48" s="265" t="s">
        <v>136</v>
      </c>
      <c r="B48" s="208" t="s">
        <v>139</v>
      </c>
      <c r="C48" s="208" t="s">
        <v>140</v>
      </c>
      <c r="D48" s="235"/>
      <c r="E48" s="236"/>
      <c r="F48" s="236"/>
      <c r="G48" s="236"/>
      <c r="I48" s="185" t="s">
        <v>255</v>
      </c>
    </row>
    <row r="49" spans="1:10">
      <c r="A49" s="265"/>
      <c r="B49" s="237" t="s">
        <v>142</v>
      </c>
      <c r="C49" s="200" t="s">
        <v>204</v>
      </c>
      <c r="D49" s="203" t="s">
        <v>130</v>
      </c>
      <c r="E49" s="203" t="s">
        <v>249</v>
      </c>
      <c r="F49" s="203" t="s">
        <v>240</v>
      </c>
      <c r="G49" s="203" t="s">
        <v>26</v>
      </c>
      <c r="H49" s="264" t="s">
        <v>256</v>
      </c>
      <c r="I49" s="264"/>
      <c r="J49" s="264"/>
    </row>
    <row r="50" spans="1:10">
      <c r="A50" s="242">
        <v>1</v>
      </c>
      <c r="B50" s="238">
        <v>10.7</v>
      </c>
      <c r="C50" s="105">
        <v>3.7</v>
      </c>
      <c r="D50" s="211">
        <f t="shared" ref="D50:D66" si="9">1/C50</f>
        <v>0.27027027027027023</v>
      </c>
      <c r="E50" s="1">
        <f t="shared" ref="E50:E66" si="10">$I$55+$H$55*D50</f>
        <v>11.381803007782018</v>
      </c>
      <c r="F50" s="1">
        <f t="shared" ref="F50:F66" si="11">B50-E50</f>
        <v>-0.68180300778201897</v>
      </c>
      <c r="G50" s="1">
        <f>F50*F50</f>
        <v>0.4648553414206078</v>
      </c>
    </row>
    <row r="51" spans="1:10">
      <c r="A51" s="242">
        <v>2</v>
      </c>
      <c r="B51" s="238">
        <v>23.6</v>
      </c>
      <c r="C51" s="105">
        <v>5</v>
      </c>
      <c r="D51" s="211">
        <f t="shared" si="9"/>
        <v>0.2</v>
      </c>
      <c r="E51" s="1">
        <f t="shared" si="10"/>
        <v>19.957340363576151</v>
      </c>
      <c r="F51" s="1">
        <f t="shared" si="11"/>
        <v>3.6426596364238506</v>
      </c>
      <c r="G51" s="1">
        <f t="shared" ref="G51:G66" si="12">F51*F51</f>
        <v>13.268969226831539</v>
      </c>
    </row>
    <row r="52" spans="1:10">
      <c r="A52" s="242">
        <v>3</v>
      </c>
      <c r="B52" s="238">
        <v>36.200000000000003</v>
      </c>
      <c r="C52" s="105">
        <v>8.9</v>
      </c>
      <c r="D52" s="211">
        <f t="shared" si="9"/>
        <v>0.11235955056179775</v>
      </c>
      <c r="E52" s="1">
        <f t="shared" si="10"/>
        <v>30.652673470240757</v>
      </c>
      <c r="F52" s="1">
        <f t="shared" si="11"/>
        <v>5.5473265297592462</v>
      </c>
      <c r="G52" s="1">
        <f t="shared" si="12"/>
        <v>30.77283162777076</v>
      </c>
    </row>
    <row r="53" spans="1:10" ht="15.75" thickBot="1">
      <c r="A53" s="242">
        <v>4</v>
      </c>
      <c r="B53" s="238">
        <v>39.700000000000003</v>
      </c>
      <c r="C53" s="105">
        <v>9.6</v>
      </c>
      <c r="D53" s="211">
        <f t="shared" si="9"/>
        <v>0.10416666666666667</v>
      </c>
      <c r="E53" s="1">
        <f t="shared" si="10"/>
        <v>31.652504289506943</v>
      </c>
      <c r="F53" s="1">
        <f t="shared" si="11"/>
        <v>8.0474957104930596</v>
      </c>
      <c r="G53" s="1">
        <f t="shared" si="12"/>
        <v>64.762187210404193</v>
      </c>
    </row>
    <row r="54" spans="1:10" ht="15.75" thickBot="1">
      <c r="A54" s="242">
        <v>5</v>
      </c>
      <c r="B54" s="238">
        <v>22</v>
      </c>
      <c r="C54" s="105">
        <v>11</v>
      </c>
      <c r="D54" s="211">
        <f t="shared" si="9"/>
        <v>9.0909090909090912E-2</v>
      </c>
      <c r="E54" s="1">
        <f t="shared" si="10"/>
        <v>33.270412342501324</v>
      </c>
      <c r="F54" s="1">
        <f t="shared" si="11"/>
        <v>-11.270412342501324</v>
      </c>
      <c r="G54" s="225">
        <f t="shared" si="12"/>
        <v>127.02219437000618</v>
      </c>
      <c r="H54" s="31"/>
      <c r="I54" s="234" t="s">
        <v>245</v>
      </c>
    </row>
    <row r="55" spans="1:10">
      <c r="A55" s="242">
        <v>6</v>
      </c>
      <c r="B55" s="238">
        <v>40.4</v>
      </c>
      <c r="C55" s="105">
        <v>11.2</v>
      </c>
      <c r="D55" s="211">
        <f t="shared" si="9"/>
        <v>8.9285714285714288E-2</v>
      </c>
      <c r="E55" s="1">
        <f t="shared" si="10"/>
        <v>33.468523532663902</v>
      </c>
      <c r="F55" s="1">
        <f t="shared" si="11"/>
        <v>6.9314764673360969</v>
      </c>
      <c r="G55" s="225">
        <f t="shared" si="12"/>
        <v>48.045366017234095</v>
      </c>
      <c r="H55" s="108">
        <f t="array" ref="H55:I59">LINEST(B50:B66,D50:D66,1,1)</f>
        <v>-122.03649314014739</v>
      </c>
      <c r="I55" s="110">
        <v>44.364638991605631</v>
      </c>
    </row>
    <row r="56" spans="1:10">
      <c r="A56" s="242">
        <v>7</v>
      </c>
      <c r="B56" s="239">
        <v>22.6</v>
      </c>
      <c r="C56" s="196">
        <v>11.6</v>
      </c>
      <c r="D56" s="211">
        <f t="shared" si="9"/>
        <v>8.6206896551724144E-2</v>
      </c>
      <c r="E56" s="1">
        <f t="shared" si="10"/>
        <v>33.844251651937753</v>
      </c>
      <c r="F56" s="1">
        <f t="shared" si="11"/>
        <v>-11.244251651937752</v>
      </c>
      <c r="G56" s="225">
        <f t="shared" si="12"/>
        <v>126.43319521210486</v>
      </c>
      <c r="H56" s="112">
        <v>51.637078568645961</v>
      </c>
      <c r="I56" s="113">
        <v>5.3591523366372513</v>
      </c>
    </row>
    <row r="57" spans="1:10">
      <c r="A57" s="242">
        <v>8</v>
      </c>
      <c r="B57" s="239">
        <v>23.9</v>
      </c>
      <c r="C57" s="196">
        <v>12.3</v>
      </c>
      <c r="D57" s="211">
        <f t="shared" si="9"/>
        <v>8.1300813008130079E-2</v>
      </c>
      <c r="E57" s="1">
        <f t="shared" si="10"/>
        <v>34.442972882650558</v>
      </c>
      <c r="F57" s="1">
        <f t="shared" si="11"/>
        <v>-10.54297288265056</v>
      </c>
      <c r="G57" s="225">
        <f>F57*F57</f>
        <v>111.15427720430505</v>
      </c>
      <c r="H57" s="112">
        <v>0.27132905628947818</v>
      </c>
      <c r="I57" s="113">
        <v>13.884348290222864</v>
      </c>
    </row>
    <row r="58" spans="1:10">
      <c r="A58" s="242">
        <v>9</v>
      </c>
      <c r="B58" s="239">
        <v>29.3</v>
      </c>
      <c r="C58" s="196">
        <v>12.7</v>
      </c>
      <c r="D58" s="211">
        <f t="shared" si="9"/>
        <v>7.874015748031496E-2</v>
      </c>
      <c r="E58" s="1">
        <f t="shared" si="10"/>
        <v>34.755466303405051</v>
      </c>
      <c r="F58" s="1">
        <f t="shared" si="11"/>
        <v>-5.4554663034050499</v>
      </c>
      <c r="G58" s="225">
        <f t="shared" si="12"/>
        <v>29.762112587587961</v>
      </c>
      <c r="H58" s="112">
        <v>5.5854235433312844</v>
      </c>
      <c r="I58" s="113">
        <v>15</v>
      </c>
    </row>
    <row r="59" spans="1:10" ht="15.75" thickBot="1">
      <c r="A59" s="242">
        <v>10</v>
      </c>
      <c r="B59" s="239">
        <v>25.1</v>
      </c>
      <c r="C59" s="196">
        <v>17.600000000000001</v>
      </c>
      <c r="D59" s="211">
        <f t="shared" si="9"/>
        <v>5.6818181818181816E-2</v>
      </c>
      <c r="E59" s="1">
        <f t="shared" si="10"/>
        <v>37.430747335915441</v>
      </c>
      <c r="F59" s="1">
        <f t="shared" si="11"/>
        <v>-12.33074733591544</v>
      </c>
      <c r="G59" s="225">
        <f t="shared" si="12"/>
        <v>152.04732986218573</v>
      </c>
      <c r="H59" s="117">
        <v>1076.7307353956048</v>
      </c>
      <c r="I59" s="118">
        <v>2891.6269116632188</v>
      </c>
    </row>
    <row r="60" spans="1:10">
      <c r="A60" s="242">
        <v>11</v>
      </c>
      <c r="B60" s="239">
        <v>45.5</v>
      </c>
      <c r="C60" s="196">
        <v>20.6</v>
      </c>
      <c r="D60" s="211">
        <f t="shared" si="9"/>
        <v>4.8543689320388349E-2</v>
      </c>
      <c r="E60" s="1">
        <f t="shared" si="10"/>
        <v>38.440537382860612</v>
      </c>
      <c r="F60" s="1">
        <f t="shared" si="11"/>
        <v>7.0594626171393884</v>
      </c>
      <c r="G60" s="225">
        <f t="shared" si="12"/>
        <v>49.836012442788501</v>
      </c>
      <c r="H60" s="31"/>
      <c r="I60" s="31"/>
    </row>
    <row r="61" spans="1:10">
      <c r="A61" s="242">
        <v>12</v>
      </c>
      <c r="B61" s="238">
        <v>37</v>
      </c>
      <c r="C61" s="105">
        <v>23.8</v>
      </c>
      <c r="D61" s="211">
        <f t="shared" si="9"/>
        <v>4.2016806722689072E-2</v>
      </c>
      <c r="E61" s="1">
        <f t="shared" si="10"/>
        <v>39.237055246221288</v>
      </c>
      <c r="F61" s="1">
        <f t="shared" si="11"/>
        <v>-2.2370552462212885</v>
      </c>
      <c r="G61" s="1">
        <f t="shared" si="12"/>
        <v>5.0044161746461899</v>
      </c>
    </row>
    <row r="62" spans="1:10">
      <c r="A62" s="242">
        <v>13</v>
      </c>
      <c r="B62" s="238">
        <v>57.5</v>
      </c>
      <c r="C62" s="105">
        <v>35.200000000000003</v>
      </c>
      <c r="D62" s="211">
        <f t="shared" si="9"/>
        <v>2.8409090909090908E-2</v>
      </c>
      <c r="E62" s="1">
        <f t="shared" si="10"/>
        <v>40.897693163760536</v>
      </c>
      <c r="F62" s="1">
        <f t="shared" si="11"/>
        <v>16.602306836239464</v>
      </c>
      <c r="G62" s="1">
        <f t="shared" si="12"/>
        <v>275.63659228464365</v>
      </c>
    </row>
    <row r="63" spans="1:10">
      <c r="A63" s="242">
        <v>14</v>
      </c>
      <c r="B63" s="238">
        <v>42.7</v>
      </c>
      <c r="C63" s="105">
        <v>37.6</v>
      </c>
      <c r="D63" s="211">
        <f t="shared" si="9"/>
        <v>2.6595744680851064E-2</v>
      </c>
      <c r="E63" s="1">
        <f t="shared" si="10"/>
        <v>41.118987578303837</v>
      </c>
      <c r="F63" s="1">
        <f t="shared" si="11"/>
        <v>1.5810124216961654</v>
      </c>
      <c r="G63" s="1">
        <f t="shared" si="12"/>
        <v>2.4996002775575734</v>
      </c>
    </row>
    <row r="64" spans="1:10">
      <c r="A64" s="242">
        <v>15</v>
      </c>
      <c r="B64" s="238">
        <v>52.4</v>
      </c>
      <c r="C64" s="105">
        <v>38.799999999999997</v>
      </c>
      <c r="D64" s="211">
        <f t="shared" si="9"/>
        <v>2.5773195876288662E-2</v>
      </c>
      <c r="E64" s="1">
        <f t="shared" si="10"/>
        <v>41.219368549849257</v>
      </c>
      <c r="F64" s="1">
        <f t="shared" si="11"/>
        <v>11.180631450150742</v>
      </c>
      <c r="G64" s="1">
        <f t="shared" si="12"/>
        <v>125.00651962409988</v>
      </c>
    </row>
    <row r="65" spans="1:15">
      <c r="A65" s="242">
        <v>16</v>
      </c>
      <c r="B65" s="238">
        <v>67.400000000000006</v>
      </c>
      <c r="C65" s="105">
        <v>44.2</v>
      </c>
      <c r="D65" s="211">
        <f t="shared" si="9"/>
        <v>2.2624434389140271E-2</v>
      </c>
      <c r="E65" s="1">
        <f t="shared" si="10"/>
        <v>41.603632359475597</v>
      </c>
      <c r="F65" s="1">
        <f t="shared" si="11"/>
        <v>25.796367640524409</v>
      </c>
      <c r="G65" s="1">
        <f t="shared" si="12"/>
        <v>665.45258344509489</v>
      </c>
    </row>
    <row r="66" spans="1:15" ht="15.75" thickBot="1">
      <c r="A66" s="242">
        <v>17</v>
      </c>
      <c r="B66" s="240">
        <v>10.7</v>
      </c>
      <c r="C66" s="223">
        <v>117.5</v>
      </c>
      <c r="D66" s="231">
        <f t="shared" si="9"/>
        <v>8.5106382978723406E-3</v>
      </c>
      <c r="E66" s="224">
        <f t="shared" si="10"/>
        <v>43.326030539349055</v>
      </c>
      <c r="F66" s="224">
        <f t="shared" si="11"/>
        <v>-32.62603053934906</v>
      </c>
      <c r="G66" s="224">
        <f t="shared" si="12"/>
        <v>1064.4578687545375</v>
      </c>
    </row>
    <row r="67" spans="1:15" ht="15.75" thickBot="1">
      <c r="A67" s="241" t="s">
        <v>288</v>
      </c>
      <c r="B67" s="232"/>
      <c r="C67" s="232"/>
      <c r="D67" s="232"/>
      <c r="E67" s="232"/>
      <c r="F67" s="232"/>
      <c r="G67" s="233">
        <f ca="1">SUM(G50:G67)</f>
        <v>2891.6269116632193</v>
      </c>
      <c r="H67" s="188"/>
      <c r="I67" s="188"/>
      <c r="J67" s="188"/>
      <c r="K67" s="230"/>
    </row>
    <row r="68" spans="1:15" ht="17.25">
      <c r="A68" s="271" t="s">
        <v>289</v>
      </c>
      <c r="B68" s="271"/>
      <c r="C68" s="271"/>
      <c r="D68" s="272" t="s">
        <v>257</v>
      </c>
      <c r="E68" s="272"/>
      <c r="F68" s="272"/>
      <c r="G68" s="272" t="s">
        <v>262</v>
      </c>
      <c r="H68" s="272"/>
      <c r="I68" s="273"/>
      <c r="J68" s="31"/>
      <c r="O68" s="191"/>
    </row>
    <row r="69" spans="1:15">
      <c r="D69" s="264" t="s">
        <v>260</v>
      </c>
      <c r="E69" s="264"/>
      <c r="F69" s="264"/>
      <c r="G69" s="264" t="s">
        <v>263</v>
      </c>
      <c r="H69" s="264"/>
      <c r="I69" s="276"/>
      <c r="J69" s="31"/>
    </row>
    <row r="70" spans="1:15">
      <c r="E70" t="s">
        <v>261</v>
      </c>
    </row>
    <row r="71" spans="1:15" ht="15.75" thickBot="1">
      <c r="A71" s="277" t="s">
        <v>136</v>
      </c>
      <c r="B71" s="186" t="s">
        <v>139</v>
      </c>
      <c r="C71" s="187" t="s">
        <v>140</v>
      </c>
      <c r="E71" s="185"/>
      <c r="F71" s="185"/>
      <c r="G71" s="192"/>
    </row>
    <row r="72" spans="1:15">
      <c r="A72" s="278"/>
      <c r="B72" s="213" t="s">
        <v>258</v>
      </c>
      <c r="C72" s="214" t="s">
        <v>204</v>
      </c>
      <c r="D72" s="215" t="s">
        <v>259</v>
      </c>
      <c r="E72" s="215" t="s">
        <v>240</v>
      </c>
      <c r="F72" s="216" t="s">
        <v>26</v>
      </c>
    </row>
    <row r="73" spans="1:15">
      <c r="A73" s="204">
        <v>1</v>
      </c>
      <c r="B73" s="212">
        <f t="shared" ref="B73:B89" si="13">LN(B50)</f>
        <v>2.3702437414678603</v>
      </c>
      <c r="C73" s="105">
        <v>3.7</v>
      </c>
      <c r="D73" s="1">
        <f t="shared" ref="D73:D89" si="14">$H$76+$G$76*C73</f>
        <v>3.4902865644107286</v>
      </c>
      <c r="E73" s="1">
        <f t="shared" ref="E73:E89" si="15">B73-D73</f>
        <v>-1.1200428229428683</v>
      </c>
      <c r="F73" s="113">
        <f>E73*E73</f>
        <v>1.2544959252258294</v>
      </c>
    </row>
    <row r="74" spans="1:15" ht="15.75" thickBot="1">
      <c r="A74" s="204">
        <v>2</v>
      </c>
      <c r="B74" s="212">
        <f t="shared" si="13"/>
        <v>3.1612467120315646</v>
      </c>
      <c r="C74" s="105">
        <v>5</v>
      </c>
      <c r="D74" s="1">
        <f t="shared" si="14"/>
        <v>3.4863821921019249</v>
      </c>
      <c r="E74" s="1">
        <f t="shared" si="15"/>
        <v>-0.32513548007036031</v>
      </c>
      <c r="F74" s="113">
        <f t="shared" ref="F74:F89" si="16">E74*E74</f>
        <v>0.10571308040058366</v>
      </c>
    </row>
    <row r="75" spans="1:15">
      <c r="A75" s="204">
        <v>3</v>
      </c>
      <c r="B75" s="212">
        <f t="shared" si="13"/>
        <v>3.5890591188317256</v>
      </c>
      <c r="C75" s="105">
        <v>8.9</v>
      </c>
      <c r="D75" s="1">
        <f t="shared" si="14"/>
        <v>3.4746690751755134</v>
      </c>
      <c r="E75" s="1">
        <f t="shared" si="15"/>
        <v>0.11439004365621219</v>
      </c>
      <c r="F75" s="225">
        <f t="shared" si="16"/>
        <v>1.3085082087670131E-2</v>
      </c>
      <c r="G75" s="274" t="s">
        <v>245</v>
      </c>
      <c r="H75" s="275"/>
    </row>
    <row r="76" spans="1:15">
      <c r="A76" s="204">
        <v>4</v>
      </c>
      <c r="B76" s="212">
        <f t="shared" si="13"/>
        <v>3.6813511876931448</v>
      </c>
      <c r="C76" s="105">
        <v>9.6</v>
      </c>
      <c r="D76" s="1">
        <f t="shared" si="14"/>
        <v>3.4725667208553879</v>
      </c>
      <c r="E76" s="1">
        <f t="shared" si="15"/>
        <v>0.20878446683775698</v>
      </c>
      <c r="F76" s="225">
        <f t="shared" si="16"/>
        <v>4.3590953592726446E-2</v>
      </c>
      <c r="G76" s="226">
        <f t="array" ref="G76:H80">LINEST(B73:B89,C73:C89,1,1)</f>
        <v>-3.0033633144645037E-3</v>
      </c>
      <c r="H76" s="227">
        <v>3.5013990086742472</v>
      </c>
    </row>
    <row r="77" spans="1:15">
      <c r="A77" s="204">
        <v>5</v>
      </c>
      <c r="B77" s="212">
        <f t="shared" si="13"/>
        <v>3.0910424533583161</v>
      </c>
      <c r="C77" s="105">
        <v>11</v>
      </c>
      <c r="D77" s="1">
        <f t="shared" si="14"/>
        <v>3.4683620122151377</v>
      </c>
      <c r="E77" s="1">
        <f t="shared" si="15"/>
        <v>-0.37731955885682167</v>
      </c>
      <c r="F77" s="225">
        <f t="shared" si="16"/>
        <v>0.14237004949590651</v>
      </c>
      <c r="G77" s="226">
        <v>4.9313197620306747E-3</v>
      </c>
      <c r="H77" s="227">
        <v>0.17789106573986896</v>
      </c>
    </row>
    <row r="78" spans="1:15">
      <c r="A78" s="204">
        <v>6</v>
      </c>
      <c r="B78" s="212">
        <f t="shared" si="13"/>
        <v>3.6988297849671046</v>
      </c>
      <c r="C78" s="105">
        <v>11.2</v>
      </c>
      <c r="D78" s="1">
        <f t="shared" si="14"/>
        <v>3.4677613395522449</v>
      </c>
      <c r="E78" s="1">
        <f t="shared" si="15"/>
        <v>0.23106844541485971</v>
      </c>
      <c r="F78" s="225">
        <f t="shared" si="16"/>
        <v>5.3392626466440003E-2</v>
      </c>
      <c r="G78" s="226">
        <v>2.4131778536565202E-2</v>
      </c>
      <c r="H78" s="227">
        <v>0.53298247639264384</v>
      </c>
    </row>
    <row r="79" spans="1:15">
      <c r="A79" s="204">
        <v>7</v>
      </c>
      <c r="B79" s="212">
        <f t="shared" si="13"/>
        <v>3.1179499062782403</v>
      </c>
      <c r="C79" s="196">
        <v>11.6</v>
      </c>
      <c r="D79" s="1">
        <f t="shared" si="14"/>
        <v>3.4665599942264591</v>
      </c>
      <c r="E79" s="1">
        <f t="shared" si="15"/>
        <v>-0.34861008794821879</v>
      </c>
      <c r="F79" s="225">
        <f t="shared" si="16"/>
        <v>0.12152899341926485</v>
      </c>
      <c r="G79" s="226">
        <v>0.3709278262034697</v>
      </c>
      <c r="H79" s="227">
        <v>15</v>
      </c>
    </row>
    <row r="80" spans="1:15" ht="15.75" thickBot="1">
      <c r="A80" s="204">
        <v>8</v>
      </c>
      <c r="B80" s="212">
        <f t="shared" si="13"/>
        <v>3.1738784589374651</v>
      </c>
      <c r="C80" s="196">
        <v>12.3</v>
      </c>
      <c r="D80" s="1">
        <f t="shared" si="14"/>
        <v>3.464457639906334</v>
      </c>
      <c r="E80" s="1">
        <f t="shared" si="15"/>
        <v>-0.29057918096886892</v>
      </c>
      <c r="F80" s="225">
        <f t="shared" si="16"/>
        <v>8.4436260412538669E-2</v>
      </c>
      <c r="G80" s="228">
        <v>0.10536958633906046</v>
      </c>
      <c r="H80" s="229">
        <v>4.2610548021245283</v>
      </c>
      <c r="K80" s="31"/>
      <c r="L80" s="31"/>
      <c r="M80" s="31"/>
    </row>
    <row r="81" spans="1:15">
      <c r="A81" s="204">
        <v>9</v>
      </c>
      <c r="B81" s="212">
        <f t="shared" si="13"/>
        <v>3.3775875160230218</v>
      </c>
      <c r="C81" s="196">
        <v>12.7</v>
      </c>
      <c r="D81" s="1">
        <f t="shared" si="14"/>
        <v>3.4632562945805478</v>
      </c>
      <c r="E81" s="1">
        <f t="shared" si="15"/>
        <v>-8.5668778557526082E-2</v>
      </c>
      <c r="F81" s="113">
        <f t="shared" si="16"/>
        <v>7.3391396195384402E-3</v>
      </c>
      <c r="K81" s="31"/>
      <c r="L81" s="31"/>
      <c r="M81" s="31"/>
    </row>
    <row r="82" spans="1:15">
      <c r="A82" s="204">
        <v>10</v>
      </c>
      <c r="B82" s="212">
        <f t="shared" si="13"/>
        <v>3.2228678461377385</v>
      </c>
      <c r="C82" s="196">
        <v>17.600000000000001</v>
      </c>
      <c r="D82" s="1">
        <f t="shared" si="14"/>
        <v>3.4485398143396719</v>
      </c>
      <c r="E82" s="1">
        <f t="shared" si="15"/>
        <v>-0.22567196820193347</v>
      </c>
      <c r="F82" s="113">
        <f t="shared" si="16"/>
        <v>5.0927837232134468E-2</v>
      </c>
    </row>
    <row r="83" spans="1:15">
      <c r="A83" s="204">
        <v>11</v>
      </c>
      <c r="B83" s="212">
        <f t="shared" si="13"/>
        <v>3.8177123259569048</v>
      </c>
      <c r="C83" s="196">
        <v>20.6</v>
      </c>
      <c r="D83" s="1">
        <f t="shared" si="14"/>
        <v>3.4395297243962784</v>
      </c>
      <c r="E83" s="1">
        <f t="shared" si="15"/>
        <v>0.37818260156062644</v>
      </c>
      <c r="F83" s="113">
        <f t="shared" si="16"/>
        <v>0.14302208012316353</v>
      </c>
    </row>
    <row r="84" spans="1:15">
      <c r="A84" s="204">
        <v>12</v>
      </c>
      <c r="B84" s="212">
        <f t="shared" si="13"/>
        <v>3.6109179126442243</v>
      </c>
      <c r="C84" s="105">
        <v>23.8</v>
      </c>
      <c r="D84" s="1">
        <f t="shared" si="14"/>
        <v>3.4299189617899919</v>
      </c>
      <c r="E84" s="1">
        <f t="shared" si="15"/>
        <v>0.18099895085423245</v>
      </c>
      <c r="F84" s="113">
        <f t="shared" si="16"/>
        <v>3.2760620210332853E-2</v>
      </c>
    </row>
    <row r="85" spans="1:15">
      <c r="A85" s="204">
        <v>13</v>
      </c>
      <c r="B85" s="212">
        <f t="shared" si="13"/>
        <v>4.0517849478033048</v>
      </c>
      <c r="C85" s="105">
        <v>35.200000000000003</v>
      </c>
      <c r="D85" s="1">
        <f t="shared" si="14"/>
        <v>3.3956806200050966</v>
      </c>
      <c r="E85" s="1">
        <f t="shared" si="15"/>
        <v>0.65610432779820815</v>
      </c>
      <c r="F85" s="113">
        <f t="shared" si="16"/>
        <v>0.43047288895553859</v>
      </c>
    </row>
    <row r="86" spans="1:15">
      <c r="A86" s="204">
        <v>14</v>
      </c>
      <c r="B86" s="212">
        <f t="shared" si="13"/>
        <v>3.7541989202345789</v>
      </c>
      <c r="C86" s="105">
        <v>37.6</v>
      </c>
      <c r="D86" s="1">
        <f t="shared" si="14"/>
        <v>3.3884725480503821</v>
      </c>
      <c r="E86" s="1">
        <f t="shared" si="15"/>
        <v>0.36572637218419679</v>
      </c>
      <c r="F86" s="113">
        <f t="shared" si="16"/>
        <v>0.13375577931101362</v>
      </c>
    </row>
    <row r="87" spans="1:15">
      <c r="A87" s="204">
        <v>15</v>
      </c>
      <c r="B87" s="212">
        <f t="shared" si="13"/>
        <v>3.9589065913269965</v>
      </c>
      <c r="C87" s="105">
        <v>38.799999999999997</v>
      </c>
      <c r="D87" s="1">
        <f t="shared" si="14"/>
        <v>3.3848685120730244</v>
      </c>
      <c r="E87" s="1">
        <f t="shared" si="15"/>
        <v>0.5740380792539721</v>
      </c>
      <c r="F87" s="113">
        <f t="shared" si="16"/>
        <v>0.32951971643358957</v>
      </c>
    </row>
    <row r="88" spans="1:15">
      <c r="A88" s="204">
        <v>16</v>
      </c>
      <c r="B88" s="212">
        <f t="shared" si="13"/>
        <v>4.2106450179182611</v>
      </c>
      <c r="C88" s="105">
        <v>44.2</v>
      </c>
      <c r="D88" s="1">
        <f t="shared" si="14"/>
        <v>3.3686503501749163</v>
      </c>
      <c r="E88" s="1">
        <f t="shared" si="15"/>
        <v>0.84199466774334475</v>
      </c>
      <c r="F88" s="113">
        <f t="shared" si="16"/>
        <v>0.70895502050822556</v>
      </c>
      <c r="H88" s="31"/>
      <c r="I88" s="31"/>
      <c r="J88" s="31"/>
    </row>
    <row r="89" spans="1:15" ht="15.75" thickBot="1">
      <c r="A89" s="204">
        <v>17</v>
      </c>
      <c r="B89" s="222">
        <f t="shared" si="13"/>
        <v>2.3702437414678603</v>
      </c>
      <c r="C89" s="223">
        <v>117.5</v>
      </c>
      <c r="D89" s="224">
        <f t="shared" si="14"/>
        <v>3.1485038192246679</v>
      </c>
      <c r="E89" s="224">
        <f t="shared" si="15"/>
        <v>-0.77826007775680761</v>
      </c>
      <c r="F89" s="118">
        <f t="shared" si="16"/>
        <v>0.60568874863003219</v>
      </c>
      <c r="H89" s="31"/>
      <c r="I89" s="31"/>
      <c r="J89" s="31"/>
    </row>
    <row r="90" spans="1:15">
      <c r="A90" s="203" t="s">
        <v>288</v>
      </c>
      <c r="B90" s="1"/>
      <c r="C90" s="1"/>
      <c r="D90" s="1"/>
      <c r="E90" s="1"/>
      <c r="F90" s="205">
        <f>SUM(F73:F89)</f>
        <v>4.2610548021245291</v>
      </c>
      <c r="H90" s="188"/>
      <c r="I90" s="188"/>
      <c r="J90" s="188"/>
    </row>
    <row r="91" spans="1:15">
      <c r="D91" s="272" t="s">
        <v>257</v>
      </c>
      <c r="E91" s="272"/>
      <c r="F91" s="272"/>
      <c r="H91" s="31"/>
      <c r="I91" s="31"/>
      <c r="J91" s="31"/>
      <c r="O91" s="193"/>
    </row>
    <row r="92" spans="1:15">
      <c r="A92" s="266" t="s">
        <v>264</v>
      </c>
      <c r="B92" s="272"/>
      <c r="C92" s="272"/>
      <c r="D92" s="264" t="s">
        <v>266</v>
      </c>
      <c r="E92" s="264"/>
      <c r="F92" s="264"/>
      <c r="H92" s="31"/>
      <c r="I92" s="31"/>
      <c r="J92" s="31"/>
    </row>
    <row r="93" spans="1:15" ht="17.25">
      <c r="A93" s="264" t="s">
        <v>265</v>
      </c>
      <c r="B93" s="264"/>
      <c r="C93" s="264"/>
      <c r="D93" s="264" t="s">
        <v>267</v>
      </c>
      <c r="E93" s="264"/>
      <c r="F93" s="264"/>
      <c r="H93" s="31"/>
      <c r="I93" s="31"/>
      <c r="J93" s="31"/>
    </row>
    <row r="94" spans="1:15">
      <c r="D94" s="264" t="s">
        <v>268</v>
      </c>
      <c r="E94" s="264"/>
      <c r="F94" s="264"/>
    </row>
    <row r="95" spans="1:15">
      <c r="A95" s="205"/>
      <c r="B95" s="220" t="s">
        <v>139</v>
      </c>
      <c r="C95" s="221" t="s">
        <v>140</v>
      </c>
    </row>
    <row r="96" spans="1:15">
      <c r="A96" s="203"/>
      <c r="B96" s="203" t="s">
        <v>258</v>
      </c>
      <c r="C96" s="203" t="s">
        <v>130</v>
      </c>
      <c r="D96" s="203" t="s">
        <v>259</v>
      </c>
      <c r="E96" s="203" t="s">
        <v>240</v>
      </c>
      <c r="F96" s="203" t="s">
        <v>26</v>
      </c>
    </row>
    <row r="97" spans="1:14">
      <c r="A97" s="203">
        <v>1</v>
      </c>
      <c r="B97" s="1">
        <f t="shared" ref="B97:C113" si="17">LN(B50)</f>
        <v>2.3702437414678603</v>
      </c>
      <c r="C97" s="1">
        <f t="shared" si="17"/>
        <v>1.3083328196501789</v>
      </c>
      <c r="D97" s="1">
        <f t="shared" ref="D97:D113" si="18">$I$102+$H$102*C97</f>
        <v>3.1809704449729939</v>
      </c>
      <c r="E97" s="1">
        <f t="shared" ref="E97:E113" si="19">B97-D97</f>
        <v>-0.81072670350513354</v>
      </c>
      <c r="F97" s="1">
        <f>E97*E97</f>
        <v>0.65727778777630075</v>
      </c>
    </row>
    <row r="98" spans="1:14">
      <c r="A98" s="203">
        <v>2</v>
      </c>
      <c r="B98" s="1">
        <f t="shared" si="17"/>
        <v>3.1612467120315646</v>
      </c>
      <c r="C98" s="1">
        <f t="shared" si="17"/>
        <v>1.6094379124341003</v>
      </c>
      <c r="D98" s="1">
        <f t="shared" si="18"/>
        <v>3.2295803158340677</v>
      </c>
      <c r="E98" s="1">
        <f t="shared" si="19"/>
        <v>-6.8333603802503085E-2</v>
      </c>
      <c r="F98" s="1">
        <f t="shared" ref="F98:F113" si="20">E98*E98</f>
        <v>4.6694814086374638E-3</v>
      </c>
    </row>
    <row r="99" spans="1:14">
      <c r="A99" s="203">
        <v>3</v>
      </c>
      <c r="B99" s="1">
        <f t="shared" si="17"/>
        <v>3.5890591188317256</v>
      </c>
      <c r="C99" s="1">
        <f t="shared" si="17"/>
        <v>2.1860512767380942</v>
      </c>
      <c r="D99" s="1">
        <f t="shared" si="18"/>
        <v>3.3226677522385413</v>
      </c>
      <c r="E99" s="1">
        <f t="shared" si="19"/>
        <v>0.2663913665931843</v>
      </c>
      <c r="F99" s="1">
        <f t="shared" si="20"/>
        <v>7.096436019538431E-2</v>
      </c>
    </row>
    <row r="100" spans="1:14">
      <c r="A100" s="203">
        <v>4</v>
      </c>
      <c r="B100" s="1">
        <f t="shared" si="17"/>
        <v>3.6813511876931448</v>
      </c>
      <c r="C100" s="1">
        <f t="shared" si="17"/>
        <v>2.2617630984737906</v>
      </c>
      <c r="D100" s="1">
        <f t="shared" si="18"/>
        <v>3.3348905341357238</v>
      </c>
      <c r="E100" s="1">
        <f t="shared" si="19"/>
        <v>0.34646065355742106</v>
      </c>
      <c r="F100" s="1">
        <f t="shared" si="20"/>
        <v>0.12003498446343534</v>
      </c>
    </row>
    <row r="101" spans="1:14" ht="15.75" thickBot="1">
      <c r="A101" s="203">
        <v>5</v>
      </c>
      <c r="B101" s="1">
        <f t="shared" si="17"/>
        <v>3.0910424533583161</v>
      </c>
      <c r="C101" s="1">
        <f t="shared" si="17"/>
        <v>2.3978952727983707</v>
      </c>
      <c r="D101" s="1">
        <f t="shared" si="18"/>
        <v>3.3568674703368786</v>
      </c>
      <c r="E101" s="1">
        <f t="shared" si="19"/>
        <v>-0.26582501697856253</v>
      </c>
      <c r="F101" s="1">
        <f t="shared" si="20"/>
        <v>7.0662939651653059E-2</v>
      </c>
      <c r="I101" s="205" t="s">
        <v>245</v>
      </c>
    </row>
    <row r="102" spans="1:14">
      <c r="A102" s="203">
        <v>6</v>
      </c>
      <c r="B102" s="1">
        <f t="shared" si="17"/>
        <v>3.6988297849671046</v>
      </c>
      <c r="C102" s="1">
        <f t="shared" si="17"/>
        <v>2.4159137783010487</v>
      </c>
      <c r="D102" s="1">
        <f t="shared" si="18"/>
        <v>3.359776345831134</v>
      </c>
      <c r="E102" s="1">
        <f t="shared" si="19"/>
        <v>0.33905343913597052</v>
      </c>
      <c r="F102" s="1">
        <f t="shared" si="20"/>
        <v>0.11495723458992926</v>
      </c>
      <c r="H102" s="108">
        <f t="array" ref="H102:I106">LINEST(B97:B113,C97:C113,1,1)</f>
        <v>0.16143822215573442</v>
      </c>
      <c r="I102" s="110">
        <v>2.9697555205806698</v>
      </c>
    </row>
    <row r="103" spans="1:14">
      <c r="A103" s="203">
        <v>7</v>
      </c>
      <c r="B103" s="1">
        <f t="shared" si="17"/>
        <v>3.1179499062782403</v>
      </c>
      <c r="C103" s="1">
        <f t="shared" si="17"/>
        <v>2.451005098112319</v>
      </c>
      <c r="D103" s="1">
        <f t="shared" si="18"/>
        <v>3.3654414261145642</v>
      </c>
      <c r="E103" s="1">
        <f t="shared" si="19"/>
        <v>-0.24749151983632389</v>
      </c>
      <c r="F103" s="1">
        <f t="shared" si="20"/>
        <v>6.1252052390893499E-2</v>
      </c>
      <c r="H103" s="112">
        <v>0.15067615801366041</v>
      </c>
      <c r="I103" s="113">
        <v>0.44498033069102222</v>
      </c>
    </row>
    <row r="104" spans="1:14">
      <c r="A104" s="203">
        <v>8</v>
      </c>
      <c r="B104" s="1">
        <f t="shared" si="17"/>
        <v>3.1738784589374651</v>
      </c>
      <c r="C104" s="1">
        <f t="shared" si="17"/>
        <v>2.5095992623783721</v>
      </c>
      <c r="D104" s="1">
        <f t="shared" si="18"/>
        <v>3.3749007638223767</v>
      </c>
      <c r="E104" s="1">
        <f t="shared" si="19"/>
        <v>-0.20102230488491157</v>
      </c>
      <c r="F104" s="1">
        <f t="shared" si="20"/>
        <v>4.0409967061242343E-2</v>
      </c>
      <c r="H104" s="112">
        <v>7.1089623150826148E-2</v>
      </c>
      <c r="I104" s="113">
        <v>0.52000108488163344</v>
      </c>
    </row>
    <row r="105" spans="1:14">
      <c r="A105" s="203">
        <v>9</v>
      </c>
      <c r="B105" s="1">
        <f t="shared" si="17"/>
        <v>3.3775875160230218</v>
      </c>
      <c r="C105" s="1">
        <f t="shared" si="17"/>
        <v>2.5416019934645457</v>
      </c>
      <c r="D105" s="1">
        <f t="shared" si="18"/>
        <v>3.3800672278330568</v>
      </c>
      <c r="E105" s="1">
        <f t="shared" si="19"/>
        <v>-2.4797118100350346E-3</v>
      </c>
      <c r="F105" s="1">
        <f t="shared" si="20"/>
        <v>6.1489706608272274E-6</v>
      </c>
      <c r="H105" s="112">
        <v>1.1479518087411067</v>
      </c>
      <c r="I105" s="113">
        <v>15</v>
      </c>
    </row>
    <row r="106" spans="1:14" ht="15.75" thickBot="1">
      <c r="A106" s="203">
        <v>10</v>
      </c>
      <c r="B106" s="1">
        <f t="shared" si="17"/>
        <v>3.2228678461377385</v>
      </c>
      <c r="C106" s="1">
        <f t="shared" si="17"/>
        <v>2.8678989020441064</v>
      </c>
      <c r="D106" s="1">
        <f t="shared" si="18"/>
        <v>3.4327440206490532</v>
      </c>
      <c r="E106" s="1">
        <f t="shared" si="19"/>
        <v>-0.20987617451131468</v>
      </c>
      <c r="F106" s="1">
        <f t="shared" si="20"/>
        <v>4.4048008627503812E-2</v>
      </c>
      <c r="H106" s="117">
        <v>0.31040746429245303</v>
      </c>
      <c r="I106" s="118">
        <v>4.0560169241711357</v>
      </c>
    </row>
    <row r="107" spans="1:14">
      <c r="A107" s="203">
        <v>11</v>
      </c>
      <c r="B107" s="1">
        <f t="shared" si="17"/>
        <v>3.8177123259569048</v>
      </c>
      <c r="C107" s="1">
        <f t="shared" si="17"/>
        <v>3.0252910757955354</v>
      </c>
      <c r="D107" s="1">
        <f t="shared" si="18"/>
        <v>3.4581531333607103</v>
      </c>
      <c r="E107" s="1">
        <f t="shared" si="19"/>
        <v>0.35955919259619451</v>
      </c>
      <c r="F107" s="1">
        <f t="shared" si="20"/>
        <v>0.12928281298042729</v>
      </c>
    </row>
    <row r="108" spans="1:14">
      <c r="A108" s="203">
        <v>12</v>
      </c>
      <c r="B108" s="1">
        <f t="shared" si="17"/>
        <v>3.6109179126442243</v>
      </c>
      <c r="C108" s="1">
        <f t="shared" si="17"/>
        <v>3.1696855806774291</v>
      </c>
      <c r="D108" s="1">
        <f t="shared" si="18"/>
        <v>3.4814639255179007</v>
      </c>
      <c r="E108" s="1">
        <f t="shared" si="19"/>
        <v>0.12945398712632361</v>
      </c>
      <c r="F108" s="1">
        <f t="shared" si="20"/>
        <v>1.6758334782902361E-2</v>
      </c>
    </row>
    <row r="109" spans="1:14">
      <c r="A109" s="203">
        <v>13</v>
      </c>
      <c r="B109" s="1">
        <f t="shared" si="17"/>
        <v>4.0517849478033048</v>
      </c>
      <c r="C109" s="1">
        <f t="shared" si="17"/>
        <v>3.5610460826040513</v>
      </c>
      <c r="D109" s="1">
        <f t="shared" si="18"/>
        <v>3.5446444691709105</v>
      </c>
      <c r="E109" s="1">
        <f t="shared" si="19"/>
        <v>0.50714047863239431</v>
      </c>
      <c r="F109" s="1">
        <f t="shared" si="20"/>
        <v>0.25719146506749396</v>
      </c>
    </row>
    <row r="110" spans="1:14">
      <c r="A110" s="203">
        <v>14</v>
      </c>
      <c r="B110" s="1">
        <f t="shared" si="17"/>
        <v>3.7541989202345789</v>
      </c>
      <c r="C110" s="1">
        <f t="shared" si="17"/>
        <v>3.6270040503958487</v>
      </c>
      <c r="D110" s="1">
        <f t="shared" si="18"/>
        <v>3.5552926062282233</v>
      </c>
      <c r="E110" s="1">
        <f t="shared" si="19"/>
        <v>0.19890631400635561</v>
      </c>
      <c r="F110" s="1">
        <f t="shared" si="20"/>
        <v>3.9563721751594935E-2</v>
      </c>
    </row>
    <row r="111" spans="1:14">
      <c r="A111" s="203">
        <v>15</v>
      </c>
      <c r="B111" s="1">
        <f t="shared" si="17"/>
        <v>3.9589065913269965</v>
      </c>
      <c r="C111" s="1">
        <f t="shared" si="17"/>
        <v>3.6584202466292277</v>
      </c>
      <c r="D111" s="1">
        <f t="shared" si="18"/>
        <v>3.5603643810950358</v>
      </c>
      <c r="E111" s="1">
        <f t="shared" si="19"/>
        <v>0.39854221023196068</v>
      </c>
      <c r="F111" s="1">
        <f t="shared" si="20"/>
        <v>0.15883589333657636</v>
      </c>
    </row>
    <row r="112" spans="1:14">
      <c r="A112" s="203">
        <v>16</v>
      </c>
      <c r="B112" s="1">
        <f t="shared" si="17"/>
        <v>4.2106450179182611</v>
      </c>
      <c r="C112" s="1">
        <f t="shared" si="17"/>
        <v>3.7887247890836524</v>
      </c>
      <c r="D112" s="1">
        <f t="shared" si="18"/>
        <v>3.5814005147676946</v>
      </c>
      <c r="E112" s="1">
        <f t="shared" si="19"/>
        <v>0.62924450315056646</v>
      </c>
      <c r="F112" s="1">
        <f t="shared" si="20"/>
        <v>0.39594864474520325</v>
      </c>
      <c r="N112" s="193"/>
    </row>
    <row r="113" spans="1:10">
      <c r="A113" s="203">
        <v>17</v>
      </c>
      <c r="B113" s="1">
        <f t="shared" si="17"/>
        <v>2.3702437414678603</v>
      </c>
      <c r="C113" s="1">
        <f t="shared" si="17"/>
        <v>4.7664383335842135</v>
      </c>
      <c r="D113" s="1">
        <f t="shared" si="18"/>
        <v>3.7392408511694466</v>
      </c>
      <c r="E113" s="1">
        <f t="shared" si="19"/>
        <v>-1.3689971097015863</v>
      </c>
      <c r="F113" s="1">
        <f t="shared" si="20"/>
        <v>1.874153086371297</v>
      </c>
    </row>
    <row r="114" spans="1:10">
      <c r="A114" s="203"/>
      <c r="B114" s="1"/>
      <c r="C114" s="1"/>
      <c r="D114" s="1"/>
      <c r="E114" s="1"/>
      <c r="F114" s="203">
        <f t="array" ref="F114">SUM(F97:F113)</f>
        <v>4.0560169241711357</v>
      </c>
      <c r="H114" s="248"/>
      <c r="I114" s="249" t="s">
        <v>269</v>
      </c>
      <c r="J114" s="249"/>
    </row>
    <row r="116" spans="1:10">
      <c r="F116" s="219" t="s">
        <v>270</v>
      </c>
      <c r="G116" s="219"/>
    </row>
    <row r="117" spans="1:10" ht="15.75" thickBot="1"/>
    <row r="118" spans="1:10" ht="17.25">
      <c r="E118" s="250" t="s">
        <v>271</v>
      </c>
      <c r="F118" s="110">
        <f>1-((J12/(17-2-1))/I12/(17-1))</f>
        <v>0.99833915540198326</v>
      </c>
    </row>
    <row r="119" spans="1:10" ht="17.25">
      <c r="E119" s="251" t="s">
        <v>273</v>
      </c>
      <c r="F119" s="113">
        <f>1-((J34/(17-3-1))/(I34/16))</f>
        <v>0.5683880382656441</v>
      </c>
    </row>
    <row r="120" spans="1:10" ht="17.25">
      <c r="E120" s="251" t="s">
        <v>274</v>
      </c>
      <c r="F120" s="113">
        <f>1-((I59/(17-2-1))/(H59/16))</f>
        <v>-2.0692134642725271</v>
      </c>
    </row>
    <row r="121" spans="1:10" ht="17.25">
      <c r="E121" s="251" t="s">
        <v>275</v>
      </c>
      <c r="F121" s="113">
        <f>1-((H80/(17-2-1))/(G80/16))</f>
        <v>-45.2161529328176</v>
      </c>
    </row>
    <row r="122" spans="1:10" ht="18" thickBot="1">
      <c r="E122" s="252" t="s">
        <v>276</v>
      </c>
      <c r="F122" s="118">
        <f>1-((I106/(17-1-1))/(H106/16))</f>
        <v>-12.937867320010836</v>
      </c>
    </row>
    <row r="123" spans="1:10">
      <c r="D123" s="253" t="s">
        <v>42</v>
      </c>
      <c r="E123" s="185" t="s">
        <v>272</v>
      </c>
      <c r="F123" s="185"/>
      <c r="G123" s="185"/>
      <c r="H123" s="185"/>
    </row>
    <row r="124" spans="1:10">
      <c r="C124" s="219"/>
    </row>
    <row r="126" spans="1:10">
      <c r="E126" s="217" t="s">
        <v>277</v>
      </c>
      <c r="F126" s="218"/>
      <c r="G126" s="218"/>
    </row>
    <row r="128" spans="1:10">
      <c r="E128" s="245" t="s">
        <v>278</v>
      </c>
      <c r="F128" s="1">
        <f ca="1">LOG(G22/17)+3/17*LOG(17)</f>
        <v>0</v>
      </c>
    </row>
    <row r="129" spans="5:11">
      <c r="E129" s="245" t="s">
        <v>279</v>
      </c>
      <c r="F129" s="1">
        <f>LOG(H45/17)+4/17*LOG(17)</f>
        <v>2.0720421332386119</v>
      </c>
    </row>
    <row r="130" spans="5:11">
      <c r="E130" s="245" t="s">
        <v>280</v>
      </c>
      <c r="F130" s="1">
        <f>LOG(G66/17)+2/17*LOG(17)</f>
        <v>1.9414382519921496</v>
      </c>
    </row>
    <row r="131" spans="5:11">
      <c r="E131" s="245" t="s">
        <v>281</v>
      </c>
      <c r="F131" s="1">
        <f>LOG(F90/17)+2/17*LOG(17)</f>
        <v>-0.45617310497661756</v>
      </c>
    </row>
    <row r="132" spans="5:11">
      <c r="E132" s="245" t="s">
        <v>282</v>
      </c>
      <c r="F132" s="1">
        <f>LOG(F114/17)+2/17*LOG(17)</f>
        <v>-0.47759046627558155</v>
      </c>
    </row>
    <row r="134" spans="5:11">
      <c r="E134" s="194" t="s">
        <v>290</v>
      </c>
    </row>
    <row r="135" spans="5:11" ht="15.75" thickBot="1"/>
    <row r="136" spans="5:11">
      <c r="E136" s="250" t="s">
        <v>291</v>
      </c>
      <c r="F136" s="110">
        <f ca="1">LN(G22/17)+3/17*LN17</f>
        <v>0</v>
      </c>
    </row>
    <row r="137" spans="5:11">
      <c r="E137" s="251" t="s">
        <v>292</v>
      </c>
      <c r="F137" s="113">
        <f>LN(H45/17)+4/17*LN17</f>
        <v>4.1044148941552292</v>
      </c>
    </row>
    <row r="138" spans="5:11">
      <c r="E138" s="251" t="s">
        <v>293</v>
      </c>
      <c r="F138" s="113">
        <f ca="1">LN(G67/17)+2/17*LN17</f>
        <v>0</v>
      </c>
    </row>
    <row r="139" spans="5:11">
      <c r="E139" s="251" t="s">
        <v>294</v>
      </c>
      <c r="F139" s="113">
        <f>LN(F90/17)+2/17*LN17</f>
        <v>-1.3836966082917577</v>
      </c>
      <c r="I139" s="121"/>
    </row>
    <row r="140" spans="5:11" ht="15.75" thickBot="1">
      <c r="E140" s="252" t="s">
        <v>295</v>
      </c>
      <c r="F140" s="118">
        <f>LN(F114/17)+2/17*LN17</f>
        <v>-1.4330119051500199</v>
      </c>
      <c r="I140" s="121"/>
      <c r="J140" s="121"/>
      <c r="K140" s="121"/>
    </row>
    <row r="142" spans="5:11">
      <c r="E142" s="194" t="s">
        <v>283</v>
      </c>
    </row>
    <row r="143" spans="5:11" ht="15.75" thickBot="1">
      <c r="F143" t="s">
        <v>285</v>
      </c>
    </row>
    <row r="144" spans="5:11">
      <c r="E144" s="250" t="s">
        <v>284</v>
      </c>
      <c r="F144" s="110">
        <f>FINV(0.05,1,14)</f>
        <v>4.6001099082050185</v>
      </c>
    </row>
    <row r="145" spans="5:8">
      <c r="E145" s="251" t="s">
        <v>43</v>
      </c>
      <c r="F145" s="113">
        <f>(I10-H57)/1/(1-14)</f>
        <v>-3.5193723914863931E-2</v>
      </c>
    </row>
    <row r="146" spans="5:8">
      <c r="E146" s="251"/>
      <c r="F146" s="121" t="s">
        <v>287</v>
      </c>
    </row>
    <row r="147" spans="5:8">
      <c r="E147" s="251" t="s">
        <v>284</v>
      </c>
      <c r="F147" s="113">
        <f>FINV(0.05,2,13)</f>
        <v>3.8055652530294042</v>
      </c>
    </row>
    <row r="148" spans="5:8" ht="15.75" thickBot="1">
      <c r="E148" s="252" t="s">
        <v>43</v>
      </c>
      <c r="F148" s="118">
        <f>(I32-H57)/1/(1-13)</f>
        <v>-3.9086347650483952E-2</v>
      </c>
    </row>
    <row r="149" spans="5:8">
      <c r="E149" s="254" t="s">
        <v>42</v>
      </c>
      <c r="G149" s="121" t="s">
        <v>286</v>
      </c>
      <c r="H149" s="121"/>
    </row>
  </sheetData>
  <mergeCells count="26">
    <mergeCell ref="D94:F94"/>
    <mergeCell ref="D69:F69"/>
    <mergeCell ref="G75:H75"/>
    <mergeCell ref="G69:I69"/>
    <mergeCell ref="A92:C92"/>
    <mergeCell ref="A93:C93"/>
    <mergeCell ref="A71:A72"/>
    <mergeCell ref="D91:F91"/>
    <mergeCell ref="D92:F92"/>
    <mergeCell ref="D93:F93"/>
    <mergeCell ref="A48:A49"/>
    <mergeCell ref="G47:I47"/>
    <mergeCell ref="H49:J49"/>
    <mergeCell ref="A68:C68"/>
    <mergeCell ref="D68:F68"/>
    <mergeCell ref="G68:I68"/>
    <mergeCell ref="A26:A27"/>
    <mergeCell ref="H26:J26"/>
    <mergeCell ref="E24:G24"/>
    <mergeCell ref="H25:J25"/>
    <mergeCell ref="A46:C46"/>
    <mergeCell ref="A3:A4"/>
    <mergeCell ref="D3:F3"/>
    <mergeCell ref="H3:J3"/>
    <mergeCell ref="H5:J5"/>
    <mergeCell ref="A24:C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Умова</vt:lpstr>
      <vt:lpstr>Лаб1</vt:lpstr>
      <vt:lpstr>Лаб2</vt:lpstr>
      <vt:lpstr>Лаб3</vt:lpstr>
      <vt:lpstr>Лаб4</vt:lpstr>
      <vt:lpstr>Лаб5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2020-08-26T12:41:11Z</dcterms:modified>
</cp:coreProperties>
</file>