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C:\Users\AnnaOnishenko\Desktop\Portfolio\"/>
    </mc:Choice>
  </mc:AlternateContent>
  <bookViews>
    <workbookView xWindow="0" yWindow="0" windowWidth="23040" windowHeight="9192" tabRatio="671"/>
  </bookViews>
  <sheets>
    <sheet name="Parameters" sheetId="53" r:id="rId1"/>
    <sheet name="Simul" sheetId="70" r:id="rId2"/>
    <sheet name="Forecast" sheetId="52" r:id="rId3"/>
    <sheet name="G&amp;A Expenses" sheetId="4" r:id="rId4"/>
    <sheet name="BP Global" sheetId="51" r:id="rId5"/>
    <sheet name="BP Liftoil" sheetId="65" r:id="rId6"/>
    <sheet name="BP Optimoil" sheetId="69" r:id="rId7"/>
    <sheet name="Calculations" sheetId="55" r:id="rId8"/>
    <sheet name="Cash Flow" sheetId="57" r:id="rId9"/>
    <sheet name="Financing" sheetId="21" r:id="rId10"/>
  </sheets>
  <definedNames>
    <definedName name="_xlnm.Print_Area" localSheetId="4">'BP Global'!$A$1:$P$48</definedName>
    <definedName name="_xlnm.Print_Area" localSheetId="5">'BP Liftoil'!$A$1:$O$39</definedName>
    <definedName name="_xlnm.Print_Area" localSheetId="6">'BP Optimoil'!$A$1:$O$30</definedName>
    <definedName name="_xlnm.Print_Area" localSheetId="7">Calculations!$A$1:$H$280</definedName>
    <definedName name="_xlnm.Print_Area" localSheetId="8">'Cash Flow'!#REF!</definedName>
    <definedName name="_xlnm.Print_Area" localSheetId="9">Financing!$A$3:$I$30</definedName>
    <definedName name="_xlnm.Print_Area" localSheetId="2">Forecast!$A$1:$U$52</definedName>
    <definedName name="_xlnm.Print_Area" localSheetId="3">'G&amp;A Expenses'!$A$1:$N$202</definedName>
    <definedName name="_xlnm.Print_Area" localSheetId="0">Parameters!$A$1:$P$78</definedName>
  </definedNames>
  <calcPr calcId="162913" concurrentCalc="0"/>
</workbook>
</file>

<file path=xl/calcChain.xml><?xml version="1.0" encoding="utf-8"?>
<calcChain xmlns="http://schemas.openxmlformats.org/spreadsheetml/2006/main">
  <c r="B6" i="53" l="1"/>
  <c r="C6" i="53"/>
  <c r="D6" i="53"/>
  <c r="E6" i="53"/>
  <c r="F6" i="53"/>
  <c r="G6" i="53"/>
  <c r="H6" i="53"/>
  <c r="N6" i="53"/>
  <c r="B7" i="53"/>
  <c r="C7" i="53"/>
  <c r="D7" i="53"/>
  <c r="E7" i="53"/>
  <c r="F7" i="53"/>
  <c r="G7" i="53"/>
  <c r="H7" i="53"/>
  <c r="N7" i="53"/>
  <c r="B8" i="53"/>
  <c r="C8" i="53"/>
  <c r="D8" i="53"/>
  <c r="E8" i="53"/>
  <c r="F8" i="53"/>
  <c r="G8" i="53"/>
  <c r="H8" i="53"/>
  <c r="N8" i="53"/>
  <c r="B9" i="53"/>
  <c r="C9" i="53"/>
  <c r="D9" i="53"/>
  <c r="E9" i="53"/>
  <c r="F9" i="53"/>
  <c r="G9" i="53"/>
  <c r="H9" i="53"/>
  <c r="N9" i="53"/>
  <c r="B10" i="53"/>
  <c r="C10" i="53"/>
  <c r="D10" i="53"/>
  <c r="E10" i="53"/>
  <c r="F10" i="53"/>
  <c r="G10" i="53"/>
  <c r="H10" i="53"/>
  <c r="N10" i="53"/>
  <c r="B14" i="53"/>
  <c r="C14" i="53"/>
  <c r="D14" i="53"/>
  <c r="E14" i="53"/>
  <c r="F14" i="53"/>
  <c r="G14" i="53"/>
  <c r="H14" i="53"/>
  <c r="I14" i="53"/>
  <c r="J14" i="53"/>
  <c r="L14" i="53"/>
  <c r="M14" i="53"/>
  <c r="N14" i="53"/>
  <c r="O14" i="53"/>
  <c r="B15" i="53"/>
  <c r="C15" i="53"/>
  <c r="D15" i="53"/>
  <c r="E15" i="53"/>
  <c r="F15" i="53"/>
  <c r="G15" i="53"/>
  <c r="H15" i="53"/>
  <c r="I15" i="53"/>
  <c r="J15" i="53"/>
  <c r="L15" i="53"/>
  <c r="M15" i="53"/>
  <c r="N15" i="53"/>
  <c r="O15" i="53"/>
  <c r="B16" i="53"/>
  <c r="C16" i="53"/>
  <c r="D16" i="53"/>
  <c r="E16" i="53"/>
  <c r="F16" i="53"/>
  <c r="G16" i="53"/>
  <c r="H16" i="53"/>
  <c r="I16" i="53"/>
  <c r="J16" i="53"/>
  <c r="L16" i="53"/>
  <c r="M16" i="53"/>
  <c r="N16" i="53"/>
  <c r="O16" i="53"/>
  <c r="B17" i="53"/>
  <c r="C17" i="53"/>
  <c r="D17" i="53"/>
  <c r="E17" i="53"/>
  <c r="F17" i="53"/>
  <c r="G17" i="53"/>
  <c r="H17" i="53"/>
  <c r="I17" i="53"/>
  <c r="J17" i="53"/>
  <c r="L17" i="53"/>
  <c r="M17" i="53"/>
  <c r="N17" i="53"/>
  <c r="O17" i="53"/>
  <c r="B18" i="53"/>
  <c r="C18" i="53"/>
  <c r="D18" i="53"/>
  <c r="E18" i="53"/>
  <c r="F18" i="53"/>
  <c r="G18" i="53"/>
  <c r="H18" i="53"/>
  <c r="I18" i="53"/>
  <c r="J18" i="53"/>
  <c r="L18" i="53"/>
  <c r="M18" i="53"/>
  <c r="N18" i="53"/>
  <c r="O18" i="53"/>
  <c r="B20" i="53"/>
  <c r="C20" i="53"/>
  <c r="D20" i="53"/>
  <c r="E20" i="53"/>
  <c r="F20" i="53"/>
  <c r="J20" i="53"/>
  <c r="K20" i="53"/>
  <c r="L20" i="53"/>
  <c r="M20" i="53"/>
  <c r="N20" i="53"/>
  <c r="B21" i="53"/>
  <c r="C21" i="53"/>
  <c r="D21" i="53"/>
  <c r="E21" i="53"/>
  <c r="F21" i="53"/>
  <c r="J21" i="53"/>
  <c r="J24" i="53"/>
  <c r="B25" i="53"/>
  <c r="C25" i="53"/>
  <c r="D25" i="53"/>
  <c r="E25" i="53"/>
  <c r="F25" i="53"/>
  <c r="B26" i="53"/>
  <c r="C26" i="53"/>
  <c r="D26" i="53"/>
  <c r="E26" i="53"/>
  <c r="F26" i="53"/>
  <c r="J26" i="53"/>
  <c r="B27" i="53"/>
  <c r="C27" i="53"/>
  <c r="D27" i="53"/>
  <c r="E27" i="53"/>
  <c r="F27" i="53"/>
  <c r="C28" i="53"/>
  <c r="D28" i="53"/>
  <c r="E28" i="53"/>
  <c r="F28" i="53"/>
  <c r="B31" i="53"/>
  <c r="B32" i="53"/>
  <c r="B33" i="53"/>
  <c r="A46" i="53"/>
  <c r="A47" i="53"/>
  <c r="A48" i="53"/>
  <c r="A49" i="53"/>
  <c r="A50" i="53"/>
  <c r="A53" i="53"/>
  <c r="A54" i="53"/>
  <c r="A55" i="53"/>
  <c r="A56" i="53"/>
  <c r="A57" i="53"/>
  <c r="A61" i="53"/>
  <c r="C61" i="53"/>
  <c r="E61" i="53"/>
  <c r="G61" i="53"/>
  <c r="I61" i="53"/>
  <c r="K61" i="53"/>
  <c r="A62" i="53"/>
  <c r="C62" i="53"/>
  <c r="E62" i="53"/>
  <c r="G62" i="53"/>
  <c r="I62" i="53"/>
  <c r="K62" i="53"/>
  <c r="C63" i="53"/>
  <c r="E63" i="53"/>
  <c r="G63" i="53"/>
  <c r="I63" i="53"/>
  <c r="K63" i="53"/>
  <c r="D68" i="53"/>
  <c r="F68" i="53"/>
  <c r="C74" i="53"/>
  <c r="E74" i="53"/>
  <c r="G74" i="53"/>
  <c r="L19" i="52"/>
  <c r="D160" i="55"/>
  <c r="E160" i="55"/>
  <c r="F160" i="55"/>
  <c r="G160" i="55"/>
  <c r="H160" i="55"/>
  <c r="E13" i="51"/>
  <c r="L22" i="52"/>
  <c r="D161" i="55"/>
  <c r="E161" i="55"/>
  <c r="F161" i="55"/>
  <c r="G161" i="55"/>
  <c r="H161" i="55"/>
  <c r="L33" i="52"/>
  <c r="D162" i="55"/>
  <c r="E162" i="55"/>
  <c r="F162" i="55"/>
  <c r="G162" i="55"/>
  <c r="H162" i="55"/>
  <c r="L41" i="52"/>
  <c r="D163" i="55"/>
  <c r="E163" i="55"/>
  <c r="F163" i="55"/>
  <c r="G163" i="55"/>
  <c r="H163" i="55"/>
  <c r="L49" i="52"/>
  <c r="D164" i="55"/>
  <c r="E164" i="55"/>
  <c r="F164" i="55"/>
  <c r="G164" i="55"/>
  <c r="H164" i="55"/>
  <c r="H165" i="55"/>
  <c r="E14" i="51"/>
  <c r="E15" i="51"/>
  <c r="C4" i="70"/>
  <c r="M19" i="52"/>
  <c r="I160" i="55"/>
  <c r="J160" i="55"/>
  <c r="K160" i="55"/>
  <c r="L160" i="55"/>
  <c r="M160" i="55"/>
  <c r="G13" i="51"/>
  <c r="M22" i="52"/>
  <c r="I161" i="55"/>
  <c r="J161" i="55"/>
  <c r="K161" i="55"/>
  <c r="L161" i="55"/>
  <c r="M161" i="55"/>
  <c r="M33" i="52"/>
  <c r="I162" i="55"/>
  <c r="J162" i="55"/>
  <c r="K162" i="55"/>
  <c r="L162" i="55"/>
  <c r="M162" i="55"/>
  <c r="M41" i="52"/>
  <c r="I163" i="55"/>
  <c r="J163" i="55"/>
  <c r="K163" i="55"/>
  <c r="L163" i="55"/>
  <c r="M163" i="55"/>
  <c r="M49" i="52"/>
  <c r="I164" i="55"/>
  <c r="J164" i="55"/>
  <c r="K164" i="55"/>
  <c r="L164" i="55"/>
  <c r="M164" i="55"/>
  <c r="M165" i="55"/>
  <c r="G14" i="51"/>
  <c r="G15" i="51"/>
  <c r="D4" i="70"/>
  <c r="N19" i="52"/>
  <c r="N160" i="55"/>
  <c r="O160" i="55"/>
  <c r="P160" i="55"/>
  <c r="Q160" i="55"/>
  <c r="R160" i="55"/>
  <c r="I13" i="51"/>
  <c r="N22" i="52"/>
  <c r="N161" i="55"/>
  <c r="O161" i="55"/>
  <c r="P161" i="55"/>
  <c r="Q161" i="55"/>
  <c r="R161" i="55"/>
  <c r="N33" i="52"/>
  <c r="N162" i="55"/>
  <c r="O162" i="55"/>
  <c r="P162" i="55"/>
  <c r="Q162" i="55"/>
  <c r="R162" i="55"/>
  <c r="N41" i="52"/>
  <c r="N163" i="55"/>
  <c r="O163" i="55"/>
  <c r="P163" i="55"/>
  <c r="Q163" i="55"/>
  <c r="R163" i="55"/>
  <c r="N49" i="52"/>
  <c r="N164" i="55"/>
  <c r="O164" i="55"/>
  <c r="P164" i="55"/>
  <c r="Q164" i="55"/>
  <c r="R164" i="55"/>
  <c r="R165" i="55"/>
  <c r="I14" i="51"/>
  <c r="I15" i="51"/>
  <c r="E4" i="70"/>
  <c r="O19" i="52"/>
  <c r="S160" i="55"/>
  <c r="T160" i="55"/>
  <c r="U160" i="55"/>
  <c r="V160" i="55"/>
  <c r="W160" i="55"/>
  <c r="K13" i="51"/>
  <c r="O22" i="52"/>
  <c r="S161" i="55"/>
  <c r="T161" i="55"/>
  <c r="U161" i="55"/>
  <c r="V161" i="55"/>
  <c r="W161" i="55"/>
  <c r="O33" i="52"/>
  <c r="S162" i="55"/>
  <c r="T162" i="55"/>
  <c r="U162" i="55"/>
  <c r="V162" i="55"/>
  <c r="W162" i="55"/>
  <c r="O41" i="52"/>
  <c r="S163" i="55"/>
  <c r="T163" i="55"/>
  <c r="U163" i="55"/>
  <c r="V163" i="55"/>
  <c r="W163" i="55"/>
  <c r="O49" i="52"/>
  <c r="S164" i="55"/>
  <c r="T164" i="55"/>
  <c r="U164" i="55"/>
  <c r="V164" i="55"/>
  <c r="W164" i="55"/>
  <c r="W165" i="55"/>
  <c r="K14" i="51"/>
  <c r="K15" i="51"/>
  <c r="F4" i="70"/>
  <c r="P19" i="52"/>
  <c r="X160" i="55"/>
  <c r="Y160" i="55"/>
  <c r="Z160" i="55"/>
  <c r="AA160" i="55"/>
  <c r="AB160" i="55"/>
  <c r="M13" i="51"/>
  <c r="P22" i="52"/>
  <c r="X161" i="55"/>
  <c r="Y161" i="55"/>
  <c r="Z161" i="55"/>
  <c r="AA161" i="55"/>
  <c r="AB161" i="55"/>
  <c r="P33" i="52"/>
  <c r="X162" i="55"/>
  <c r="Y162" i="55"/>
  <c r="Z162" i="55"/>
  <c r="AA162" i="55"/>
  <c r="AB162" i="55"/>
  <c r="P41" i="52"/>
  <c r="X163" i="55"/>
  <c r="Y163" i="55"/>
  <c r="Z163" i="55"/>
  <c r="AA163" i="55"/>
  <c r="AB163" i="55"/>
  <c r="P49" i="52"/>
  <c r="X164" i="55"/>
  <c r="Y164" i="55"/>
  <c r="Z164" i="55"/>
  <c r="AA164" i="55"/>
  <c r="AB164" i="55"/>
  <c r="AB165" i="55"/>
  <c r="M14" i="51"/>
  <c r="M15" i="51"/>
  <c r="G4" i="70"/>
  <c r="H4" i="70"/>
  <c r="D19" i="52"/>
  <c r="D3" i="55"/>
  <c r="E3" i="55"/>
  <c r="F3" i="55"/>
  <c r="G3" i="55"/>
  <c r="H3" i="55"/>
  <c r="E6" i="51"/>
  <c r="D22" i="52"/>
  <c r="D4" i="55"/>
  <c r="E4" i="55"/>
  <c r="F4" i="55"/>
  <c r="G4" i="55"/>
  <c r="H4" i="55"/>
  <c r="D33" i="52"/>
  <c r="D5" i="55"/>
  <c r="E5" i="55"/>
  <c r="F5" i="55"/>
  <c r="G5" i="55"/>
  <c r="H5" i="55"/>
  <c r="D41" i="52"/>
  <c r="D6" i="55"/>
  <c r="E6" i="55"/>
  <c r="F6" i="55"/>
  <c r="G6" i="55"/>
  <c r="H6" i="55"/>
  <c r="D49" i="52"/>
  <c r="D7" i="55"/>
  <c r="E7" i="55"/>
  <c r="F7" i="55"/>
  <c r="G7" i="55"/>
  <c r="H7" i="55"/>
  <c r="H8" i="55"/>
  <c r="E7" i="51"/>
  <c r="E8" i="51"/>
  <c r="C5" i="70"/>
  <c r="E19" i="52"/>
  <c r="I3" i="55"/>
  <c r="J3" i="55"/>
  <c r="K3" i="55"/>
  <c r="L3" i="55"/>
  <c r="M3" i="55"/>
  <c r="G6" i="51"/>
  <c r="E22" i="52"/>
  <c r="I4" i="55"/>
  <c r="J4" i="55"/>
  <c r="K4" i="55"/>
  <c r="L4" i="55"/>
  <c r="M4" i="55"/>
  <c r="E33" i="52"/>
  <c r="I5" i="55"/>
  <c r="J5" i="55"/>
  <c r="K5" i="55"/>
  <c r="L5" i="55"/>
  <c r="M5" i="55"/>
  <c r="E41" i="52"/>
  <c r="I6" i="55"/>
  <c r="J6" i="55"/>
  <c r="K6" i="55"/>
  <c r="L6" i="55"/>
  <c r="M6" i="55"/>
  <c r="E49" i="52"/>
  <c r="I7" i="55"/>
  <c r="J7" i="55"/>
  <c r="K7" i="55"/>
  <c r="L7" i="55"/>
  <c r="M7" i="55"/>
  <c r="M8" i="55"/>
  <c r="G7" i="51"/>
  <c r="G8" i="51"/>
  <c r="D5" i="70"/>
  <c r="F19" i="52"/>
  <c r="N3" i="55"/>
  <c r="O3" i="55"/>
  <c r="P3" i="55"/>
  <c r="Q3" i="55"/>
  <c r="R3" i="55"/>
  <c r="I6" i="51"/>
  <c r="F22" i="52"/>
  <c r="N4" i="55"/>
  <c r="O4" i="55"/>
  <c r="P4" i="55"/>
  <c r="Q4" i="55"/>
  <c r="R4" i="55"/>
  <c r="F33" i="52"/>
  <c r="N5" i="55"/>
  <c r="O5" i="55"/>
  <c r="P5" i="55"/>
  <c r="Q5" i="55"/>
  <c r="R5" i="55"/>
  <c r="F41" i="52"/>
  <c r="N6" i="55"/>
  <c r="O6" i="55"/>
  <c r="P6" i="55"/>
  <c r="Q6" i="55"/>
  <c r="R6" i="55"/>
  <c r="F49" i="52"/>
  <c r="N7" i="55"/>
  <c r="O7" i="55"/>
  <c r="P7" i="55"/>
  <c r="Q7" i="55"/>
  <c r="R7" i="55"/>
  <c r="R8" i="55"/>
  <c r="I7" i="51"/>
  <c r="I8" i="51"/>
  <c r="E5" i="70"/>
  <c r="G19" i="52"/>
  <c r="S3" i="55"/>
  <c r="T3" i="55"/>
  <c r="U3" i="55"/>
  <c r="V3" i="55"/>
  <c r="W3" i="55"/>
  <c r="K6" i="51"/>
  <c r="G22" i="52"/>
  <c r="S4" i="55"/>
  <c r="T4" i="55"/>
  <c r="U4" i="55"/>
  <c r="V4" i="55"/>
  <c r="W4" i="55"/>
  <c r="G33" i="52"/>
  <c r="S5" i="55"/>
  <c r="T5" i="55"/>
  <c r="U5" i="55"/>
  <c r="V5" i="55"/>
  <c r="W5" i="55"/>
  <c r="G41" i="52"/>
  <c r="S6" i="55"/>
  <c r="T6" i="55"/>
  <c r="U6" i="55"/>
  <c r="V6" i="55"/>
  <c r="W6" i="55"/>
  <c r="G49" i="52"/>
  <c r="S7" i="55"/>
  <c r="T7" i="55"/>
  <c r="U7" i="55"/>
  <c r="V7" i="55"/>
  <c r="W7" i="55"/>
  <c r="W8" i="55"/>
  <c r="K7" i="51"/>
  <c r="K8" i="51"/>
  <c r="F5" i="70"/>
  <c r="H19" i="52"/>
  <c r="X3" i="55"/>
  <c r="Y3" i="55"/>
  <c r="Z3" i="55"/>
  <c r="AA3" i="55"/>
  <c r="AB3" i="55"/>
  <c r="M6" i="51"/>
  <c r="H22" i="52"/>
  <c r="X4" i="55"/>
  <c r="Y4" i="55"/>
  <c r="Z4" i="55"/>
  <c r="AA4" i="55"/>
  <c r="AB4" i="55"/>
  <c r="H33" i="52"/>
  <c r="X5" i="55"/>
  <c r="Y5" i="55"/>
  <c r="Z5" i="55"/>
  <c r="AA5" i="55"/>
  <c r="AB5" i="55"/>
  <c r="H41" i="52"/>
  <c r="X6" i="55"/>
  <c r="Y6" i="55"/>
  <c r="Z6" i="55"/>
  <c r="AA6" i="55"/>
  <c r="AB6" i="55"/>
  <c r="H49" i="52"/>
  <c r="X7" i="55"/>
  <c r="Y7" i="55"/>
  <c r="Z7" i="55"/>
  <c r="AA7" i="55"/>
  <c r="AB7" i="55"/>
  <c r="AB8" i="55"/>
  <c r="M7" i="51"/>
  <c r="M8" i="51"/>
  <c r="G5" i="70"/>
  <c r="H5" i="70"/>
  <c r="C6" i="70"/>
  <c r="D6" i="70"/>
  <c r="E6" i="70"/>
  <c r="F6" i="70"/>
  <c r="G6" i="70"/>
  <c r="H6" i="70"/>
  <c r="D174" i="55"/>
  <c r="E174" i="55"/>
  <c r="F174" i="55"/>
  <c r="G174" i="55"/>
  <c r="H174" i="55"/>
  <c r="D175" i="55"/>
  <c r="E175" i="55"/>
  <c r="F175" i="55"/>
  <c r="G175" i="55"/>
  <c r="H175" i="55"/>
  <c r="D176" i="55"/>
  <c r="E176" i="55"/>
  <c r="F176" i="55"/>
  <c r="G176" i="55"/>
  <c r="H176" i="55"/>
  <c r="D177" i="55"/>
  <c r="E177" i="55"/>
  <c r="F177" i="55"/>
  <c r="G177" i="55"/>
  <c r="H177" i="55"/>
  <c r="D178" i="55"/>
  <c r="E178" i="55"/>
  <c r="F178" i="55"/>
  <c r="G178" i="55"/>
  <c r="H178" i="55"/>
  <c r="H179" i="55"/>
  <c r="H180" i="55"/>
  <c r="C7" i="70"/>
  <c r="I174" i="55"/>
  <c r="J174" i="55"/>
  <c r="K174" i="55"/>
  <c r="L174" i="55"/>
  <c r="M174" i="55"/>
  <c r="I175" i="55"/>
  <c r="J175" i="55"/>
  <c r="K175" i="55"/>
  <c r="L175" i="55"/>
  <c r="M175" i="55"/>
  <c r="I176" i="55"/>
  <c r="J176" i="55"/>
  <c r="K176" i="55"/>
  <c r="L176" i="55"/>
  <c r="M176" i="55"/>
  <c r="I177" i="55"/>
  <c r="J177" i="55"/>
  <c r="K177" i="55"/>
  <c r="L177" i="55"/>
  <c r="M177" i="55"/>
  <c r="I178" i="55"/>
  <c r="J178" i="55"/>
  <c r="K178" i="55"/>
  <c r="L178" i="55"/>
  <c r="M178" i="55"/>
  <c r="M179" i="55"/>
  <c r="M180" i="55"/>
  <c r="D7" i="70"/>
  <c r="N174" i="55"/>
  <c r="O174" i="55"/>
  <c r="P174" i="55"/>
  <c r="Q174" i="55"/>
  <c r="R174" i="55"/>
  <c r="N175" i="55"/>
  <c r="O175" i="55"/>
  <c r="P175" i="55"/>
  <c r="Q175" i="55"/>
  <c r="R175" i="55"/>
  <c r="N176" i="55"/>
  <c r="O176" i="55"/>
  <c r="P176" i="55"/>
  <c r="Q176" i="55"/>
  <c r="R176" i="55"/>
  <c r="N177" i="55"/>
  <c r="O177" i="55"/>
  <c r="P177" i="55"/>
  <c r="Q177" i="55"/>
  <c r="R177" i="55"/>
  <c r="N178" i="55"/>
  <c r="O178" i="55"/>
  <c r="P178" i="55"/>
  <c r="Q178" i="55"/>
  <c r="R178" i="55"/>
  <c r="R179" i="55"/>
  <c r="R180" i="55"/>
  <c r="E7" i="70"/>
  <c r="S174" i="55"/>
  <c r="T174" i="55"/>
  <c r="U174" i="55"/>
  <c r="V174" i="55"/>
  <c r="W174" i="55"/>
  <c r="S175" i="55"/>
  <c r="T175" i="55"/>
  <c r="U175" i="55"/>
  <c r="V175" i="55"/>
  <c r="W175" i="55"/>
  <c r="S176" i="55"/>
  <c r="T176" i="55"/>
  <c r="U176" i="55"/>
  <c r="V176" i="55"/>
  <c r="W176" i="55"/>
  <c r="S177" i="55"/>
  <c r="T177" i="55"/>
  <c r="U177" i="55"/>
  <c r="V177" i="55"/>
  <c r="W177" i="55"/>
  <c r="S178" i="55"/>
  <c r="T178" i="55"/>
  <c r="U178" i="55"/>
  <c r="V178" i="55"/>
  <c r="W178" i="55"/>
  <c r="W179" i="55"/>
  <c r="W180" i="55"/>
  <c r="F7" i="70"/>
  <c r="X174" i="55"/>
  <c r="Y174" i="55"/>
  <c r="Z174" i="55"/>
  <c r="AA174" i="55"/>
  <c r="AB174" i="55"/>
  <c r="X175" i="55"/>
  <c r="Y175" i="55"/>
  <c r="Z175" i="55"/>
  <c r="AA175" i="55"/>
  <c r="AB175" i="55"/>
  <c r="X176" i="55"/>
  <c r="Y176" i="55"/>
  <c r="Z176" i="55"/>
  <c r="AA176" i="55"/>
  <c r="AB176" i="55"/>
  <c r="X177" i="55"/>
  <c r="Y177" i="55"/>
  <c r="Z177" i="55"/>
  <c r="AA177" i="55"/>
  <c r="AB177" i="55"/>
  <c r="X178" i="55"/>
  <c r="Y178" i="55"/>
  <c r="Z178" i="55"/>
  <c r="AA178" i="55"/>
  <c r="AB178" i="55"/>
  <c r="AB179" i="55"/>
  <c r="AB180" i="55"/>
  <c r="G7" i="70"/>
  <c r="H7" i="70"/>
  <c r="D24" i="55"/>
  <c r="D17" i="55"/>
  <c r="D31" i="55"/>
  <c r="D45" i="55"/>
  <c r="D10" i="55"/>
  <c r="E24" i="55"/>
  <c r="E17" i="55"/>
  <c r="E31" i="55"/>
  <c r="E45" i="55"/>
  <c r="E10" i="55"/>
  <c r="F24" i="55"/>
  <c r="F17" i="55"/>
  <c r="F31" i="55"/>
  <c r="F45" i="55"/>
  <c r="F10" i="55"/>
  <c r="G24" i="55"/>
  <c r="G17" i="55"/>
  <c r="G31" i="55"/>
  <c r="G45" i="55"/>
  <c r="H45" i="55"/>
  <c r="D25" i="55"/>
  <c r="D18" i="55"/>
  <c r="D32" i="55"/>
  <c r="D46" i="55"/>
  <c r="D11" i="55"/>
  <c r="E25" i="55"/>
  <c r="E18" i="55"/>
  <c r="E32" i="55"/>
  <c r="E46" i="55"/>
  <c r="E11" i="55"/>
  <c r="F25" i="55"/>
  <c r="F18" i="55"/>
  <c r="F32" i="55"/>
  <c r="F46" i="55"/>
  <c r="F11" i="55"/>
  <c r="G25" i="55"/>
  <c r="G18" i="55"/>
  <c r="G32" i="55"/>
  <c r="G46" i="55"/>
  <c r="H46" i="55"/>
  <c r="D26" i="55"/>
  <c r="D19" i="55"/>
  <c r="D33" i="55"/>
  <c r="D47" i="55"/>
  <c r="D12" i="55"/>
  <c r="E26" i="55"/>
  <c r="E19" i="55"/>
  <c r="E33" i="55"/>
  <c r="E47" i="55"/>
  <c r="E12" i="55"/>
  <c r="F26" i="55"/>
  <c r="F19" i="55"/>
  <c r="F33" i="55"/>
  <c r="F47" i="55"/>
  <c r="F12" i="55"/>
  <c r="G26" i="55"/>
  <c r="G19" i="55"/>
  <c r="G33" i="55"/>
  <c r="G47" i="55"/>
  <c r="H47" i="55"/>
  <c r="D27" i="55"/>
  <c r="D20" i="55"/>
  <c r="D34" i="55"/>
  <c r="D48" i="55"/>
  <c r="D13" i="55"/>
  <c r="E27" i="55"/>
  <c r="E20" i="55"/>
  <c r="E34" i="55"/>
  <c r="E48" i="55"/>
  <c r="E13" i="55"/>
  <c r="F27" i="55"/>
  <c r="F20" i="55"/>
  <c r="F34" i="55"/>
  <c r="F48" i="55"/>
  <c r="F13" i="55"/>
  <c r="G27" i="55"/>
  <c r="G20" i="55"/>
  <c r="G34" i="55"/>
  <c r="G48" i="55"/>
  <c r="H48" i="55"/>
  <c r="D28" i="55"/>
  <c r="D21" i="55"/>
  <c r="D35" i="55"/>
  <c r="D49" i="55"/>
  <c r="D14" i="55"/>
  <c r="E28" i="55"/>
  <c r="E21" i="55"/>
  <c r="E35" i="55"/>
  <c r="E49" i="55"/>
  <c r="E14" i="55"/>
  <c r="F28" i="55"/>
  <c r="F21" i="55"/>
  <c r="F35" i="55"/>
  <c r="F49" i="55"/>
  <c r="F14" i="55"/>
  <c r="G28" i="55"/>
  <c r="G21" i="55"/>
  <c r="G35" i="55"/>
  <c r="G49" i="55"/>
  <c r="H49" i="55"/>
  <c r="H50" i="55"/>
  <c r="H51" i="55"/>
  <c r="C8" i="70"/>
  <c r="G10" i="55"/>
  <c r="I24" i="55"/>
  <c r="I17" i="55"/>
  <c r="I31" i="55"/>
  <c r="I45" i="55"/>
  <c r="H10" i="55"/>
  <c r="I10" i="55"/>
  <c r="J24" i="55"/>
  <c r="J17" i="55"/>
  <c r="J31" i="55"/>
  <c r="J45" i="55"/>
  <c r="J10" i="55"/>
  <c r="K24" i="55"/>
  <c r="K17" i="55"/>
  <c r="K31" i="55"/>
  <c r="K45" i="55"/>
  <c r="K10" i="55"/>
  <c r="L24" i="55"/>
  <c r="L17" i="55"/>
  <c r="L31" i="55"/>
  <c r="L45" i="55"/>
  <c r="M45" i="55"/>
  <c r="G11" i="55"/>
  <c r="I25" i="55"/>
  <c r="I18" i="55"/>
  <c r="I32" i="55"/>
  <c r="I46" i="55"/>
  <c r="H11" i="55"/>
  <c r="I11" i="55"/>
  <c r="J25" i="55"/>
  <c r="J18" i="55"/>
  <c r="J32" i="55"/>
  <c r="J46" i="55"/>
  <c r="J11" i="55"/>
  <c r="K25" i="55"/>
  <c r="K18" i="55"/>
  <c r="K32" i="55"/>
  <c r="K46" i="55"/>
  <c r="K11" i="55"/>
  <c r="L25" i="55"/>
  <c r="L18" i="55"/>
  <c r="L32" i="55"/>
  <c r="L46" i="55"/>
  <c r="M46" i="55"/>
  <c r="G12" i="55"/>
  <c r="I26" i="55"/>
  <c r="I19" i="55"/>
  <c r="I33" i="55"/>
  <c r="I47" i="55"/>
  <c r="H12" i="55"/>
  <c r="I12" i="55"/>
  <c r="J26" i="55"/>
  <c r="J19" i="55"/>
  <c r="J33" i="55"/>
  <c r="J47" i="55"/>
  <c r="J12" i="55"/>
  <c r="K26" i="55"/>
  <c r="K19" i="55"/>
  <c r="K33" i="55"/>
  <c r="K47" i="55"/>
  <c r="K12" i="55"/>
  <c r="L26" i="55"/>
  <c r="L19" i="55"/>
  <c r="L33" i="55"/>
  <c r="L47" i="55"/>
  <c r="M47" i="55"/>
  <c r="G13" i="55"/>
  <c r="I27" i="55"/>
  <c r="I20" i="55"/>
  <c r="I34" i="55"/>
  <c r="I48" i="55"/>
  <c r="H13" i="55"/>
  <c r="I13" i="55"/>
  <c r="J27" i="55"/>
  <c r="J20" i="55"/>
  <c r="J34" i="55"/>
  <c r="J48" i="55"/>
  <c r="J13" i="55"/>
  <c r="K27" i="55"/>
  <c r="K20" i="55"/>
  <c r="K34" i="55"/>
  <c r="K48" i="55"/>
  <c r="K13" i="55"/>
  <c r="L27" i="55"/>
  <c r="L20" i="55"/>
  <c r="L34" i="55"/>
  <c r="L48" i="55"/>
  <c r="M48" i="55"/>
  <c r="G14" i="55"/>
  <c r="I28" i="55"/>
  <c r="I21" i="55"/>
  <c r="I35" i="55"/>
  <c r="I49" i="55"/>
  <c r="H14" i="55"/>
  <c r="I14" i="55"/>
  <c r="J28" i="55"/>
  <c r="J21" i="55"/>
  <c r="J35" i="55"/>
  <c r="J49" i="55"/>
  <c r="J14" i="55"/>
  <c r="K28" i="55"/>
  <c r="K21" i="55"/>
  <c r="K35" i="55"/>
  <c r="K49" i="55"/>
  <c r="K14" i="55"/>
  <c r="L28" i="55"/>
  <c r="L21" i="55"/>
  <c r="L35" i="55"/>
  <c r="L49" i="55"/>
  <c r="M49" i="55"/>
  <c r="M50" i="55"/>
  <c r="M51" i="55"/>
  <c r="D8" i="70"/>
  <c r="L10" i="55"/>
  <c r="N24" i="55"/>
  <c r="N17" i="55"/>
  <c r="N31" i="55"/>
  <c r="N45" i="55"/>
  <c r="M10" i="55"/>
  <c r="N10" i="55"/>
  <c r="O24" i="55"/>
  <c r="O17" i="55"/>
  <c r="O31" i="55"/>
  <c r="O45" i="55"/>
  <c r="O10" i="55"/>
  <c r="P24" i="55"/>
  <c r="P17" i="55"/>
  <c r="P31" i="55"/>
  <c r="P45" i="55"/>
  <c r="P10" i="55"/>
  <c r="Q24" i="55"/>
  <c r="Q17" i="55"/>
  <c r="Q31" i="55"/>
  <c r="Q45" i="55"/>
  <c r="R45" i="55"/>
  <c r="L11" i="55"/>
  <c r="N25" i="55"/>
  <c r="N18" i="55"/>
  <c r="N32" i="55"/>
  <c r="N46" i="55"/>
  <c r="M11" i="55"/>
  <c r="N11" i="55"/>
  <c r="O25" i="55"/>
  <c r="O18" i="55"/>
  <c r="O32" i="55"/>
  <c r="O46" i="55"/>
  <c r="O11" i="55"/>
  <c r="P25" i="55"/>
  <c r="P18" i="55"/>
  <c r="P32" i="55"/>
  <c r="P46" i="55"/>
  <c r="P11" i="55"/>
  <c r="Q25" i="55"/>
  <c r="Q18" i="55"/>
  <c r="Q32" i="55"/>
  <c r="Q46" i="55"/>
  <c r="R46" i="55"/>
  <c r="L12" i="55"/>
  <c r="N26" i="55"/>
  <c r="N19" i="55"/>
  <c r="N33" i="55"/>
  <c r="N47" i="55"/>
  <c r="M12" i="55"/>
  <c r="N12" i="55"/>
  <c r="O26" i="55"/>
  <c r="O19" i="55"/>
  <c r="O33" i="55"/>
  <c r="O47" i="55"/>
  <c r="O12" i="55"/>
  <c r="P26" i="55"/>
  <c r="P19" i="55"/>
  <c r="P33" i="55"/>
  <c r="P47" i="55"/>
  <c r="P12" i="55"/>
  <c r="Q26" i="55"/>
  <c r="Q19" i="55"/>
  <c r="Q33" i="55"/>
  <c r="Q47" i="55"/>
  <c r="R47" i="55"/>
  <c r="L13" i="55"/>
  <c r="N27" i="55"/>
  <c r="N20" i="55"/>
  <c r="N34" i="55"/>
  <c r="N48" i="55"/>
  <c r="M13" i="55"/>
  <c r="N13" i="55"/>
  <c r="O27" i="55"/>
  <c r="O20" i="55"/>
  <c r="O34" i="55"/>
  <c r="O48" i="55"/>
  <c r="O13" i="55"/>
  <c r="P27" i="55"/>
  <c r="P20" i="55"/>
  <c r="P34" i="55"/>
  <c r="P48" i="55"/>
  <c r="P13" i="55"/>
  <c r="Q27" i="55"/>
  <c r="Q20" i="55"/>
  <c r="Q34" i="55"/>
  <c r="Q48" i="55"/>
  <c r="R48" i="55"/>
  <c r="L14" i="55"/>
  <c r="N28" i="55"/>
  <c r="N21" i="55"/>
  <c r="N35" i="55"/>
  <c r="N49" i="55"/>
  <c r="M14" i="55"/>
  <c r="N14" i="55"/>
  <c r="O28" i="55"/>
  <c r="O21" i="55"/>
  <c r="O35" i="55"/>
  <c r="O49" i="55"/>
  <c r="O14" i="55"/>
  <c r="P28" i="55"/>
  <c r="P21" i="55"/>
  <c r="P35" i="55"/>
  <c r="P49" i="55"/>
  <c r="P14" i="55"/>
  <c r="Q28" i="55"/>
  <c r="Q21" i="55"/>
  <c r="Q35" i="55"/>
  <c r="Q49" i="55"/>
  <c r="R49" i="55"/>
  <c r="R50" i="55"/>
  <c r="R51" i="55"/>
  <c r="E8" i="70"/>
  <c r="Q10" i="55"/>
  <c r="S24" i="55"/>
  <c r="S17" i="55"/>
  <c r="S31" i="55"/>
  <c r="S45" i="55"/>
  <c r="R10" i="55"/>
  <c r="S10" i="55"/>
  <c r="T24" i="55"/>
  <c r="T17" i="55"/>
  <c r="T31" i="55"/>
  <c r="T45" i="55"/>
  <c r="T10" i="55"/>
  <c r="U24" i="55"/>
  <c r="U17" i="55"/>
  <c r="U31" i="55"/>
  <c r="U45" i="55"/>
  <c r="U10" i="55"/>
  <c r="V24" i="55"/>
  <c r="V17" i="55"/>
  <c r="V31" i="55"/>
  <c r="V45" i="55"/>
  <c r="W45" i="55"/>
  <c r="Q11" i="55"/>
  <c r="S25" i="55"/>
  <c r="S18" i="55"/>
  <c r="S32" i="55"/>
  <c r="S46" i="55"/>
  <c r="R11" i="55"/>
  <c r="S11" i="55"/>
  <c r="T25" i="55"/>
  <c r="T18" i="55"/>
  <c r="T32" i="55"/>
  <c r="T46" i="55"/>
  <c r="T11" i="55"/>
  <c r="U25" i="55"/>
  <c r="U18" i="55"/>
  <c r="U32" i="55"/>
  <c r="U46" i="55"/>
  <c r="U11" i="55"/>
  <c r="V25" i="55"/>
  <c r="V18" i="55"/>
  <c r="V32" i="55"/>
  <c r="V46" i="55"/>
  <c r="W46" i="55"/>
  <c r="Q12" i="55"/>
  <c r="S26" i="55"/>
  <c r="S19" i="55"/>
  <c r="S33" i="55"/>
  <c r="S47" i="55"/>
  <c r="R12" i="55"/>
  <c r="S12" i="55"/>
  <c r="T26" i="55"/>
  <c r="T19" i="55"/>
  <c r="T33" i="55"/>
  <c r="T47" i="55"/>
  <c r="T12" i="55"/>
  <c r="U26" i="55"/>
  <c r="U19" i="55"/>
  <c r="U33" i="55"/>
  <c r="U47" i="55"/>
  <c r="U12" i="55"/>
  <c r="V26" i="55"/>
  <c r="V19" i="55"/>
  <c r="V33" i="55"/>
  <c r="V47" i="55"/>
  <c r="W47" i="55"/>
  <c r="Q13" i="55"/>
  <c r="S27" i="55"/>
  <c r="S20" i="55"/>
  <c r="S34" i="55"/>
  <c r="S48" i="55"/>
  <c r="R13" i="55"/>
  <c r="S13" i="55"/>
  <c r="T27" i="55"/>
  <c r="T20" i="55"/>
  <c r="T34" i="55"/>
  <c r="T48" i="55"/>
  <c r="T13" i="55"/>
  <c r="U27" i="55"/>
  <c r="U20" i="55"/>
  <c r="U34" i="55"/>
  <c r="U48" i="55"/>
  <c r="U13" i="55"/>
  <c r="V27" i="55"/>
  <c r="V20" i="55"/>
  <c r="V34" i="55"/>
  <c r="V48" i="55"/>
  <c r="W48" i="55"/>
  <c r="Q14" i="55"/>
  <c r="S28" i="55"/>
  <c r="S21" i="55"/>
  <c r="S35" i="55"/>
  <c r="S49" i="55"/>
  <c r="R14" i="55"/>
  <c r="S14" i="55"/>
  <c r="T28" i="55"/>
  <c r="T21" i="55"/>
  <c r="T35" i="55"/>
  <c r="T49" i="55"/>
  <c r="T14" i="55"/>
  <c r="U28" i="55"/>
  <c r="U21" i="55"/>
  <c r="U35" i="55"/>
  <c r="U49" i="55"/>
  <c r="U14" i="55"/>
  <c r="V28" i="55"/>
  <c r="V21" i="55"/>
  <c r="V35" i="55"/>
  <c r="V49" i="55"/>
  <c r="W49" i="55"/>
  <c r="W50" i="55"/>
  <c r="W51" i="55"/>
  <c r="F8" i="70"/>
  <c r="V10" i="55"/>
  <c r="X24" i="55"/>
  <c r="X17" i="55"/>
  <c r="X31" i="55"/>
  <c r="X45" i="55"/>
  <c r="W10" i="55"/>
  <c r="X10" i="55"/>
  <c r="Y24" i="55"/>
  <c r="Y17" i="55"/>
  <c r="Y31" i="55"/>
  <c r="Y45" i="55"/>
  <c r="Y10" i="55"/>
  <c r="Z24" i="55"/>
  <c r="Z17" i="55"/>
  <c r="Z31" i="55"/>
  <c r="Z45" i="55"/>
  <c r="Z10" i="55"/>
  <c r="AA24" i="55"/>
  <c r="AA17" i="55"/>
  <c r="AA31" i="55"/>
  <c r="AA45" i="55"/>
  <c r="AB45" i="55"/>
  <c r="V11" i="55"/>
  <c r="X25" i="55"/>
  <c r="X18" i="55"/>
  <c r="X32" i="55"/>
  <c r="X46" i="55"/>
  <c r="W11" i="55"/>
  <c r="X11" i="55"/>
  <c r="Y25" i="55"/>
  <c r="Y18" i="55"/>
  <c r="Y32" i="55"/>
  <c r="Y46" i="55"/>
  <c r="Y11" i="55"/>
  <c r="Z25" i="55"/>
  <c r="Z18" i="55"/>
  <c r="Z32" i="55"/>
  <c r="Z46" i="55"/>
  <c r="Z11" i="55"/>
  <c r="AA25" i="55"/>
  <c r="AA18" i="55"/>
  <c r="AA32" i="55"/>
  <c r="AA46" i="55"/>
  <c r="AB46" i="55"/>
  <c r="V12" i="55"/>
  <c r="X26" i="55"/>
  <c r="X19" i="55"/>
  <c r="X33" i="55"/>
  <c r="X47" i="55"/>
  <c r="W12" i="55"/>
  <c r="X12" i="55"/>
  <c r="Y26" i="55"/>
  <c r="Y19" i="55"/>
  <c r="Y33" i="55"/>
  <c r="Y47" i="55"/>
  <c r="Y12" i="55"/>
  <c r="Z26" i="55"/>
  <c r="Z19" i="55"/>
  <c r="Z33" i="55"/>
  <c r="Z47" i="55"/>
  <c r="Z12" i="55"/>
  <c r="AA26" i="55"/>
  <c r="AA19" i="55"/>
  <c r="AA33" i="55"/>
  <c r="AA47" i="55"/>
  <c r="AB47" i="55"/>
  <c r="V13" i="55"/>
  <c r="X27" i="55"/>
  <c r="X20" i="55"/>
  <c r="X34" i="55"/>
  <c r="X48" i="55"/>
  <c r="W13" i="55"/>
  <c r="X13" i="55"/>
  <c r="Y27" i="55"/>
  <c r="Y20" i="55"/>
  <c r="Y34" i="55"/>
  <c r="Y48" i="55"/>
  <c r="Y13" i="55"/>
  <c r="Z27" i="55"/>
  <c r="Z20" i="55"/>
  <c r="Z34" i="55"/>
  <c r="Z48" i="55"/>
  <c r="Z13" i="55"/>
  <c r="AA27" i="55"/>
  <c r="AA20" i="55"/>
  <c r="AA34" i="55"/>
  <c r="AA48" i="55"/>
  <c r="AB48" i="55"/>
  <c r="V14" i="55"/>
  <c r="X28" i="55"/>
  <c r="X21" i="55"/>
  <c r="X35" i="55"/>
  <c r="X49" i="55"/>
  <c r="W14" i="55"/>
  <c r="X14" i="55"/>
  <c r="Y28" i="55"/>
  <c r="Y21" i="55"/>
  <c r="Y35" i="55"/>
  <c r="Y49" i="55"/>
  <c r="Y14" i="55"/>
  <c r="Z28" i="55"/>
  <c r="Z21" i="55"/>
  <c r="Z35" i="55"/>
  <c r="Z49" i="55"/>
  <c r="Z14" i="55"/>
  <c r="AA28" i="55"/>
  <c r="AA21" i="55"/>
  <c r="AA35" i="55"/>
  <c r="AA49" i="55"/>
  <c r="AB49" i="55"/>
  <c r="AB50" i="55"/>
  <c r="AB51" i="55"/>
  <c r="G8" i="70"/>
  <c r="H8" i="70"/>
  <c r="E52" i="55"/>
  <c r="F52" i="55"/>
  <c r="G52" i="55"/>
  <c r="H52" i="55"/>
  <c r="E53" i="55"/>
  <c r="F53" i="55"/>
  <c r="G53" i="55"/>
  <c r="H53" i="55"/>
  <c r="E54" i="55"/>
  <c r="F54" i="55"/>
  <c r="G54" i="55"/>
  <c r="H54" i="55"/>
  <c r="E55" i="55"/>
  <c r="F55" i="55"/>
  <c r="G55" i="55"/>
  <c r="H55" i="55"/>
  <c r="E56" i="55"/>
  <c r="F56" i="55"/>
  <c r="G56" i="55"/>
  <c r="H56" i="55"/>
  <c r="H57" i="55"/>
  <c r="H58" i="55"/>
  <c r="E59" i="55"/>
  <c r="F59" i="55"/>
  <c r="G59" i="55"/>
  <c r="H59" i="55"/>
  <c r="E60" i="55"/>
  <c r="F60" i="55"/>
  <c r="G60" i="55"/>
  <c r="H60" i="55"/>
  <c r="E61" i="55"/>
  <c r="F61" i="55"/>
  <c r="G61" i="55"/>
  <c r="H61" i="55"/>
  <c r="E62" i="55"/>
  <c r="F62" i="55"/>
  <c r="G62" i="55"/>
  <c r="H62" i="55"/>
  <c r="E63" i="55"/>
  <c r="F63" i="55"/>
  <c r="G63" i="55"/>
  <c r="H63" i="55"/>
  <c r="H64" i="55"/>
  <c r="H65" i="55"/>
  <c r="D167" i="55"/>
  <c r="E181" i="55"/>
  <c r="E167" i="55"/>
  <c r="F181" i="55"/>
  <c r="F167" i="55"/>
  <c r="G181" i="55"/>
  <c r="H181" i="55"/>
  <c r="D168" i="55"/>
  <c r="E182" i="55"/>
  <c r="E168" i="55"/>
  <c r="F182" i="55"/>
  <c r="F168" i="55"/>
  <c r="G182" i="55"/>
  <c r="H182" i="55"/>
  <c r="D169" i="55"/>
  <c r="E183" i="55"/>
  <c r="E169" i="55"/>
  <c r="F183" i="55"/>
  <c r="F169" i="55"/>
  <c r="G183" i="55"/>
  <c r="H183" i="55"/>
  <c r="D170" i="55"/>
  <c r="E184" i="55"/>
  <c r="E170" i="55"/>
  <c r="F184" i="55"/>
  <c r="F170" i="55"/>
  <c r="G184" i="55"/>
  <c r="H184" i="55"/>
  <c r="D171" i="55"/>
  <c r="E185" i="55"/>
  <c r="E171" i="55"/>
  <c r="F185" i="55"/>
  <c r="F171" i="55"/>
  <c r="G185" i="55"/>
  <c r="H185" i="55"/>
  <c r="H186" i="55"/>
  <c r="H187" i="55"/>
  <c r="E188" i="55"/>
  <c r="F188" i="55"/>
  <c r="G188" i="55"/>
  <c r="H188" i="55"/>
  <c r="E189" i="55"/>
  <c r="F189" i="55"/>
  <c r="G189" i="55"/>
  <c r="H189" i="55"/>
  <c r="E190" i="55"/>
  <c r="F190" i="55"/>
  <c r="G190" i="55"/>
  <c r="H190" i="55"/>
  <c r="E191" i="55"/>
  <c r="F191" i="55"/>
  <c r="G191" i="55"/>
  <c r="H191" i="55"/>
  <c r="E192" i="55"/>
  <c r="F192" i="55"/>
  <c r="G192" i="55"/>
  <c r="H192" i="55"/>
  <c r="H193" i="55"/>
  <c r="H194" i="55"/>
  <c r="C9" i="70"/>
  <c r="I52" i="55"/>
  <c r="J52" i="55"/>
  <c r="K52" i="55"/>
  <c r="L52" i="55"/>
  <c r="M52" i="55"/>
  <c r="I53" i="55"/>
  <c r="J53" i="55"/>
  <c r="K53" i="55"/>
  <c r="L53" i="55"/>
  <c r="M53" i="55"/>
  <c r="I54" i="55"/>
  <c r="J54" i="55"/>
  <c r="K54" i="55"/>
  <c r="L54" i="55"/>
  <c r="M54" i="55"/>
  <c r="I55" i="55"/>
  <c r="J55" i="55"/>
  <c r="K55" i="55"/>
  <c r="L55" i="55"/>
  <c r="M55" i="55"/>
  <c r="I56" i="55"/>
  <c r="J56" i="55"/>
  <c r="K56" i="55"/>
  <c r="L56" i="55"/>
  <c r="M56" i="55"/>
  <c r="M57" i="55"/>
  <c r="M58" i="55"/>
  <c r="I59" i="55"/>
  <c r="J59" i="55"/>
  <c r="K59" i="55"/>
  <c r="L59" i="55"/>
  <c r="M59" i="55"/>
  <c r="I60" i="55"/>
  <c r="J60" i="55"/>
  <c r="K60" i="55"/>
  <c r="L60" i="55"/>
  <c r="M60" i="55"/>
  <c r="I61" i="55"/>
  <c r="J61" i="55"/>
  <c r="K61" i="55"/>
  <c r="L61" i="55"/>
  <c r="M61" i="55"/>
  <c r="I62" i="55"/>
  <c r="J62" i="55"/>
  <c r="K62" i="55"/>
  <c r="L62" i="55"/>
  <c r="M62" i="55"/>
  <c r="I63" i="55"/>
  <c r="J63" i="55"/>
  <c r="K63" i="55"/>
  <c r="L63" i="55"/>
  <c r="M63" i="55"/>
  <c r="M64" i="55"/>
  <c r="M65" i="55"/>
  <c r="G167" i="55"/>
  <c r="I181" i="55"/>
  <c r="H167" i="55"/>
  <c r="I167" i="55"/>
  <c r="J181" i="55"/>
  <c r="J167" i="55"/>
  <c r="K181" i="55"/>
  <c r="K167" i="55"/>
  <c r="L181" i="55"/>
  <c r="M181" i="55"/>
  <c r="G168" i="55"/>
  <c r="I182" i="55"/>
  <c r="H168" i="55"/>
  <c r="I168" i="55"/>
  <c r="J182" i="55"/>
  <c r="J168" i="55"/>
  <c r="K182" i="55"/>
  <c r="K168" i="55"/>
  <c r="L182" i="55"/>
  <c r="M182" i="55"/>
  <c r="G169" i="55"/>
  <c r="I183" i="55"/>
  <c r="H169" i="55"/>
  <c r="I169" i="55"/>
  <c r="J183" i="55"/>
  <c r="J169" i="55"/>
  <c r="K183" i="55"/>
  <c r="K169" i="55"/>
  <c r="L183" i="55"/>
  <c r="M183" i="55"/>
  <c r="G170" i="55"/>
  <c r="I184" i="55"/>
  <c r="H170" i="55"/>
  <c r="I170" i="55"/>
  <c r="J184" i="55"/>
  <c r="J170" i="55"/>
  <c r="K184" i="55"/>
  <c r="K170" i="55"/>
  <c r="L184" i="55"/>
  <c r="M184" i="55"/>
  <c r="G171" i="55"/>
  <c r="I185" i="55"/>
  <c r="H171" i="55"/>
  <c r="I171" i="55"/>
  <c r="J185" i="55"/>
  <c r="J171" i="55"/>
  <c r="K185" i="55"/>
  <c r="K171" i="55"/>
  <c r="L185" i="55"/>
  <c r="M185" i="55"/>
  <c r="M186" i="55"/>
  <c r="M187" i="55"/>
  <c r="I188" i="55"/>
  <c r="J188" i="55"/>
  <c r="K188" i="55"/>
  <c r="L188" i="55"/>
  <c r="M188" i="55"/>
  <c r="I189" i="55"/>
  <c r="J189" i="55"/>
  <c r="K189" i="55"/>
  <c r="L189" i="55"/>
  <c r="M189" i="55"/>
  <c r="I190" i="55"/>
  <c r="J190" i="55"/>
  <c r="K190" i="55"/>
  <c r="L190" i="55"/>
  <c r="M190" i="55"/>
  <c r="I191" i="55"/>
  <c r="J191" i="55"/>
  <c r="K191" i="55"/>
  <c r="L191" i="55"/>
  <c r="M191" i="55"/>
  <c r="I192" i="55"/>
  <c r="J192" i="55"/>
  <c r="K192" i="55"/>
  <c r="L192" i="55"/>
  <c r="M192" i="55"/>
  <c r="M193" i="55"/>
  <c r="M194" i="55"/>
  <c r="D9" i="70"/>
  <c r="N52" i="55"/>
  <c r="O52" i="55"/>
  <c r="P52" i="55"/>
  <c r="Q52" i="55"/>
  <c r="R52" i="55"/>
  <c r="N53" i="55"/>
  <c r="O53" i="55"/>
  <c r="P53" i="55"/>
  <c r="Q53" i="55"/>
  <c r="R53" i="55"/>
  <c r="N54" i="55"/>
  <c r="O54" i="55"/>
  <c r="P54" i="55"/>
  <c r="Q54" i="55"/>
  <c r="R54" i="55"/>
  <c r="N55" i="55"/>
  <c r="O55" i="55"/>
  <c r="P55" i="55"/>
  <c r="Q55" i="55"/>
  <c r="R55" i="55"/>
  <c r="N56" i="55"/>
  <c r="O56" i="55"/>
  <c r="P56" i="55"/>
  <c r="Q56" i="55"/>
  <c r="R56" i="55"/>
  <c r="R57" i="55"/>
  <c r="R58" i="55"/>
  <c r="N59" i="55"/>
  <c r="O59" i="55"/>
  <c r="P59" i="55"/>
  <c r="Q59" i="55"/>
  <c r="R59" i="55"/>
  <c r="N60" i="55"/>
  <c r="O60" i="55"/>
  <c r="P60" i="55"/>
  <c r="Q60" i="55"/>
  <c r="R60" i="55"/>
  <c r="N61" i="55"/>
  <c r="O61" i="55"/>
  <c r="P61" i="55"/>
  <c r="Q61" i="55"/>
  <c r="R61" i="55"/>
  <c r="N62" i="55"/>
  <c r="O62" i="55"/>
  <c r="P62" i="55"/>
  <c r="Q62" i="55"/>
  <c r="R62" i="55"/>
  <c r="N63" i="55"/>
  <c r="O63" i="55"/>
  <c r="P63" i="55"/>
  <c r="Q63" i="55"/>
  <c r="R63" i="55"/>
  <c r="R64" i="55"/>
  <c r="R65" i="55"/>
  <c r="L167" i="55"/>
  <c r="N181" i="55"/>
  <c r="M167" i="55"/>
  <c r="N167" i="55"/>
  <c r="O181" i="55"/>
  <c r="O167" i="55"/>
  <c r="P181" i="55"/>
  <c r="P167" i="55"/>
  <c r="Q181" i="55"/>
  <c r="R181" i="55"/>
  <c r="L168" i="55"/>
  <c r="N182" i="55"/>
  <c r="M168" i="55"/>
  <c r="N168" i="55"/>
  <c r="O182" i="55"/>
  <c r="O168" i="55"/>
  <c r="P182" i="55"/>
  <c r="P168" i="55"/>
  <c r="Q182" i="55"/>
  <c r="R182" i="55"/>
  <c r="L169" i="55"/>
  <c r="N183" i="55"/>
  <c r="M169" i="55"/>
  <c r="N169" i="55"/>
  <c r="O183" i="55"/>
  <c r="O169" i="55"/>
  <c r="P183" i="55"/>
  <c r="P169" i="55"/>
  <c r="Q183" i="55"/>
  <c r="R183" i="55"/>
  <c r="L170" i="55"/>
  <c r="N184" i="55"/>
  <c r="M170" i="55"/>
  <c r="N170" i="55"/>
  <c r="O184" i="55"/>
  <c r="O170" i="55"/>
  <c r="P184" i="55"/>
  <c r="P170" i="55"/>
  <c r="Q184" i="55"/>
  <c r="R184" i="55"/>
  <c r="L171" i="55"/>
  <c r="N185" i="55"/>
  <c r="M171" i="55"/>
  <c r="N171" i="55"/>
  <c r="O185" i="55"/>
  <c r="O171" i="55"/>
  <c r="P185" i="55"/>
  <c r="P171" i="55"/>
  <c r="Q185" i="55"/>
  <c r="R185" i="55"/>
  <c r="R186" i="55"/>
  <c r="R187" i="55"/>
  <c r="N188" i="55"/>
  <c r="O188" i="55"/>
  <c r="P188" i="55"/>
  <c r="Q188" i="55"/>
  <c r="R188" i="55"/>
  <c r="N189" i="55"/>
  <c r="O189" i="55"/>
  <c r="P189" i="55"/>
  <c r="Q189" i="55"/>
  <c r="R189" i="55"/>
  <c r="N190" i="55"/>
  <c r="O190" i="55"/>
  <c r="P190" i="55"/>
  <c r="Q190" i="55"/>
  <c r="R190" i="55"/>
  <c r="N191" i="55"/>
  <c r="O191" i="55"/>
  <c r="P191" i="55"/>
  <c r="Q191" i="55"/>
  <c r="R191" i="55"/>
  <c r="N192" i="55"/>
  <c r="O192" i="55"/>
  <c r="P192" i="55"/>
  <c r="Q192" i="55"/>
  <c r="R192" i="55"/>
  <c r="R193" i="55"/>
  <c r="R194" i="55"/>
  <c r="E9" i="70"/>
  <c r="S52" i="55"/>
  <c r="T52" i="55"/>
  <c r="U52" i="55"/>
  <c r="V52" i="55"/>
  <c r="W52" i="55"/>
  <c r="S53" i="55"/>
  <c r="T53" i="55"/>
  <c r="U53" i="55"/>
  <c r="V53" i="55"/>
  <c r="W53" i="55"/>
  <c r="S54" i="55"/>
  <c r="T54" i="55"/>
  <c r="U54" i="55"/>
  <c r="V54" i="55"/>
  <c r="W54" i="55"/>
  <c r="S55" i="55"/>
  <c r="T55" i="55"/>
  <c r="U55" i="55"/>
  <c r="V55" i="55"/>
  <c r="W55" i="55"/>
  <c r="S56" i="55"/>
  <c r="T56" i="55"/>
  <c r="U56" i="55"/>
  <c r="V56" i="55"/>
  <c r="W56" i="55"/>
  <c r="W57" i="55"/>
  <c r="W58" i="55"/>
  <c r="S59" i="55"/>
  <c r="T59" i="55"/>
  <c r="U59" i="55"/>
  <c r="V59" i="55"/>
  <c r="W59" i="55"/>
  <c r="S60" i="55"/>
  <c r="T60" i="55"/>
  <c r="U60" i="55"/>
  <c r="V60" i="55"/>
  <c r="W60" i="55"/>
  <c r="S61" i="55"/>
  <c r="T61" i="55"/>
  <c r="U61" i="55"/>
  <c r="V61" i="55"/>
  <c r="W61" i="55"/>
  <c r="S62" i="55"/>
  <c r="T62" i="55"/>
  <c r="U62" i="55"/>
  <c r="V62" i="55"/>
  <c r="W62" i="55"/>
  <c r="S63" i="55"/>
  <c r="T63" i="55"/>
  <c r="U63" i="55"/>
  <c r="V63" i="55"/>
  <c r="W63" i="55"/>
  <c r="W64" i="55"/>
  <c r="W65" i="55"/>
  <c r="Q167" i="55"/>
  <c r="S181" i="55"/>
  <c r="R167" i="55"/>
  <c r="S167" i="55"/>
  <c r="T181" i="55"/>
  <c r="T167" i="55"/>
  <c r="U181" i="55"/>
  <c r="U167" i="55"/>
  <c r="V181" i="55"/>
  <c r="W181" i="55"/>
  <c r="Q168" i="55"/>
  <c r="S182" i="55"/>
  <c r="R168" i="55"/>
  <c r="S168" i="55"/>
  <c r="T182" i="55"/>
  <c r="T168" i="55"/>
  <c r="U182" i="55"/>
  <c r="U168" i="55"/>
  <c r="V182" i="55"/>
  <c r="W182" i="55"/>
  <c r="Q169" i="55"/>
  <c r="S183" i="55"/>
  <c r="R169" i="55"/>
  <c r="S169" i="55"/>
  <c r="T183" i="55"/>
  <c r="T169" i="55"/>
  <c r="U183" i="55"/>
  <c r="U169" i="55"/>
  <c r="V183" i="55"/>
  <c r="W183" i="55"/>
  <c r="Q170" i="55"/>
  <c r="S184" i="55"/>
  <c r="R170" i="55"/>
  <c r="S170" i="55"/>
  <c r="T184" i="55"/>
  <c r="T170" i="55"/>
  <c r="U184" i="55"/>
  <c r="U170" i="55"/>
  <c r="V184" i="55"/>
  <c r="W184" i="55"/>
  <c r="Q171" i="55"/>
  <c r="S185" i="55"/>
  <c r="R171" i="55"/>
  <c r="S171" i="55"/>
  <c r="T185" i="55"/>
  <c r="T171" i="55"/>
  <c r="U185" i="55"/>
  <c r="U171" i="55"/>
  <c r="V185" i="55"/>
  <c r="W185" i="55"/>
  <c r="W186" i="55"/>
  <c r="W187" i="55"/>
  <c r="S188" i="55"/>
  <c r="T188" i="55"/>
  <c r="U188" i="55"/>
  <c r="V188" i="55"/>
  <c r="W188" i="55"/>
  <c r="S189" i="55"/>
  <c r="T189" i="55"/>
  <c r="U189" i="55"/>
  <c r="V189" i="55"/>
  <c r="W189" i="55"/>
  <c r="S190" i="55"/>
  <c r="T190" i="55"/>
  <c r="U190" i="55"/>
  <c r="V190" i="55"/>
  <c r="W190" i="55"/>
  <c r="S191" i="55"/>
  <c r="T191" i="55"/>
  <c r="U191" i="55"/>
  <c r="V191" i="55"/>
  <c r="W191" i="55"/>
  <c r="S192" i="55"/>
  <c r="T192" i="55"/>
  <c r="U192" i="55"/>
  <c r="V192" i="55"/>
  <c r="W192" i="55"/>
  <c r="W193" i="55"/>
  <c r="W194" i="55"/>
  <c r="F9" i="70"/>
  <c r="X52" i="55"/>
  <c r="Y52" i="55"/>
  <c r="Z52" i="55"/>
  <c r="AA52" i="55"/>
  <c r="AB52" i="55"/>
  <c r="X53" i="55"/>
  <c r="Y53" i="55"/>
  <c r="Z53" i="55"/>
  <c r="AA53" i="55"/>
  <c r="AB53" i="55"/>
  <c r="X54" i="55"/>
  <c r="Y54" i="55"/>
  <c r="Z54" i="55"/>
  <c r="AA54" i="55"/>
  <c r="AB54" i="55"/>
  <c r="X55" i="55"/>
  <c r="Y55" i="55"/>
  <c r="Z55" i="55"/>
  <c r="AA55" i="55"/>
  <c r="AB55" i="55"/>
  <c r="X56" i="55"/>
  <c r="Y56" i="55"/>
  <c r="Z56" i="55"/>
  <c r="AA56" i="55"/>
  <c r="AB56" i="55"/>
  <c r="AB57" i="55"/>
  <c r="AB58" i="55"/>
  <c r="X59" i="55"/>
  <c r="Y59" i="55"/>
  <c r="Z59" i="55"/>
  <c r="AA59" i="55"/>
  <c r="AB59" i="55"/>
  <c r="X60" i="55"/>
  <c r="Y60" i="55"/>
  <c r="Z60" i="55"/>
  <c r="AA60" i="55"/>
  <c r="AB60" i="55"/>
  <c r="X61" i="55"/>
  <c r="Y61" i="55"/>
  <c r="Z61" i="55"/>
  <c r="AA61" i="55"/>
  <c r="AB61" i="55"/>
  <c r="X62" i="55"/>
  <c r="Y62" i="55"/>
  <c r="Z62" i="55"/>
  <c r="AA62" i="55"/>
  <c r="AB62" i="55"/>
  <c r="X63" i="55"/>
  <c r="Y63" i="55"/>
  <c r="Z63" i="55"/>
  <c r="AA63" i="55"/>
  <c r="AB63" i="55"/>
  <c r="AB64" i="55"/>
  <c r="AB65" i="55"/>
  <c r="V167" i="55"/>
  <c r="X181" i="55"/>
  <c r="W167" i="55"/>
  <c r="X167" i="55"/>
  <c r="Y181" i="55"/>
  <c r="Y167" i="55"/>
  <c r="Z181" i="55"/>
  <c r="Z167" i="55"/>
  <c r="AA181" i="55"/>
  <c r="AB181" i="55"/>
  <c r="V168" i="55"/>
  <c r="X182" i="55"/>
  <c r="W168" i="55"/>
  <c r="X168" i="55"/>
  <c r="Y182" i="55"/>
  <c r="Y168" i="55"/>
  <c r="Z182" i="55"/>
  <c r="Z168" i="55"/>
  <c r="AA182" i="55"/>
  <c r="AB182" i="55"/>
  <c r="V169" i="55"/>
  <c r="X183" i="55"/>
  <c r="W169" i="55"/>
  <c r="X169" i="55"/>
  <c r="Y183" i="55"/>
  <c r="Y169" i="55"/>
  <c r="Z183" i="55"/>
  <c r="Z169" i="55"/>
  <c r="AA183" i="55"/>
  <c r="AB183" i="55"/>
  <c r="V170" i="55"/>
  <c r="X184" i="55"/>
  <c r="W170" i="55"/>
  <c r="X170" i="55"/>
  <c r="Y184" i="55"/>
  <c r="Y170" i="55"/>
  <c r="Z184" i="55"/>
  <c r="Z170" i="55"/>
  <c r="AA184" i="55"/>
  <c r="AB184" i="55"/>
  <c r="V171" i="55"/>
  <c r="X185" i="55"/>
  <c r="W171" i="55"/>
  <c r="X171" i="55"/>
  <c r="Y185" i="55"/>
  <c r="Y171" i="55"/>
  <c r="Z185" i="55"/>
  <c r="Z171" i="55"/>
  <c r="AA185" i="55"/>
  <c r="AB185" i="55"/>
  <c r="AB186" i="55"/>
  <c r="AB187" i="55"/>
  <c r="X188" i="55"/>
  <c r="Y188" i="55"/>
  <c r="Z188" i="55"/>
  <c r="AA188" i="55"/>
  <c r="AB188" i="55"/>
  <c r="X189" i="55"/>
  <c r="Y189" i="55"/>
  <c r="Z189" i="55"/>
  <c r="AA189" i="55"/>
  <c r="AB189" i="55"/>
  <c r="X190" i="55"/>
  <c r="Y190" i="55"/>
  <c r="Z190" i="55"/>
  <c r="AA190" i="55"/>
  <c r="AB190" i="55"/>
  <c r="X191" i="55"/>
  <c r="Y191" i="55"/>
  <c r="Z191" i="55"/>
  <c r="AA191" i="55"/>
  <c r="AB191" i="55"/>
  <c r="X192" i="55"/>
  <c r="Y192" i="55"/>
  <c r="Z192" i="55"/>
  <c r="AA192" i="55"/>
  <c r="AB192" i="55"/>
  <c r="AB193" i="55"/>
  <c r="AB194" i="55"/>
  <c r="G9" i="70"/>
  <c r="H9" i="70"/>
  <c r="C10" i="70"/>
  <c r="D10" i="70"/>
  <c r="E10" i="70"/>
  <c r="F10" i="70"/>
  <c r="G10" i="70"/>
  <c r="H10" i="70"/>
  <c r="D152" i="21"/>
  <c r="E152" i="21"/>
  <c r="E153" i="21"/>
  <c r="D155" i="21"/>
  <c r="E155" i="21"/>
  <c r="E157" i="21"/>
  <c r="E158" i="21"/>
  <c r="E160" i="21"/>
  <c r="D161" i="21"/>
  <c r="E161" i="21"/>
  <c r="D90" i="55"/>
  <c r="F152" i="21"/>
  <c r="F153" i="21"/>
  <c r="F155" i="21"/>
  <c r="F157" i="21"/>
  <c r="F158" i="21"/>
  <c r="F160" i="21"/>
  <c r="F161" i="21"/>
  <c r="E90" i="55"/>
  <c r="G152" i="21"/>
  <c r="G153" i="21"/>
  <c r="G155" i="21"/>
  <c r="G157" i="21"/>
  <c r="G158" i="21"/>
  <c r="G160" i="21"/>
  <c r="G161" i="21"/>
  <c r="F90" i="55"/>
  <c r="H152" i="21"/>
  <c r="H153" i="21"/>
  <c r="H155" i="21"/>
  <c r="H157" i="21"/>
  <c r="H158" i="21"/>
  <c r="H160" i="21"/>
  <c r="H161" i="21"/>
  <c r="G90" i="55"/>
  <c r="H90" i="55"/>
  <c r="D299" i="21"/>
  <c r="E299" i="21"/>
  <c r="D300" i="21"/>
  <c r="E300" i="21"/>
  <c r="D301" i="21"/>
  <c r="E301" i="21"/>
  <c r="E302" i="21"/>
  <c r="D304" i="21"/>
  <c r="E304" i="21"/>
  <c r="E306" i="21"/>
  <c r="E307" i="21"/>
  <c r="E308" i="21"/>
  <c r="E309" i="21"/>
  <c r="E311" i="21"/>
  <c r="D312" i="21"/>
  <c r="E312" i="21"/>
  <c r="D91" i="55"/>
  <c r="F299" i="21"/>
  <c r="F300" i="21"/>
  <c r="F301" i="21"/>
  <c r="F302" i="21"/>
  <c r="F304" i="21"/>
  <c r="F306" i="21"/>
  <c r="F307" i="21"/>
  <c r="F308" i="21"/>
  <c r="F309" i="21"/>
  <c r="F311" i="21"/>
  <c r="F312" i="21"/>
  <c r="E91" i="55"/>
  <c r="G299" i="21"/>
  <c r="G300" i="21"/>
  <c r="G301" i="21"/>
  <c r="G302" i="21"/>
  <c r="G304" i="21"/>
  <c r="G306" i="21"/>
  <c r="G307" i="21"/>
  <c r="G308" i="21"/>
  <c r="G309" i="21"/>
  <c r="G311" i="21"/>
  <c r="G312" i="21"/>
  <c r="F91" i="55"/>
  <c r="H299" i="21"/>
  <c r="H300" i="21"/>
  <c r="H301" i="21"/>
  <c r="H302" i="21"/>
  <c r="H304" i="21"/>
  <c r="H306" i="21"/>
  <c r="H307" i="21"/>
  <c r="H308" i="21"/>
  <c r="H309" i="21"/>
  <c r="H311" i="21"/>
  <c r="H312" i="21"/>
  <c r="G91" i="55"/>
  <c r="H91" i="55"/>
  <c r="H92" i="55"/>
  <c r="D5" i="21"/>
  <c r="E5" i="21"/>
  <c r="E6" i="21"/>
  <c r="D8" i="21"/>
  <c r="E8" i="21"/>
  <c r="E10" i="21"/>
  <c r="E11" i="21"/>
  <c r="E13" i="21"/>
  <c r="D14" i="21"/>
  <c r="E14" i="21"/>
  <c r="D89" i="55"/>
  <c r="F5" i="21"/>
  <c r="F6" i="21"/>
  <c r="F8" i="21"/>
  <c r="F10" i="21"/>
  <c r="F11" i="21"/>
  <c r="F13" i="21"/>
  <c r="F14" i="21"/>
  <c r="E89" i="55"/>
  <c r="G5" i="21"/>
  <c r="G6" i="21"/>
  <c r="G8" i="21"/>
  <c r="G10" i="21"/>
  <c r="G11" i="21"/>
  <c r="G13" i="21"/>
  <c r="G14" i="21"/>
  <c r="F89" i="55"/>
  <c r="H5" i="21"/>
  <c r="H6" i="21"/>
  <c r="H8" i="21"/>
  <c r="H10" i="21"/>
  <c r="H11" i="21"/>
  <c r="H13" i="21"/>
  <c r="H14" i="21"/>
  <c r="G89" i="55"/>
  <c r="H89" i="55"/>
  <c r="H93" i="55"/>
  <c r="D209" i="55"/>
  <c r="E209" i="55"/>
  <c r="F209" i="55"/>
  <c r="G209" i="55"/>
  <c r="H209" i="55"/>
  <c r="D210" i="55"/>
  <c r="E210" i="55"/>
  <c r="F210" i="55"/>
  <c r="G210" i="55"/>
  <c r="H210" i="55"/>
  <c r="D211" i="55"/>
  <c r="E211" i="55"/>
  <c r="F211" i="55"/>
  <c r="G211" i="55"/>
  <c r="H211" i="55"/>
  <c r="D212" i="55"/>
  <c r="E212" i="55"/>
  <c r="F212" i="55"/>
  <c r="G212" i="55"/>
  <c r="H212" i="55"/>
  <c r="D213" i="55"/>
  <c r="E213" i="55"/>
  <c r="F213" i="55"/>
  <c r="G213" i="55"/>
  <c r="H213" i="55"/>
  <c r="H214" i="55"/>
  <c r="H215" i="55"/>
  <c r="E25" i="51"/>
  <c r="D163" i="21"/>
  <c r="E163" i="21"/>
  <c r="L168" i="21"/>
  <c r="L176" i="21"/>
  <c r="E165" i="21"/>
  <c r="D95" i="55"/>
  <c r="K168" i="21"/>
  <c r="L169" i="21"/>
  <c r="M168" i="21"/>
  <c r="F163" i="21"/>
  <c r="M170" i="21"/>
  <c r="M176" i="21"/>
  <c r="F165" i="21"/>
  <c r="E95" i="55"/>
  <c r="M169" i="21"/>
  <c r="N168" i="21"/>
  <c r="K170" i="21"/>
  <c r="L171" i="21"/>
  <c r="M171" i="21"/>
  <c r="N170" i="21"/>
  <c r="G163" i="21"/>
  <c r="N172" i="21"/>
  <c r="N176" i="21"/>
  <c r="G165" i="21"/>
  <c r="F95" i="55"/>
  <c r="N169" i="21"/>
  <c r="O168" i="21"/>
  <c r="N171" i="21"/>
  <c r="O170" i="21"/>
  <c r="K172" i="21"/>
  <c r="L173" i="21"/>
  <c r="M173" i="21"/>
  <c r="N173" i="21"/>
  <c r="O172" i="21"/>
  <c r="H163" i="21"/>
  <c r="O174" i="21"/>
  <c r="O176" i="21"/>
  <c r="H165" i="21"/>
  <c r="G95" i="55"/>
  <c r="H95" i="55"/>
  <c r="D314" i="21"/>
  <c r="E314" i="21"/>
  <c r="L319" i="21"/>
  <c r="L327" i="21"/>
  <c r="E316" i="21"/>
  <c r="D96" i="55"/>
  <c r="K319" i="21"/>
  <c r="L320" i="21"/>
  <c r="M319" i="21"/>
  <c r="F314" i="21"/>
  <c r="M321" i="21"/>
  <c r="M327" i="21"/>
  <c r="F316" i="21"/>
  <c r="E96" i="55"/>
  <c r="M320" i="21"/>
  <c r="N319" i="21"/>
  <c r="K321" i="21"/>
  <c r="L322" i="21"/>
  <c r="M322" i="21"/>
  <c r="N321" i="21"/>
  <c r="G314" i="21"/>
  <c r="N323" i="21"/>
  <c r="N327" i="21"/>
  <c r="G316" i="21"/>
  <c r="F96" i="55"/>
  <c r="N320" i="21"/>
  <c r="O319" i="21"/>
  <c r="N322" i="21"/>
  <c r="O321" i="21"/>
  <c r="K323" i="21"/>
  <c r="L324" i="21"/>
  <c r="M324" i="21"/>
  <c r="N324" i="21"/>
  <c r="O323" i="21"/>
  <c r="H314" i="21"/>
  <c r="O325" i="21"/>
  <c r="O327" i="21"/>
  <c r="H316" i="21"/>
  <c r="G96" i="55"/>
  <c r="H96" i="55"/>
  <c r="H97" i="55"/>
  <c r="D16" i="21"/>
  <c r="E16" i="21"/>
  <c r="L21" i="21"/>
  <c r="L29" i="21"/>
  <c r="E18" i="21"/>
  <c r="D94" i="55"/>
  <c r="K21" i="21"/>
  <c r="L22" i="21"/>
  <c r="M21" i="21"/>
  <c r="F16" i="21"/>
  <c r="M23" i="21"/>
  <c r="M29" i="21"/>
  <c r="F18" i="21"/>
  <c r="E94" i="55"/>
  <c r="M22" i="21"/>
  <c r="N21" i="21"/>
  <c r="K23" i="21"/>
  <c r="L24" i="21"/>
  <c r="M24" i="21"/>
  <c r="N23" i="21"/>
  <c r="G16" i="21"/>
  <c r="N25" i="21"/>
  <c r="N29" i="21"/>
  <c r="G18" i="21"/>
  <c r="F94" i="55"/>
  <c r="N22" i="21"/>
  <c r="O21" i="21"/>
  <c r="N24" i="21"/>
  <c r="O23" i="21"/>
  <c r="K25" i="21"/>
  <c r="L26" i="21"/>
  <c r="M26" i="21"/>
  <c r="N26" i="21"/>
  <c r="O25" i="21"/>
  <c r="H16" i="21"/>
  <c r="O27" i="21"/>
  <c r="O29" i="21"/>
  <c r="H18" i="21"/>
  <c r="G94" i="55"/>
  <c r="H94" i="55"/>
  <c r="H98" i="55"/>
  <c r="D214" i="55"/>
  <c r="D215" i="55"/>
  <c r="D216" i="55"/>
  <c r="D217" i="55"/>
  <c r="E214" i="55"/>
  <c r="E215" i="55"/>
  <c r="E216" i="55"/>
  <c r="E217" i="55"/>
  <c r="F214" i="55"/>
  <c r="F215" i="55"/>
  <c r="F216" i="55"/>
  <c r="F217" i="55"/>
  <c r="G214" i="55"/>
  <c r="G215" i="55"/>
  <c r="G216" i="55"/>
  <c r="G217" i="55"/>
  <c r="H217" i="55"/>
  <c r="E26" i="51"/>
  <c r="C11" i="70"/>
  <c r="D181" i="21"/>
  <c r="E181" i="21"/>
  <c r="E182" i="21"/>
  <c r="D184" i="21"/>
  <c r="E184" i="21"/>
  <c r="E186" i="21"/>
  <c r="E187" i="21"/>
  <c r="E189" i="21"/>
  <c r="D190" i="21"/>
  <c r="E190" i="21"/>
  <c r="I90" i="55"/>
  <c r="F181" i="21"/>
  <c r="F182" i="21"/>
  <c r="F184" i="21"/>
  <c r="F186" i="21"/>
  <c r="F187" i="21"/>
  <c r="F189" i="21"/>
  <c r="F190" i="21"/>
  <c r="J90" i="55"/>
  <c r="G181" i="21"/>
  <c r="G182" i="21"/>
  <c r="G184" i="21"/>
  <c r="G186" i="21"/>
  <c r="G187" i="21"/>
  <c r="G189" i="21"/>
  <c r="G190" i="21"/>
  <c r="K90" i="55"/>
  <c r="H181" i="21"/>
  <c r="H182" i="21"/>
  <c r="H184" i="21"/>
  <c r="H186" i="21"/>
  <c r="H187" i="21"/>
  <c r="H189" i="21"/>
  <c r="H190" i="21"/>
  <c r="L90" i="55"/>
  <c r="M90" i="55"/>
  <c r="D332" i="21"/>
  <c r="E332" i="21"/>
  <c r="E333" i="21"/>
  <c r="E334" i="21"/>
  <c r="E335" i="21"/>
  <c r="D337" i="21"/>
  <c r="E337" i="21"/>
  <c r="E339" i="21"/>
  <c r="E340" i="21"/>
  <c r="E341" i="21"/>
  <c r="E342" i="21"/>
  <c r="E344" i="21"/>
  <c r="D345" i="21"/>
  <c r="E345" i="21"/>
  <c r="I91" i="55"/>
  <c r="F332" i="21"/>
  <c r="F333" i="21"/>
  <c r="F334" i="21"/>
  <c r="F335" i="21"/>
  <c r="F337" i="21"/>
  <c r="F339" i="21"/>
  <c r="F340" i="21"/>
  <c r="F341" i="21"/>
  <c r="F342" i="21"/>
  <c r="F344" i="21"/>
  <c r="F345" i="21"/>
  <c r="J91" i="55"/>
  <c r="G332" i="21"/>
  <c r="G333" i="21"/>
  <c r="G334" i="21"/>
  <c r="G335" i="21"/>
  <c r="G337" i="21"/>
  <c r="G339" i="21"/>
  <c r="G340" i="21"/>
  <c r="G341" i="21"/>
  <c r="G342" i="21"/>
  <c r="G344" i="21"/>
  <c r="G345" i="21"/>
  <c r="K91" i="55"/>
  <c r="H332" i="21"/>
  <c r="H333" i="21"/>
  <c r="H334" i="21"/>
  <c r="H335" i="21"/>
  <c r="H337" i="21"/>
  <c r="H339" i="21"/>
  <c r="H340" i="21"/>
  <c r="H341" i="21"/>
  <c r="H342" i="21"/>
  <c r="H344" i="21"/>
  <c r="H345" i="21"/>
  <c r="L91" i="55"/>
  <c r="M91" i="55"/>
  <c r="M92" i="55"/>
  <c r="D34" i="21"/>
  <c r="E34" i="21"/>
  <c r="E35" i="21"/>
  <c r="D37" i="21"/>
  <c r="E37" i="21"/>
  <c r="E39" i="21"/>
  <c r="E40" i="21"/>
  <c r="E42" i="21"/>
  <c r="D43" i="21"/>
  <c r="E43" i="21"/>
  <c r="I89" i="55"/>
  <c r="F34" i="21"/>
  <c r="F35" i="21"/>
  <c r="F37" i="21"/>
  <c r="F39" i="21"/>
  <c r="F40" i="21"/>
  <c r="F42" i="21"/>
  <c r="F43" i="21"/>
  <c r="J89" i="55"/>
  <c r="G34" i="21"/>
  <c r="G35" i="21"/>
  <c r="G37" i="21"/>
  <c r="G39" i="21"/>
  <c r="G40" i="21"/>
  <c r="G42" i="21"/>
  <c r="G43" i="21"/>
  <c r="K89" i="55"/>
  <c r="H34" i="21"/>
  <c r="H35" i="21"/>
  <c r="H37" i="21"/>
  <c r="H39" i="21"/>
  <c r="H40" i="21"/>
  <c r="H42" i="21"/>
  <c r="H43" i="21"/>
  <c r="L89" i="55"/>
  <c r="M89" i="55"/>
  <c r="M93" i="55"/>
  <c r="I209" i="55"/>
  <c r="J209" i="55"/>
  <c r="K209" i="55"/>
  <c r="L209" i="55"/>
  <c r="M209" i="55"/>
  <c r="I210" i="55"/>
  <c r="J210" i="55"/>
  <c r="K210" i="55"/>
  <c r="L210" i="55"/>
  <c r="M210" i="55"/>
  <c r="I211" i="55"/>
  <c r="J211" i="55"/>
  <c r="K211" i="55"/>
  <c r="L211" i="55"/>
  <c r="M211" i="55"/>
  <c r="I212" i="55"/>
  <c r="J212" i="55"/>
  <c r="K212" i="55"/>
  <c r="L212" i="55"/>
  <c r="M212" i="55"/>
  <c r="I213" i="55"/>
  <c r="J213" i="55"/>
  <c r="K213" i="55"/>
  <c r="L213" i="55"/>
  <c r="M213" i="55"/>
  <c r="M214" i="55"/>
  <c r="M215" i="55"/>
  <c r="G25" i="51"/>
  <c r="D192" i="21"/>
  <c r="E192" i="21"/>
  <c r="L197" i="21"/>
  <c r="L205" i="21"/>
  <c r="O169" i="21"/>
  <c r="P168" i="21"/>
  <c r="P169" i="21"/>
  <c r="Q168" i="21"/>
  <c r="O171" i="21"/>
  <c r="P170" i="21"/>
  <c r="P171" i="21"/>
  <c r="Q170" i="21"/>
  <c r="O173" i="21"/>
  <c r="P172" i="21"/>
  <c r="P173" i="21"/>
  <c r="Q172" i="21"/>
  <c r="K174" i="21"/>
  <c r="L175" i="21"/>
  <c r="M175" i="21"/>
  <c r="N175" i="21"/>
  <c r="O175" i="21"/>
  <c r="P174" i="21"/>
  <c r="P175" i="21"/>
  <c r="Q174" i="21"/>
  <c r="Q176" i="21"/>
  <c r="E194" i="21"/>
  <c r="I95" i="55"/>
  <c r="K197" i="21"/>
  <c r="L198" i="21"/>
  <c r="M197" i="21"/>
  <c r="F192" i="21"/>
  <c r="M199" i="21"/>
  <c r="M205" i="21"/>
  <c r="Q169" i="21"/>
  <c r="R168" i="21"/>
  <c r="Q171" i="21"/>
  <c r="R170" i="21"/>
  <c r="Q173" i="21"/>
  <c r="R172" i="21"/>
  <c r="Q175" i="21"/>
  <c r="R174" i="21"/>
  <c r="R176" i="21"/>
  <c r="F194" i="21"/>
  <c r="J95" i="55"/>
  <c r="M198" i="21"/>
  <c r="N197" i="21"/>
  <c r="K199" i="21"/>
  <c r="L200" i="21"/>
  <c r="M200" i="21"/>
  <c r="N199" i="21"/>
  <c r="G192" i="21"/>
  <c r="N201" i="21"/>
  <c r="N205" i="21"/>
  <c r="R169" i="21"/>
  <c r="S168" i="21"/>
  <c r="R171" i="21"/>
  <c r="S170" i="21"/>
  <c r="R173" i="21"/>
  <c r="S172" i="21"/>
  <c r="R175" i="21"/>
  <c r="S174" i="21"/>
  <c r="S176" i="21"/>
  <c r="G194" i="21"/>
  <c r="K95" i="55"/>
  <c r="N198" i="21"/>
  <c r="O197" i="21"/>
  <c r="N200" i="21"/>
  <c r="O199" i="21"/>
  <c r="K201" i="21"/>
  <c r="L202" i="21"/>
  <c r="M202" i="21"/>
  <c r="N202" i="21"/>
  <c r="O201" i="21"/>
  <c r="H192" i="21"/>
  <c r="O203" i="21"/>
  <c r="O205" i="21"/>
  <c r="S169" i="21"/>
  <c r="T168" i="21"/>
  <c r="S171" i="21"/>
  <c r="T170" i="21"/>
  <c r="S173" i="21"/>
  <c r="T172" i="21"/>
  <c r="S175" i="21"/>
  <c r="T174" i="21"/>
  <c r="T176" i="21"/>
  <c r="H194" i="21"/>
  <c r="L95" i="55"/>
  <c r="M95" i="55"/>
  <c r="D347" i="21"/>
  <c r="E347" i="21"/>
  <c r="L352" i="21"/>
  <c r="L360" i="21"/>
  <c r="O320" i="21"/>
  <c r="P319" i="21"/>
  <c r="P320" i="21"/>
  <c r="Q319" i="21"/>
  <c r="O322" i="21"/>
  <c r="P321" i="21"/>
  <c r="P322" i="21"/>
  <c r="Q321" i="21"/>
  <c r="O324" i="21"/>
  <c r="P323" i="21"/>
  <c r="P324" i="21"/>
  <c r="Q323" i="21"/>
  <c r="K325" i="21"/>
  <c r="L326" i="21"/>
  <c r="M326" i="21"/>
  <c r="N326" i="21"/>
  <c r="O326" i="21"/>
  <c r="P325" i="21"/>
  <c r="P326" i="21"/>
  <c r="Q325" i="21"/>
  <c r="Q327" i="21"/>
  <c r="E349" i="21"/>
  <c r="I96" i="55"/>
  <c r="K352" i="21"/>
  <c r="L353" i="21"/>
  <c r="M352" i="21"/>
  <c r="F347" i="21"/>
  <c r="M354" i="21"/>
  <c r="M360" i="21"/>
  <c r="Q320" i="21"/>
  <c r="R319" i="21"/>
  <c r="Q322" i="21"/>
  <c r="R321" i="21"/>
  <c r="Q324" i="21"/>
  <c r="R323" i="21"/>
  <c r="Q326" i="21"/>
  <c r="R325" i="21"/>
  <c r="R327" i="21"/>
  <c r="F349" i="21"/>
  <c r="J96" i="55"/>
  <c r="M353" i="21"/>
  <c r="N352" i="21"/>
  <c r="K354" i="21"/>
  <c r="L355" i="21"/>
  <c r="M355" i="21"/>
  <c r="N354" i="21"/>
  <c r="G347" i="21"/>
  <c r="N356" i="21"/>
  <c r="N360" i="21"/>
  <c r="R320" i="21"/>
  <c r="S319" i="21"/>
  <c r="R322" i="21"/>
  <c r="S321" i="21"/>
  <c r="R324" i="21"/>
  <c r="S323" i="21"/>
  <c r="R326" i="21"/>
  <c r="S325" i="21"/>
  <c r="S327" i="21"/>
  <c r="G349" i="21"/>
  <c r="K96" i="55"/>
  <c r="N353" i="21"/>
  <c r="O352" i="21"/>
  <c r="N355" i="21"/>
  <c r="O354" i="21"/>
  <c r="K356" i="21"/>
  <c r="L357" i="21"/>
  <c r="M357" i="21"/>
  <c r="N357" i="21"/>
  <c r="O356" i="21"/>
  <c r="H347" i="21"/>
  <c r="O358" i="21"/>
  <c r="O360" i="21"/>
  <c r="S320" i="21"/>
  <c r="T319" i="21"/>
  <c r="S322" i="21"/>
  <c r="T321" i="21"/>
  <c r="S324" i="21"/>
  <c r="T323" i="21"/>
  <c r="S326" i="21"/>
  <c r="T325" i="21"/>
  <c r="T327" i="21"/>
  <c r="H349" i="21"/>
  <c r="L96" i="55"/>
  <c r="M96" i="55"/>
  <c r="M97" i="55"/>
  <c r="D45" i="21"/>
  <c r="E45" i="21"/>
  <c r="L50" i="21"/>
  <c r="L58" i="21"/>
  <c r="O22" i="21"/>
  <c r="P21" i="21"/>
  <c r="P22" i="21"/>
  <c r="Q21" i="21"/>
  <c r="O24" i="21"/>
  <c r="P23" i="21"/>
  <c r="P24" i="21"/>
  <c r="Q23" i="21"/>
  <c r="O26" i="21"/>
  <c r="P25" i="21"/>
  <c r="P26" i="21"/>
  <c r="Q25" i="21"/>
  <c r="K27" i="21"/>
  <c r="L28" i="21"/>
  <c r="M28" i="21"/>
  <c r="N28" i="21"/>
  <c r="O28" i="21"/>
  <c r="P27" i="21"/>
  <c r="P28" i="21"/>
  <c r="Q27" i="21"/>
  <c r="Q29" i="21"/>
  <c r="E47" i="21"/>
  <c r="I94" i="55"/>
  <c r="K50" i="21"/>
  <c r="L51" i="21"/>
  <c r="M50" i="21"/>
  <c r="F45" i="21"/>
  <c r="M52" i="21"/>
  <c r="M58" i="21"/>
  <c r="Q22" i="21"/>
  <c r="R21" i="21"/>
  <c r="Q24" i="21"/>
  <c r="R23" i="21"/>
  <c r="Q26" i="21"/>
  <c r="R25" i="21"/>
  <c r="Q28" i="21"/>
  <c r="R27" i="21"/>
  <c r="R29" i="21"/>
  <c r="F47" i="21"/>
  <c r="J94" i="55"/>
  <c r="M51" i="21"/>
  <c r="N50" i="21"/>
  <c r="K52" i="21"/>
  <c r="L53" i="21"/>
  <c r="M53" i="21"/>
  <c r="N52" i="21"/>
  <c r="G45" i="21"/>
  <c r="N54" i="21"/>
  <c r="N58" i="21"/>
  <c r="R22" i="21"/>
  <c r="S21" i="21"/>
  <c r="R24" i="21"/>
  <c r="S23" i="21"/>
  <c r="R26" i="21"/>
  <c r="S25" i="21"/>
  <c r="R28" i="21"/>
  <c r="S27" i="21"/>
  <c r="S29" i="21"/>
  <c r="G47" i="21"/>
  <c r="K94" i="55"/>
  <c r="N51" i="21"/>
  <c r="O50" i="21"/>
  <c r="N53" i="21"/>
  <c r="O52" i="21"/>
  <c r="K54" i="21"/>
  <c r="L55" i="21"/>
  <c r="M55" i="21"/>
  <c r="N55" i="21"/>
  <c r="O54" i="21"/>
  <c r="H45" i="21"/>
  <c r="O56" i="21"/>
  <c r="O58" i="21"/>
  <c r="S22" i="21"/>
  <c r="T21" i="21"/>
  <c r="S24" i="21"/>
  <c r="T23" i="21"/>
  <c r="S26" i="21"/>
  <c r="T25" i="21"/>
  <c r="S28" i="21"/>
  <c r="T27" i="21"/>
  <c r="T29" i="21"/>
  <c r="H47" i="21"/>
  <c r="L94" i="55"/>
  <c r="M94" i="55"/>
  <c r="M98" i="55"/>
  <c r="I214" i="55"/>
  <c r="I215" i="55"/>
  <c r="I216" i="55"/>
  <c r="I217" i="55"/>
  <c r="J214" i="55"/>
  <c r="J215" i="55"/>
  <c r="J216" i="55"/>
  <c r="J217" i="55"/>
  <c r="K214" i="55"/>
  <c r="K215" i="55"/>
  <c r="K216" i="55"/>
  <c r="K217" i="55"/>
  <c r="L214" i="55"/>
  <c r="L215" i="55"/>
  <c r="L216" i="55"/>
  <c r="L217" i="55"/>
  <c r="M217" i="55"/>
  <c r="G26" i="51"/>
  <c r="D11" i="70"/>
  <c r="D210" i="21"/>
  <c r="E210" i="21"/>
  <c r="E211" i="21"/>
  <c r="D213" i="21"/>
  <c r="E213" i="21"/>
  <c r="E215" i="21"/>
  <c r="E216" i="21"/>
  <c r="E218" i="21"/>
  <c r="D219" i="21"/>
  <c r="E219" i="21"/>
  <c r="N90" i="55"/>
  <c r="F210" i="21"/>
  <c r="F211" i="21"/>
  <c r="F213" i="21"/>
  <c r="F215" i="21"/>
  <c r="F216" i="21"/>
  <c r="F218" i="21"/>
  <c r="F219" i="21"/>
  <c r="O90" i="55"/>
  <c r="G210" i="21"/>
  <c r="G211" i="21"/>
  <c r="G213" i="21"/>
  <c r="G215" i="21"/>
  <c r="G216" i="21"/>
  <c r="G218" i="21"/>
  <c r="G219" i="21"/>
  <c r="P90" i="55"/>
  <c r="H210" i="21"/>
  <c r="H211" i="21"/>
  <c r="H213" i="21"/>
  <c r="H215" i="21"/>
  <c r="H216" i="21"/>
  <c r="H218" i="21"/>
  <c r="H219" i="21"/>
  <c r="Q90" i="55"/>
  <c r="R90" i="55"/>
  <c r="D365" i="21"/>
  <c r="E365" i="21"/>
  <c r="D366" i="21"/>
  <c r="E366" i="21"/>
  <c r="D367" i="21"/>
  <c r="E367" i="21"/>
  <c r="E368" i="21"/>
  <c r="D370" i="21"/>
  <c r="E370" i="21"/>
  <c r="E372" i="21"/>
  <c r="E373" i="21"/>
  <c r="E374" i="21"/>
  <c r="E375" i="21"/>
  <c r="E377" i="21"/>
  <c r="D378" i="21"/>
  <c r="E378" i="21"/>
  <c r="N91" i="55"/>
  <c r="F365" i="21"/>
  <c r="F366" i="21"/>
  <c r="F367" i="21"/>
  <c r="F368" i="21"/>
  <c r="F370" i="21"/>
  <c r="F372" i="21"/>
  <c r="F373" i="21"/>
  <c r="F374" i="21"/>
  <c r="F375" i="21"/>
  <c r="F377" i="21"/>
  <c r="F378" i="21"/>
  <c r="O91" i="55"/>
  <c r="G365" i="21"/>
  <c r="G366" i="21"/>
  <c r="G367" i="21"/>
  <c r="G368" i="21"/>
  <c r="G370" i="21"/>
  <c r="G372" i="21"/>
  <c r="G373" i="21"/>
  <c r="G374" i="21"/>
  <c r="G375" i="21"/>
  <c r="G377" i="21"/>
  <c r="G378" i="21"/>
  <c r="P91" i="55"/>
  <c r="H365" i="21"/>
  <c r="H366" i="21"/>
  <c r="H367" i="21"/>
  <c r="H368" i="21"/>
  <c r="H370" i="21"/>
  <c r="H372" i="21"/>
  <c r="H373" i="21"/>
  <c r="H374" i="21"/>
  <c r="H375" i="21"/>
  <c r="H377" i="21"/>
  <c r="H378" i="21"/>
  <c r="Q91" i="55"/>
  <c r="R91" i="55"/>
  <c r="R92" i="55"/>
  <c r="D63" i="21"/>
  <c r="E63" i="21"/>
  <c r="E64" i="21"/>
  <c r="D66" i="21"/>
  <c r="E66" i="21"/>
  <c r="E68" i="21"/>
  <c r="E69" i="21"/>
  <c r="E71" i="21"/>
  <c r="D72" i="21"/>
  <c r="E72" i="21"/>
  <c r="N89" i="55"/>
  <c r="F63" i="21"/>
  <c r="F64" i="21"/>
  <c r="F66" i="21"/>
  <c r="F68" i="21"/>
  <c r="F69" i="21"/>
  <c r="F71" i="21"/>
  <c r="F72" i="21"/>
  <c r="O89" i="55"/>
  <c r="G63" i="21"/>
  <c r="G64" i="21"/>
  <c r="G66" i="21"/>
  <c r="G68" i="21"/>
  <c r="G69" i="21"/>
  <c r="G71" i="21"/>
  <c r="G72" i="21"/>
  <c r="P89" i="55"/>
  <c r="H63" i="21"/>
  <c r="H64" i="21"/>
  <c r="H66" i="21"/>
  <c r="H68" i="21"/>
  <c r="H69" i="21"/>
  <c r="H71" i="21"/>
  <c r="H72" i="21"/>
  <c r="Q89" i="55"/>
  <c r="R89" i="55"/>
  <c r="R93" i="55"/>
  <c r="N209" i="55"/>
  <c r="O209" i="55"/>
  <c r="P209" i="55"/>
  <c r="Q209" i="55"/>
  <c r="R209" i="55"/>
  <c r="N210" i="55"/>
  <c r="O210" i="55"/>
  <c r="P210" i="55"/>
  <c r="Q210" i="55"/>
  <c r="R210" i="55"/>
  <c r="N211" i="55"/>
  <c r="O211" i="55"/>
  <c r="P211" i="55"/>
  <c r="Q211" i="55"/>
  <c r="R211" i="55"/>
  <c r="N212" i="55"/>
  <c r="O212" i="55"/>
  <c r="P212" i="55"/>
  <c r="Q212" i="55"/>
  <c r="R212" i="55"/>
  <c r="N213" i="55"/>
  <c r="O213" i="55"/>
  <c r="P213" i="55"/>
  <c r="Q213" i="55"/>
  <c r="R213" i="55"/>
  <c r="R214" i="55"/>
  <c r="R215" i="55"/>
  <c r="I25" i="51"/>
  <c r="D221" i="21"/>
  <c r="E221" i="21"/>
  <c r="L226" i="21"/>
  <c r="L234" i="21"/>
  <c r="O198" i="21"/>
  <c r="P197" i="21"/>
  <c r="P198" i="21"/>
  <c r="Q197" i="21"/>
  <c r="O200" i="21"/>
  <c r="P199" i="21"/>
  <c r="P200" i="21"/>
  <c r="Q199" i="21"/>
  <c r="O202" i="21"/>
  <c r="P201" i="21"/>
  <c r="P202" i="21"/>
  <c r="Q201" i="21"/>
  <c r="K203" i="21"/>
  <c r="L204" i="21"/>
  <c r="M204" i="21"/>
  <c r="N204" i="21"/>
  <c r="O204" i="21"/>
  <c r="P203" i="21"/>
  <c r="P204" i="21"/>
  <c r="Q203" i="21"/>
  <c r="Q205" i="21"/>
  <c r="E223" i="21"/>
  <c r="N95" i="55"/>
  <c r="K226" i="21"/>
  <c r="L227" i="21"/>
  <c r="M226" i="21"/>
  <c r="F221" i="21"/>
  <c r="M228" i="21"/>
  <c r="M234" i="21"/>
  <c r="T169" i="21"/>
  <c r="U168" i="21"/>
  <c r="T171" i="21"/>
  <c r="U170" i="21"/>
  <c r="T173" i="21"/>
  <c r="U172" i="21"/>
  <c r="T175" i="21"/>
  <c r="U174" i="21"/>
  <c r="U176" i="21"/>
  <c r="Q198" i="21"/>
  <c r="R197" i="21"/>
  <c r="Q200" i="21"/>
  <c r="R199" i="21"/>
  <c r="Q202" i="21"/>
  <c r="R201" i="21"/>
  <c r="Q204" i="21"/>
  <c r="R203" i="21"/>
  <c r="R205" i="21"/>
  <c r="F223" i="21"/>
  <c r="O95" i="55"/>
  <c r="M227" i="21"/>
  <c r="N226" i="21"/>
  <c r="K228" i="21"/>
  <c r="L229" i="21"/>
  <c r="M229" i="21"/>
  <c r="N228" i="21"/>
  <c r="G221" i="21"/>
  <c r="N230" i="21"/>
  <c r="N234" i="21"/>
  <c r="U169" i="21"/>
  <c r="V168" i="21"/>
  <c r="U171" i="21"/>
  <c r="V170" i="21"/>
  <c r="U173" i="21"/>
  <c r="V172" i="21"/>
  <c r="U175" i="21"/>
  <c r="V174" i="21"/>
  <c r="V176" i="21"/>
  <c r="R198" i="21"/>
  <c r="S197" i="21"/>
  <c r="R200" i="21"/>
  <c r="S199" i="21"/>
  <c r="R202" i="21"/>
  <c r="S201" i="21"/>
  <c r="R204" i="21"/>
  <c r="S203" i="21"/>
  <c r="S205" i="21"/>
  <c r="G223" i="21"/>
  <c r="P95" i="55"/>
  <c r="N227" i="21"/>
  <c r="O226" i="21"/>
  <c r="N229" i="21"/>
  <c r="O228" i="21"/>
  <c r="K230" i="21"/>
  <c r="L231" i="21"/>
  <c r="M231" i="21"/>
  <c r="N231" i="21"/>
  <c r="O230" i="21"/>
  <c r="H221" i="21"/>
  <c r="O232" i="21"/>
  <c r="O234" i="21"/>
  <c r="V169" i="21"/>
  <c r="W168" i="21"/>
  <c r="V171" i="21"/>
  <c r="W170" i="21"/>
  <c r="V173" i="21"/>
  <c r="W172" i="21"/>
  <c r="V175" i="21"/>
  <c r="W174" i="21"/>
  <c r="W176" i="21"/>
  <c r="S198" i="21"/>
  <c r="T197" i="21"/>
  <c r="S200" i="21"/>
  <c r="T199" i="21"/>
  <c r="S202" i="21"/>
  <c r="T201" i="21"/>
  <c r="S204" i="21"/>
  <c r="T203" i="21"/>
  <c r="T205" i="21"/>
  <c r="H223" i="21"/>
  <c r="Q95" i="55"/>
  <c r="R95" i="55"/>
  <c r="D380" i="21"/>
  <c r="E380" i="21"/>
  <c r="L385" i="21"/>
  <c r="L393" i="21"/>
  <c r="O353" i="21"/>
  <c r="P352" i="21"/>
  <c r="P353" i="21"/>
  <c r="Q352" i="21"/>
  <c r="O355" i="21"/>
  <c r="P354" i="21"/>
  <c r="P355" i="21"/>
  <c r="Q354" i="21"/>
  <c r="O357" i="21"/>
  <c r="P356" i="21"/>
  <c r="P357" i="21"/>
  <c r="Q356" i="21"/>
  <c r="K358" i="21"/>
  <c r="L359" i="21"/>
  <c r="M359" i="21"/>
  <c r="N359" i="21"/>
  <c r="O359" i="21"/>
  <c r="P358" i="21"/>
  <c r="P359" i="21"/>
  <c r="Q358" i="21"/>
  <c r="Q360" i="21"/>
  <c r="E382" i="21"/>
  <c r="N96" i="55"/>
  <c r="K385" i="21"/>
  <c r="L386" i="21"/>
  <c r="M385" i="21"/>
  <c r="F380" i="21"/>
  <c r="M387" i="21"/>
  <c r="M393" i="21"/>
  <c r="T320" i="21"/>
  <c r="U319" i="21"/>
  <c r="T322" i="21"/>
  <c r="U321" i="21"/>
  <c r="T324" i="21"/>
  <c r="U323" i="21"/>
  <c r="T326" i="21"/>
  <c r="U325" i="21"/>
  <c r="U327" i="21"/>
  <c r="Q353" i="21"/>
  <c r="R352" i="21"/>
  <c r="Q355" i="21"/>
  <c r="R354" i="21"/>
  <c r="Q357" i="21"/>
  <c r="R356" i="21"/>
  <c r="Q359" i="21"/>
  <c r="R358" i="21"/>
  <c r="R360" i="21"/>
  <c r="F382" i="21"/>
  <c r="O96" i="55"/>
  <c r="M386" i="21"/>
  <c r="N385" i="21"/>
  <c r="K387" i="21"/>
  <c r="L388" i="21"/>
  <c r="M388" i="21"/>
  <c r="N387" i="21"/>
  <c r="G380" i="21"/>
  <c r="N389" i="21"/>
  <c r="N393" i="21"/>
  <c r="U320" i="21"/>
  <c r="V319" i="21"/>
  <c r="U322" i="21"/>
  <c r="V321" i="21"/>
  <c r="U324" i="21"/>
  <c r="V323" i="21"/>
  <c r="U326" i="21"/>
  <c r="V325" i="21"/>
  <c r="V327" i="21"/>
  <c r="R353" i="21"/>
  <c r="S352" i="21"/>
  <c r="R355" i="21"/>
  <c r="S354" i="21"/>
  <c r="R357" i="21"/>
  <c r="S356" i="21"/>
  <c r="R359" i="21"/>
  <c r="S358" i="21"/>
  <c r="S360" i="21"/>
  <c r="G382" i="21"/>
  <c r="P96" i="55"/>
  <c r="N386" i="21"/>
  <c r="O385" i="21"/>
  <c r="N388" i="21"/>
  <c r="O387" i="21"/>
  <c r="K389" i="21"/>
  <c r="L390" i="21"/>
  <c r="M390" i="21"/>
  <c r="N390" i="21"/>
  <c r="O389" i="21"/>
  <c r="H380" i="21"/>
  <c r="O391" i="21"/>
  <c r="O393" i="21"/>
  <c r="V320" i="21"/>
  <c r="W319" i="21"/>
  <c r="V322" i="21"/>
  <c r="W321" i="21"/>
  <c r="V324" i="21"/>
  <c r="W323" i="21"/>
  <c r="V326" i="21"/>
  <c r="W325" i="21"/>
  <c r="W327" i="21"/>
  <c r="S353" i="21"/>
  <c r="T352" i="21"/>
  <c r="S355" i="21"/>
  <c r="T354" i="21"/>
  <c r="S357" i="21"/>
  <c r="T356" i="21"/>
  <c r="S359" i="21"/>
  <c r="T358" i="21"/>
  <c r="T360" i="21"/>
  <c r="H382" i="21"/>
  <c r="Q96" i="55"/>
  <c r="R96" i="55"/>
  <c r="R97" i="55"/>
  <c r="D74" i="21"/>
  <c r="E74" i="21"/>
  <c r="L79" i="21"/>
  <c r="L87" i="21"/>
  <c r="O51" i="21"/>
  <c r="P50" i="21"/>
  <c r="P51" i="21"/>
  <c r="Q50" i="21"/>
  <c r="O53" i="21"/>
  <c r="P52" i="21"/>
  <c r="P53" i="21"/>
  <c r="Q52" i="21"/>
  <c r="O55" i="21"/>
  <c r="P54" i="21"/>
  <c r="P55" i="21"/>
  <c r="Q54" i="21"/>
  <c r="K56" i="21"/>
  <c r="L57" i="21"/>
  <c r="M57" i="21"/>
  <c r="N57" i="21"/>
  <c r="O57" i="21"/>
  <c r="P56" i="21"/>
  <c r="P57" i="21"/>
  <c r="Q56" i="21"/>
  <c r="Q58" i="21"/>
  <c r="E76" i="21"/>
  <c r="N94" i="55"/>
  <c r="K79" i="21"/>
  <c r="L80" i="21"/>
  <c r="M79" i="21"/>
  <c r="F74" i="21"/>
  <c r="M81" i="21"/>
  <c r="M87" i="21"/>
  <c r="T22" i="21"/>
  <c r="U21" i="21"/>
  <c r="T24" i="21"/>
  <c r="U23" i="21"/>
  <c r="T26" i="21"/>
  <c r="U25" i="21"/>
  <c r="T28" i="21"/>
  <c r="U27" i="21"/>
  <c r="U29" i="21"/>
  <c r="Q51" i="21"/>
  <c r="R50" i="21"/>
  <c r="Q53" i="21"/>
  <c r="R52" i="21"/>
  <c r="Q55" i="21"/>
  <c r="R54" i="21"/>
  <c r="Q57" i="21"/>
  <c r="R56" i="21"/>
  <c r="R58" i="21"/>
  <c r="F76" i="21"/>
  <c r="O94" i="55"/>
  <c r="M80" i="21"/>
  <c r="N79" i="21"/>
  <c r="K81" i="21"/>
  <c r="L82" i="21"/>
  <c r="M82" i="21"/>
  <c r="N81" i="21"/>
  <c r="G74" i="21"/>
  <c r="N83" i="21"/>
  <c r="N87" i="21"/>
  <c r="U22" i="21"/>
  <c r="V21" i="21"/>
  <c r="U24" i="21"/>
  <c r="V23" i="21"/>
  <c r="U26" i="21"/>
  <c r="V25" i="21"/>
  <c r="U28" i="21"/>
  <c r="V27" i="21"/>
  <c r="V29" i="21"/>
  <c r="R51" i="21"/>
  <c r="S50" i="21"/>
  <c r="R53" i="21"/>
  <c r="S52" i="21"/>
  <c r="R55" i="21"/>
  <c r="S54" i="21"/>
  <c r="R57" i="21"/>
  <c r="S56" i="21"/>
  <c r="S58" i="21"/>
  <c r="G76" i="21"/>
  <c r="P94" i="55"/>
  <c r="N80" i="21"/>
  <c r="O79" i="21"/>
  <c r="N82" i="21"/>
  <c r="O81" i="21"/>
  <c r="K83" i="21"/>
  <c r="L84" i="21"/>
  <c r="M84" i="21"/>
  <c r="N84" i="21"/>
  <c r="O83" i="21"/>
  <c r="H74" i="21"/>
  <c r="O85" i="21"/>
  <c r="O87" i="21"/>
  <c r="V22" i="21"/>
  <c r="W21" i="21"/>
  <c r="V24" i="21"/>
  <c r="W23" i="21"/>
  <c r="V26" i="21"/>
  <c r="W25" i="21"/>
  <c r="V28" i="21"/>
  <c r="W27" i="21"/>
  <c r="W29" i="21"/>
  <c r="S51" i="21"/>
  <c r="T50" i="21"/>
  <c r="S53" i="21"/>
  <c r="T52" i="21"/>
  <c r="S55" i="21"/>
  <c r="T54" i="21"/>
  <c r="S57" i="21"/>
  <c r="T56" i="21"/>
  <c r="T58" i="21"/>
  <c r="H76" i="21"/>
  <c r="Q94" i="55"/>
  <c r="R94" i="55"/>
  <c r="R98" i="55"/>
  <c r="N214" i="55"/>
  <c r="N215" i="55"/>
  <c r="N216" i="55"/>
  <c r="N217" i="55"/>
  <c r="O214" i="55"/>
  <c r="O215" i="55"/>
  <c r="O216" i="55"/>
  <c r="O217" i="55"/>
  <c r="P214" i="55"/>
  <c r="P215" i="55"/>
  <c r="P216" i="55"/>
  <c r="P217" i="55"/>
  <c r="Q214" i="55"/>
  <c r="Q215" i="55"/>
  <c r="Q216" i="55"/>
  <c r="Q217" i="55"/>
  <c r="R217" i="55"/>
  <c r="I26" i="51"/>
  <c r="E11" i="70"/>
  <c r="D239" i="21"/>
  <c r="E239" i="21"/>
  <c r="E240" i="21"/>
  <c r="D242" i="21"/>
  <c r="E242" i="21"/>
  <c r="E244" i="21"/>
  <c r="E245" i="21"/>
  <c r="E247" i="21"/>
  <c r="D248" i="21"/>
  <c r="E248" i="21"/>
  <c r="S90" i="55"/>
  <c r="F239" i="21"/>
  <c r="F240" i="21"/>
  <c r="F242" i="21"/>
  <c r="F244" i="21"/>
  <c r="F245" i="21"/>
  <c r="F247" i="21"/>
  <c r="F248" i="21"/>
  <c r="T90" i="55"/>
  <c r="G239" i="21"/>
  <c r="G240" i="21"/>
  <c r="G242" i="21"/>
  <c r="G244" i="21"/>
  <c r="G245" i="21"/>
  <c r="G247" i="21"/>
  <c r="G248" i="21"/>
  <c r="U90" i="55"/>
  <c r="H239" i="21"/>
  <c r="H240" i="21"/>
  <c r="H242" i="21"/>
  <c r="H244" i="21"/>
  <c r="H245" i="21"/>
  <c r="H247" i="21"/>
  <c r="H248" i="21"/>
  <c r="V90" i="55"/>
  <c r="W90" i="55"/>
  <c r="D398" i="21"/>
  <c r="E398" i="21"/>
  <c r="D399" i="21"/>
  <c r="E399" i="21"/>
  <c r="D400" i="21"/>
  <c r="E400" i="21"/>
  <c r="E401" i="21"/>
  <c r="D403" i="21"/>
  <c r="E403" i="21"/>
  <c r="E405" i="21"/>
  <c r="E406" i="21"/>
  <c r="E407" i="21"/>
  <c r="E408" i="21"/>
  <c r="E410" i="21"/>
  <c r="D411" i="21"/>
  <c r="E411" i="21"/>
  <c r="S91" i="55"/>
  <c r="F398" i="21"/>
  <c r="F399" i="21"/>
  <c r="F400" i="21"/>
  <c r="F401" i="21"/>
  <c r="F403" i="21"/>
  <c r="F405" i="21"/>
  <c r="F406" i="21"/>
  <c r="F407" i="21"/>
  <c r="F408" i="21"/>
  <c r="F410" i="21"/>
  <c r="F411" i="21"/>
  <c r="T91" i="55"/>
  <c r="G398" i="21"/>
  <c r="G399" i="21"/>
  <c r="G400" i="21"/>
  <c r="G401" i="21"/>
  <c r="G403" i="21"/>
  <c r="G405" i="21"/>
  <c r="G406" i="21"/>
  <c r="G407" i="21"/>
  <c r="G408" i="21"/>
  <c r="G410" i="21"/>
  <c r="G411" i="21"/>
  <c r="U91" i="55"/>
  <c r="H398" i="21"/>
  <c r="H399" i="21"/>
  <c r="H400" i="21"/>
  <c r="H401" i="21"/>
  <c r="H403" i="21"/>
  <c r="H405" i="21"/>
  <c r="H406" i="21"/>
  <c r="H407" i="21"/>
  <c r="H408" i="21"/>
  <c r="H410" i="21"/>
  <c r="H411" i="21"/>
  <c r="V91" i="55"/>
  <c r="W91" i="55"/>
  <c r="W92" i="55"/>
  <c r="D92" i="21"/>
  <c r="E92" i="21"/>
  <c r="E93" i="21"/>
  <c r="D95" i="21"/>
  <c r="E95" i="21"/>
  <c r="E97" i="21"/>
  <c r="E98" i="21"/>
  <c r="E100" i="21"/>
  <c r="D101" i="21"/>
  <c r="E101" i="21"/>
  <c r="S89" i="55"/>
  <c r="F92" i="21"/>
  <c r="F93" i="21"/>
  <c r="F95" i="21"/>
  <c r="F97" i="21"/>
  <c r="F98" i="21"/>
  <c r="F100" i="21"/>
  <c r="F101" i="21"/>
  <c r="T89" i="55"/>
  <c r="G92" i="21"/>
  <c r="G93" i="21"/>
  <c r="G95" i="21"/>
  <c r="G97" i="21"/>
  <c r="G98" i="21"/>
  <c r="G100" i="21"/>
  <c r="G101" i="21"/>
  <c r="U89" i="55"/>
  <c r="H92" i="21"/>
  <c r="H93" i="21"/>
  <c r="H95" i="21"/>
  <c r="H97" i="21"/>
  <c r="H98" i="21"/>
  <c r="H100" i="21"/>
  <c r="H101" i="21"/>
  <c r="V89" i="55"/>
  <c r="W89" i="55"/>
  <c r="W93" i="55"/>
  <c r="S209" i="55"/>
  <c r="T209" i="55"/>
  <c r="U209" i="55"/>
  <c r="V209" i="55"/>
  <c r="W209" i="55"/>
  <c r="S210" i="55"/>
  <c r="T210" i="55"/>
  <c r="U210" i="55"/>
  <c r="V210" i="55"/>
  <c r="W210" i="55"/>
  <c r="S211" i="55"/>
  <c r="T211" i="55"/>
  <c r="U211" i="55"/>
  <c r="V211" i="55"/>
  <c r="W211" i="55"/>
  <c r="S212" i="55"/>
  <c r="T212" i="55"/>
  <c r="U212" i="55"/>
  <c r="V212" i="55"/>
  <c r="W212" i="55"/>
  <c r="S213" i="55"/>
  <c r="T213" i="55"/>
  <c r="U213" i="55"/>
  <c r="V213" i="55"/>
  <c r="W213" i="55"/>
  <c r="W214" i="55"/>
  <c r="W215" i="55"/>
  <c r="K25" i="51"/>
  <c r="D250" i="21"/>
  <c r="E250" i="21"/>
  <c r="L255" i="21"/>
  <c r="L263" i="21"/>
  <c r="O227" i="21"/>
  <c r="P226" i="21"/>
  <c r="O229" i="21"/>
  <c r="P228" i="21"/>
  <c r="O231" i="21"/>
  <c r="P230" i="21"/>
  <c r="K232" i="21"/>
  <c r="L233" i="21"/>
  <c r="M233" i="21"/>
  <c r="N233" i="21"/>
  <c r="O233" i="21"/>
  <c r="P232" i="21"/>
  <c r="P234" i="21"/>
  <c r="W169" i="21"/>
  <c r="X168" i="21"/>
  <c r="W171" i="21"/>
  <c r="X170" i="21"/>
  <c r="W173" i="21"/>
  <c r="X172" i="21"/>
  <c r="W175" i="21"/>
  <c r="X174" i="21"/>
  <c r="X176" i="21"/>
  <c r="E252" i="21"/>
  <c r="S95" i="55"/>
  <c r="K255" i="21"/>
  <c r="L256" i="21"/>
  <c r="M255" i="21"/>
  <c r="F250" i="21"/>
  <c r="M257" i="21"/>
  <c r="M263" i="21"/>
  <c r="P227" i="21"/>
  <c r="Q226" i="21"/>
  <c r="P229" i="21"/>
  <c r="Q228" i="21"/>
  <c r="P231" i="21"/>
  <c r="Q230" i="21"/>
  <c r="P233" i="21"/>
  <c r="Q232" i="21"/>
  <c r="Q234" i="21"/>
  <c r="T198" i="21"/>
  <c r="U197" i="21"/>
  <c r="T200" i="21"/>
  <c r="U199" i="21"/>
  <c r="T202" i="21"/>
  <c r="U201" i="21"/>
  <c r="T204" i="21"/>
  <c r="U203" i="21"/>
  <c r="U205" i="21"/>
  <c r="X169" i="21"/>
  <c r="Y168" i="21"/>
  <c r="X171" i="21"/>
  <c r="Y170" i="21"/>
  <c r="X173" i="21"/>
  <c r="Y172" i="21"/>
  <c r="X175" i="21"/>
  <c r="Y174" i="21"/>
  <c r="Y176" i="21"/>
  <c r="F252" i="21"/>
  <c r="T95" i="55"/>
  <c r="M256" i="21"/>
  <c r="N255" i="21"/>
  <c r="K257" i="21"/>
  <c r="L258" i="21"/>
  <c r="M258" i="21"/>
  <c r="N257" i="21"/>
  <c r="G250" i="21"/>
  <c r="N259" i="21"/>
  <c r="N263" i="21"/>
  <c r="Q227" i="21"/>
  <c r="R226" i="21"/>
  <c r="Q229" i="21"/>
  <c r="R228" i="21"/>
  <c r="Q231" i="21"/>
  <c r="R230" i="21"/>
  <c r="Q233" i="21"/>
  <c r="R232" i="21"/>
  <c r="R234" i="21"/>
  <c r="U198" i="21"/>
  <c r="V197" i="21"/>
  <c r="U200" i="21"/>
  <c r="V199" i="21"/>
  <c r="U202" i="21"/>
  <c r="V201" i="21"/>
  <c r="U204" i="21"/>
  <c r="V203" i="21"/>
  <c r="V205" i="21"/>
  <c r="Y169" i="21"/>
  <c r="Z168" i="21"/>
  <c r="Y171" i="21"/>
  <c r="Z170" i="21"/>
  <c r="Y173" i="21"/>
  <c r="Z172" i="21"/>
  <c r="Y175" i="21"/>
  <c r="Z174" i="21"/>
  <c r="Z176" i="21"/>
  <c r="G252" i="21"/>
  <c r="U95" i="55"/>
  <c r="N256" i="21"/>
  <c r="O255" i="21"/>
  <c r="N258" i="21"/>
  <c r="O257" i="21"/>
  <c r="K259" i="21"/>
  <c r="L260" i="21"/>
  <c r="M260" i="21"/>
  <c r="N260" i="21"/>
  <c r="O259" i="21"/>
  <c r="H250" i="21"/>
  <c r="O261" i="21"/>
  <c r="O263" i="21"/>
  <c r="R227" i="21"/>
  <c r="S226" i="21"/>
  <c r="R229" i="21"/>
  <c r="S228" i="21"/>
  <c r="R231" i="21"/>
  <c r="S230" i="21"/>
  <c r="R233" i="21"/>
  <c r="S232" i="21"/>
  <c r="S234" i="21"/>
  <c r="V198" i="21"/>
  <c r="W197" i="21"/>
  <c r="V200" i="21"/>
  <c r="W199" i="21"/>
  <c r="V202" i="21"/>
  <c r="W201" i="21"/>
  <c r="V204" i="21"/>
  <c r="W203" i="21"/>
  <c r="W205" i="21"/>
  <c r="Z169" i="21"/>
  <c r="AA168" i="21"/>
  <c r="Z171" i="21"/>
  <c r="AA170" i="21"/>
  <c r="Z173" i="21"/>
  <c r="AA172" i="21"/>
  <c r="Z175" i="21"/>
  <c r="AA174" i="21"/>
  <c r="AA176" i="21"/>
  <c r="H252" i="21"/>
  <c r="V95" i="55"/>
  <c r="W95" i="55"/>
  <c r="D413" i="21"/>
  <c r="E413" i="21"/>
  <c r="L418" i="21"/>
  <c r="L426" i="21"/>
  <c r="O386" i="21"/>
  <c r="P385" i="21"/>
  <c r="O388" i="21"/>
  <c r="P387" i="21"/>
  <c r="O390" i="21"/>
  <c r="P389" i="21"/>
  <c r="K391" i="21"/>
  <c r="L392" i="21"/>
  <c r="M392" i="21"/>
  <c r="N392" i="21"/>
  <c r="O392" i="21"/>
  <c r="P391" i="21"/>
  <c r="P393" i="21"/>
  <c r="W320" i="21"/>
  <c r="X319" i="21"/>
  <c r="W322" i="21"/>
  <c r="X321" i="21"/>
  <c r="W324" i="21"/>
  <c r="X323" i="21"/>
  <c r="W326" i="21"/>
  <c r="X325" i="21"/>
  <c r="X327" i="21"/>
  <c r="E415" i="21"/>
  <c r="S96" i="55"/>
  <c r="K418" i="21"/>
  <c r="L419" i="21"/>
  <c r="M418" i="21"/>
  <c r="F413" i="21"/>
  <c r="M420" i="21"/>
  <c r="M426" i="21"/>
  <c r="P386" i="21"/>
  <c r="Q385" i="21"/>
  <c r="P388" i="21"/>
  <c r="Q387" i="21"/>
  <c r="P390" i="21"/>
  <c r="Q389" i="21"/>
  <c r="P392" i="21"/>
  <c r="Q391" i="21"/>
  <c r="Q393" i="21"/>
  <c r="T353" i="21"/>
  <c r="U352" i="21"/>
  <c r="T355" i="21"/>
  <c r="U354" i="21"/>
  <c r="T357" i="21"/>
  <c r="U356" i="21"/>
  <c r="T359" i="21"/>
  <c r="U358" i="21"/>
  <c r="U360" i="21"/>
  <c r="X320" i="21"/>
  <c r="Y319" i="21"/>
  <c r="X322" i="21"/>
  <c r="Y321" i="21"/>
  <c r="X324" i="21"/>
  <c r="Y323" i="21"/>
  <c r="X326" i="21"/>
  <c r="Y325" i="21"/>
  <c r="Y327" i="21"/>
  <c r="F415" i="21"/>
  <c r="T96" i="55"/>
  <c r="M419" i="21"/>
  <c r="N418" i="21"/>
  <c r="K420" i="21"/>
  <c r="L421" i="21"/>
  <c r="M421" i="21"/>
  <c r="N420" i="21"/>
  <c r="G413" i="21"/>
  <c r="N422" i="21"/>
  <c r="N426" i="21"/>
  <c r="Q386" i="21"/>
  <c r="R385" i="21"/>
  <c r="Q388" i="21"/>
  <c r="R387" i="21"/>
  <c r="Q390" i="21"/>
  <c r="R389" i="21"/>
  <c r="Q392" i="21"/>
  <c r="R391" i="21"/>
  <c r="R393" i="21"/>
  <c r="U353" i="21"/>
  <c r="V352" i="21"/>
  <c r="U355" i="21"/>
  <c r="V354" i="21"/>
  <c r="U357" i="21"/>
  <c r="V356" i="21"/>
  <c r="U359" i="21"/>
  <c r="V358" i="21"/>
  <c r="V360" i="21"/>
  <c r="Y320" i="21"/>
  <c r="Z319" i="21"/>
  <c r="Y322" i="21"/>
  <c r="Z321" i="21"/>
  <c r="Y324" i="21"/>
  <c r="Z323" i="21"/>
  <c r="Y326" i="21"/>
  <c r="Z325" i="21"/>
  <c r="Z327" i="21"/>
  <c r="G415" i="21"/>
  <c r="U96" i="55"/>
  <c r="N419" i="21"/>
  <c r="O418" i="21"/>
  <c r="N421" i="21"/>
  <c r="O420" i="21"/>
  <c r="K422" i="21"/>
  <c r="L423" i="21"/>
  <c r="M423" i="21"/>
  <c r="N423" i="21"/>
  <c r="O422" i="21"/>
  <c r="H413" i="21"/>
  <c r="O424" i="21"/>
  <c r="O426" i="21"/>
  <c r="R386" i="21"/>
  <c r="S385" i="21"/>
  <c r="R388" i="21"/>
  <c r="S387" i="21"/>
  <c r="R390" i="21"/>
  <c r="S389" i="21"/>
  <c r="R392" i="21"/>
  <c r="S391" i="21"/>
  <c r="S393" i="21"/>
  <c r="V353" i="21"/>
  <c r="W352" i="21"/>
  <c r="V355" i="21"/>
  <c r="W354" i="21"/>
  <c r="V357" i="21"/>
  <c r="W356" i="21"/>
  <c r="V359" i="21"/>
  <c r="W358" i="21"/>
  <c r="W360" i="21"/>
  <c r="Z320" i="21"/>
  <c r="AA319" i="21"/>
  <c r="Z322" i="21"/>
  <c r="AA321" i="21"/>
  <c r="Z324" i="21"/>
  <c r="AA323" i="21"/>
  <c r="Z326" i="21"/>
  <c r="AA325" i="21"/>
  <c r="AA327" i="21"/>
  <c r="H415" i="21"/>
  <c r="V96" i="55"/>
  <c r="W96" i="55"/>
  <c r="W97" i="55"/>
  <c r="D103" i="21"/>
  <c r="E103" i="21"/>
  <c r="L108" i="21"/>
  <c r="L116" i="21"/>
  <c r="O80" i="21"/>
  <c r="P79" i="21"/>
  <c r="O82" i="21"/>
  <c r="P81" i="21"/>
  <c r="O84" i="21"/>
  <c r="P83" i="21"/>
  <c r="K85" i="21"/>
  <c r="L86" i="21"/>
  <c r="M86" i="21"/>
  <c r="N86" i="21"/>
  <c r="O86" i="21"/>
  <c r="P85" i="21"/>
  <c r="P87" i="21"/>
  <c r="W22" i="21"/>
  <c r="X21" i="21"/>
  <c r="W24" i="21"/>
  <c r="X23" i="21"/>
  <c r="W26" i="21"/>
  <c r="X25" i="21"/>
  <c r="W28" i="21"/>
  <c r="X27" i="21"/>
  <c r="X29" i="21"/>
  <c r="E105" i="21"/>
  <c r="S94" i="55"/>
  <c r="K108" i="21"/>
  <c r="L109" i="21"/>
  <c r="M108" i="21"/>
  <c r="F103" i="21"/>
  <c r="M110" i="21"/>
  <c r="M116" i="21"/>
  <c r="P80" i="21"/>
  <c r="Q79" i="21"/>
  <c r="P82" i="21"/>
  <c r="Q81" i="21"/>
  <c r="P84" i="21"/>
  <c r="Q83" i="21"/>
  <c r="P86" i="21"/>
  <c r="Q85" i="21"/>
  <c r="Q87" i="21"/>
  <c r="T51" i="21"/>
  <c r="U50" i="21"/>
  <c r="T53" i="21"/>
  <c r="U52" i="21"/>
  <c r="T55" i="21"/>
  <c r="U54" i="21"/>
  <c r="T57" i="21"/>
  <c r="U56" i="21"/>
  <c r="U58" i="21"/>
  <c r="X22" i="21"/>
  <c r="Y21" i="21"/>
  <c r="X24" i="21"/>
  <c r="Y23" i="21"/>
  <c r="X26" i="21"/>
  <c r="Y25" i="21"/>
  <c r="X28" i="21"/>
  <c r="Y27" i="21"/>
  <c r="Y29" i="21"/>
  <c r="F105" i="21"/>
  <c r="T94" i="55"/>
  <c r="M109" i="21"/>
  <c r="N108" i="21"/>
  <c r="K110" i="21"/>
  <c r="L111" i="21"/>
  <c r="M111" i="21"/>
  <c r="N110" i="21"/>
  <c r="G103" i="21"/>
  <c r="N112" i="21"/>
  <c r="N116" i="21"/>
  <c r="Q80" i="21"/>
  <c r="R79" i="21"/>
  <c r="Q82" i="21"/>
  <c r="R81" i="21"/>
  <c r="Q84" i="21"/>
  <c r="R83" i="21"/>
  <c r="Q86" i="21"/>
  <c r="R85" i="21"/>
  <c r="R87" i="21"/>
  <c r="U51" i="21"/>
  <c r="V50" i="21"/>
  <c r="U53" i="21"/>
  <c r="V52" i="21"/>
  <c r="U55" i="21"/>
  <c r="V54" i="21"/>
  <c r="U57" i="21"/>
  <c r="V56" i="21"/>
  <c r="V58" i="21"/>
  <c r="Y22" i="21"/>
  <c r="Z21" i="21"/>
  <c r="Y24" i="21"/>
  <c r="Z23" i="21"/>
  <c r="Y26" i="21"/>
  <c r="Z25" i="21"/>
  <c r="Y28" i="21"/>
  <c r="Z27" i="21"/>
  <c r="Z29" i="21"/>
  <c r="G105" i="21"/>
  <c r="U94" i="55"/>
  <c r="N109" i="21"/>
  <c r="O108" i="21"/>
  <c r="N111" i="21"/>
  <c r="O110" i="21"/>
  <c r="K112" i="21"/>
  <c r="L113" i="21"/>
  <c r="M113" i="21"/>
  <c r="N113" i="21"/>
  <c r="O112" i="21"/>
  <c r="H103" i="21"/>
  <c r="O114" i="21"/>
  <c r="O116" i="21"/>
  <c r="R80" i="21"/>
  <c r="S79" i="21"/>
  <c r="R82" i="21"/>
  <c r="S81" i="21"/>
  <c r="R84" i="21"/>
  <c r="S83" i="21"/>
  <c r="R86" i="21"/>
  <c r="S85" i="21"/>
  <c r="S87" i="21"/>
  <c r="V51" i="21"/>
  <c r="W50" i="21"/>
  <c r="V53" i="21"/>
  <c r="W52" i="21"/>
  <c r="V55" i="21"/>
  <c r="W54" i="21"/>
  <c r="V57" i="21"/>
  <c r="W56" i="21"/>
  <c r="W58" i="21"/>
  <c r="Z22" i="21"/>
  <c r="AA21" i="21"/>
  <c r="Z24" i="21"/>
  <c r="AA23" i="21"/>
  <c r="Z26" i="21"/>
  <c r="AA25" i="21"/>
  <c r="Z28" i="21"/>
  <c r="AA27" i="21"/>
  <c r="AA29" i="21"/>
  <c r="H105" i="21"/>
  <c r="V94" i="55"/>
  <c r="W94" i="55"/>
  <c r="W98" i="55"/>
  <c r="S214" i="55"/>
  <c r="S215" i="55"/>
  <c r="S216" i="55"/>
  <c r="S217" i="55"/>
  <c r="T214" i="55"/>
  <c r="T215" i="55"/>
  <c r="T216" i="55"/>
  <c r="T217" i="55"/>
  <c r="U214" i="55"/>
  <c r="U215" i="55"/>
  <c r="U216" i="55"/>
  <c r="U217" i="55"/>
  <c r="V214" i="55"/>
  <c r="V215" i="55"/>
  <c r="V216" i="55"/>
  <c r="V217" i="55"/>
  <c r="W217" i="55"/>
  <c r="K26" i="51"/>
  <c r="F11" i="70"/>
  <c r="D268" i="21"/>
  <c r="E268" i="21"/>
  <c r="E269" i="21"/>
  <c r="D271" i="21"/>
  <c r="E271" i="21"/>
  <c r="E273" i="21"/>
  <c r="E274" i="21"/>
  <c r="E276" i="21"/>
  <c r="D277" i="21"/>
  <c r="E277" i="21"/>
  <c r="X90" i="55"/>
  <c r="F268" i="21"/>
  <c r="F269" i="21"/>
  <c r="F271" i="21"/>
  <c r="F273" i="21"/>
  <c r="F274" i="21"/>
  <c r="F276" i="21"/>
  <c r="F277" i="21"/>
  <c r="Y90" i="55"/>
  <c r="G268" i="21"/>
  <c r="G269" i="21"/>
  <c r="G271" i="21"/>
  <c r="G273" i="21"/>
  <c r="G274" i="21"/>
  <c r="G276" i="21"/>
  <c r="G277" i="21"/>
  <c r="Z90" i="55"/>
  <c r="H268" i="21"/>
  <c r="H269" i="21"/>
  <c r="H271" i="21"/>
  <c r="H273" i="21"/>
  <c r="H274" i="21"/>
  <c r="H276" i="21"/>
  <c r="H277" i="21"/>
  <c r="AA90" i="55"/>
  <c r="AB90" i="55"/>
  <c r="D431" i="21"/>
  <c r="E431" i="21"/>
  <c r="D432" i="21"/>
  <c r="E432" i="21"/>
  <c r="D433" i="21"/>
  <c r="E433" i="21"/>
  <c r="E434" i="21"/>
  <c r="D436" i="21"/>
  <c r="E436" i="21"/>
  <c r="E438" i="21"/>
  <c r="E439" i="21"/>
  <c r="E440" i="21"/>
  <c r="E441" i="21"/>
  <c r="E443" i="21"/>
  <c r="D444" i="21"/>
  <c r="E444" i="21"/>
  <c r="X91" i="55"/>
  <c r="F431" i="21"/>
  <c r="F432" i="21"/>
  <c r="F433" i="21"/>
  <c r="F434" i="21"/>
  <c r="F436" i="21"/>
  <c r="F438" i="21"/>
  <c r="F439" i="21"/>
  <c r="F440" i="21"/>
  <c r="F441" i="21"/>
  <c r="F443" i="21"/>
  <c r="F444" i="21"/>
  <c r="Y91" i="55"/>
  <c r="G431" i="21"/>
  <c r="G432" i="21"/>
  <c r="G433" i="21"/>
  <c r="G434" i="21"/>
  <c r="G436" i="21"/>
  <c r="G438" i="21"/>
  <c r="G439" i="21"/>
  <c r="G440" i="21"/>
  <c r="G441" i="21"/>
  <c r="G443" i="21"/>
  <c r="G444" i="21"/>
  <c r="Z91" i="55"/>
  <c r="H431" i="21"/>
  <c r="H432" i="21"/>
  <c r="H433" i="21"/>
  <c r="H434" i="21"/>
  <c r="H436" i="21"/>
  <c r="H438" i="21"/>
  <c r="H439" i="21"/>
  <c r="H440" i="21"/>
  <c r="H441" i="21"/>
  <c r="H443" i="21"/>
  <c r="H444" i="21"/>
  <c r="AA91" i="55"/>
  <c r="AB91" i="55"/>
  <c r="AB92" i="55"/>
  <c r="D121" i="21"/>
  <c r="E121" i="21"/>
  <c r="E122" i="21"/>
  <c r="D124" i="21"/>
  <c r="E124" i="21"/>
  <c r="E126" i="21"/>
  <c r="E127" i="21"/>
  <c r="E129" i="21"/>
  <c r="D130" i="21"/>
  <c r="E130" i="21"/>
  <c r="X89" i="55"/>
  <c r="F121" i="21"/>
  <c r="F122" i="21"/>
  <c r="F124" i="21"/>
  <c r="F126" i="21"/>
  <c r="F127" i="21"/>
  <c r="F129" i="21"/>
  <c r="F130" i="21"/>
  <c r="Y89" i="55"/>
  <c r="G121" i="21"/>
  <c r="G122" i="21"/>
  <c r="G124" i="21"/>
  <c r="G126" i="21"/>
  <c r="G127" i="21"/>
  <c r="G129" i="21"/>
  <c r="G130" i="21"/>
  <c r="Z89" i="55"/>
  <c r="H121" i="21"/>
  <c r="H122" i="21"/>
  <c r="H124" i="21"/>
  <c r="H126" i="21"/>
  <c r="H127" i="21"/>
  <c r="H129" i="21"/>
  <c r="H130" i="21"/>
  <c r="AA89" i="55"/>
  <c r="AB89" i="55"/>
  <c r="AB93" i="55"/>
  <c r="X209" i="55"/>
  <c r="Y209" i="55"/>
  <c r="Z209" i="55"/>
  <c r="AA209" i="55"/>
  <c r="AB209" i="55"/>
  <c r="X210" i="55"/>
  <c r="Y210" i="55"/>
  <c r="Z210" i="55"/>
  <c r="AA210" i="55"/>
  <c r="AB210" i="55"/>
  <c r="X211" i="55"/>
  <c r="Y211" i="55"/>
  <c r="Z211" i="55"/>
  <c r="AA211" i="55"/>
  <c r="AB211" i="55"/>
  <c r="X212" i="55"/>
  <c r="Y212" i="55"/>
  <c r="Z212" i="55"/>
  <c r="AA212" i="55"/>
  <c r="AB212" i="55"/>
  <c r="X213" i="55"/>
  <c r="Y213" i="55"/>
  <c r="Z213" i="55"/>
  <c r="AA213" i="55"/>
  <c r="AB213" i="55"/>
  <c r="AB214" i="55"/>
  <c r="AB215" i="55"/>
  <c r="M25" i="51"/>
  <c r="D279" i="21"/>
  <c r="E279" i="21"/>
  <c r="L284" i="21"/>
  <c r="L292" i="21"/>
  <c r="O256" i="21"/>
  <c r="P255" i="21"/>
  <c r="O258" i="21"/>
  <c r="P257" i="21"/>
  <c r="O260" i="21"/>
  <c r="P259" i="21"/>
  <c r="K261" i="21"/>
  <c r="L262" i="21"/>
  <c r="M262" i="21"/>
  <c r="N262" i="21"/>
  <c r="O262" i="21"/>
  <c r="P261" i="21"/>
  <c r="P263" i="21"/>
  <c r="S227" i="21"/>
  <c r="T226" i="21"/>
  <c r="S229" i="21"/>
  <c r="T228" i="21"/>
  <c r="S231" i="21"/>
  <c r="T230" i="21"/>
  <c r="S233" i="21"/>
  <c r="T232" i="21"/>
  <c r="T234" i="21"/>
  <c r="W198" i="21"/>
  <c r="X197" i="21"/>
  <c r="W200" i="21"/>
  <c r="X199" i="21"/>
  <c r="W202" i="21"/>
  <c r="X201" i="21"/>
  <c r="W204" i="21"/>
  <c r="X203" i="21"/>
  <c r="X205" i="21"/>
  <c r="AA169" i="21"/>
  <c r="AB168" i="21"/>
  <c r="AA171" i="21"/>
  <c r="AB170" i="21"/>
  <c r="AA173" i="21"/>
  <c r="AB172" i="21"/>
  <c r="AA175" i="21"/>
  <c r="AB174" i="21"/>
  <c r="AB176" i="21"/>
  <c r="E281" i="21"/>
  <c r="X95" i="55"/>
  <c r="K284" i="21"/>
  <c r="L285" i="21"/>
  <c r="M284" i="21"/>
  <c r="F279" i="21"/>
  <c r="M286" i="21"/>
  <c r="M292" i="21"/>
  <c r="P256" i="21"/>
  <c r="Q255" i="21"/>
  <c r="P258" i="21"/>
  <c r="Q257" i="21"/>
  <c r="P260" i="21"/>
  <c r="Q259" i="21"/>
  <c r="P262" i="21"/>
  <c r="Q261" i="21"/>
  <c r="Q263" i="21"/>
  <c r="T227" i="21"/>
  <c r="U226" i="21"/>
  <c r="T229" i="21"/>
  <c r="U228" i="21"/>
  <c r="T231" i="21"/>
  <c r="U230" i="21"/>
  <c r="T233" i="21"/>
  <c r="U232" i="21"/>
  <c r="U234" i="21"/>
  <c r="X198" i="21"/>
  <c r="Y197" i="21"/>
  <c r="X200" i="21"/>
  <c r="Y199" i="21"/>
  <c r="X202" i="21"/>
  <c r="Y201" i="21"/>
  <c r="X204" i="21"/>
  <c r="Y203" i="21"/>
  <c r="Y205" i="21"/>
  <c r="AB169" i="21"/>
  <c r="AC168" i="21"/>
  <c r="AB171" i="21"/>
  <c r="AC170" i="21"/>
  <c r="AB173" i="21"/>
  <c r="AC172" i="21"/>
  <c r="AB175" i="21"/>
  <c r="AC174" i="21"/>
  <c r="AC176" i="21"/>
  <c r="F281" i="21"/>
  <c r="Y95" i="55"/>
  <c r="M285" i="21"/>
  <c r="N284" i="21"/>
  <c r="K286" i="21"/>
  <c r="L287" i="21"/>
  <c r="M287" i="21"/>
  <c r="N286" i="21"/>
  <c r="G279" i="21"/>
  <c r="N288" i="21"/>
  <c r="N292" i="21"/>
  <c r="Q256" i="21"/>
  <c r="R255" i="21"/>
  <c r="Q258" i="21"/>
  <c r="R257" i="21"/>
  <c r="Q260" i="21"/>
  <c r="R259" i="21"/>
  <c r="Q262" i="21"/>
  <c r="R261" i="21"/>
  <c r="R263" i="21"/>
  <c r="U227" i="21"/>
  <c r="V226" i="21"/>
  <c r="U229" i="21"/>
  <c r="V228" i="21"/>
  <c r="U231" i="21"/>
  <c r="V230" i="21"/>
  <c r="U233" i="21"/>
  <c r="V232" i="21"/>
  <c r="V234" i="21"/>
  <c r="Y198" i="21"/>
  <c r="Z197" i="21"/>
  <c r="Y200" i="21"/>
  <c r="Z199" i="21"/>
  <c r="Y202" i="21"/>
  <c r="Z201" i="21"/>
  <c r="Y204" i="21"/>
  <c r="Z203" i="21"/>
  <c r="Z205" i="21"/>
  <c r="AC169" i="21"/>
  <c r="AD168" i="21"/>
  <c r="AC171" i="21"/>
  <c r="AD170" i="21"/>
  <c r="AC173" i="21"/>
  <c r="AD172" i="21"/>
  <c r="AC175" i="21"/>
  <c r="AD174" i="21"/>
  <c r="AD176" i="21"/>
  <c r="G281" i="21"/>
  <c r="Z95" i="55"/>
  <c r="N285" i="21"/>
  <c r="O284" i="21"/>
  <c r="N287" i="21"/>
  <c r="O286" i="21"/>
  <c r="K288" i="21"/>
  <c r="L289" i="21"/>
  <c r="M289" i="21"/>
  <c r="N289" i="21"/>
  <c r="O288" i="21"/>
  <c r="H279" i="21"/>
  <c r="O290" i="21"/>
  <c r="O292" i="21"/>
  <c r="R256" i="21"/>
  <c r="S255" i="21"/>
  <c r="R258" i="21"/>
  <c r="S257" i="21"/>
  <c r="R260" i="21"/>
  <c r="S259" i="21"/>
  <c r="R262" i="21"/>
  <c r="S261" i="21"/>
  <c r="S263" i="21"/>
  <c r="V227" i="21"/>
  <c r="W226" i="21"/>
  <c r="V229" i="21"/>
  <c r="W228" i="21"/>
  <c r="V231" i="21"/>
  <c r="W230" i="21"/>
  <c r="V233" i="21"/>
  <c r="W232" i="21"/>
  <c r="W234" i="21"/>
  <c r="Z198" i="21"/>
  <c r="AA197" i="21"/>
  <c r="Z200" i="21"/>
  <c r="AA199" i="21"/>
  <c r="Z202" i="21"/>
  <c r="AA201" i="21"/>
  <c r="Z204" i="21"/>
  <c r="AA203" i="21"/>
  <c r="AA205" i="21"/>
  <c r="AD169" i="21"/>
  <c r="AE168" i="21"/>
  <c r="AD171" i="21"/>
  <c r="AE170" i="21"/>
  <c r="AD173" i="21"/>
  <c r="AE172" i="21"/>
  <c r="AD175" i="21"/>
  <c r="AE174" i="21"/>
  <c r="AE176" i="21"/>
  <c r="H281" i="21"/>
  <c r="AA95" i="55"/>
  <c r="AB95" i="55"/>
  <c r="D446" i="21"/>
  <c r="E446" i="21"/>
  <c r="L451" i="21"/>
  <c r="L459" i="21"/>
  <c r="O419" i="21"/>
  <c r="P418" i="21"/>
  <c r="O421" i="21"/>
  <c r="P420" i="21"/>
  <c r="O423" i="21"/>
  <c r="P422" i="21"/>
  <c r="K424" i="21"/>
  <c r="L425" i="21"/>
  <c r="M425" i="21"/>
  <c r="N425" i="21"/>
  <c r="O425" i="21"/>
  <c r="P424" i="21"/>
  <c r="P426" i="21"/>
  <c r="S386" i="21"/>
  <c r="T385" i="21"/>
  <c r="S388" i="21"/>
  <c r="T387" i="21"/>
  <c r="S390" i="21"/>
  <c r="T389" i="21"/>
  <c r="S392" i="21"/>
  <c r="T391" i="21"/>
  <c r="T393" i="21"/>
  <c r="W353" i="21"/>
  <c r="X352" i="21"/>
  <c r="W355" i="21"/>
  <c r="X354" i="21"/>
  <c r="W357" i="21"/>
  <c r="X356" i="21"/>
  <c r="W359" i="21"/>
  <c r="X358" i="21"/>
  <c r="X360" i="21"/>
  <c r="AA320" i="21"/>
  <c r="AB319" i="21"/>
  <c r="AA322" i="21"/>
  <c r="AB321" i="21"/>
  <c r="AA324" i="21"/>
  <c r="AB323" i="21"/>
  <c r="AA326" i="21"/>
  <c r="AB325" i="21"/>
  <c r="AB327" i="21"/>
  <c r="E448" i="21"/>
  <c r="X96" i="55"/>
  <c r="K451" i="21"/>
  <c r="L452" i="21"/>
  <c r="M451" i="21"/>
  <c r="F446" i="21"/>
  <c r="M453" i="21"/>
  <c r="M459" i="21"/>
  <c r="P419" i="21"/>
  <c r="Q418" i="21"/>
  <c r="P421" i="21"/>
  <c r="Q420" i="21"/>
  <c r="P423" i="21"/>
  <c r="Q422" i="21"/>
  <c r="P425" i="21"/>
  <c r="Q424" i="21"/>
  <c r="Q426" i="21"/>
  <c r="T386" i="21"/>
  <c r="U385" i="21"/>
  <c r="T388" i="21"/>
  <c r="U387" i="21"/>
  <c r="T390" i="21"/>
  <c r="U389" i="21"/>
  <c r="T392" i="21"/>
  <c r="U391" i="21"/>
  <c r="U393" i="21"/>
  <c r="X353" i="21"/>
  <c r="Y352" i="21"/>
  <c r="X355" i="21"/>
  <c r="Y354" i="21"/>
  <c r="X357" i="21"/>
  <c r="Y356" i="21"/>
  <c r="X359" i="21"/>
  <c r="Y358" i="21"/>
  <c r="Y360" i="21"/>
  <c r="AB320" i="21"/>
  <c r="AC319" i="21"/>
  <c r="AB322" i="21"/>
  <c r="AC321" i="21"/>
  <c r="AB324" i="21"/>
  <c r="AC323" i="21"/>
  <c r="AB326" i="21"/>
  <c r="AC325" i="21"/>
  <c r="AC327" i="21"/>
  <c r="F448" i="21"/>
  <c r="Y96" i="55"/>
  <c r="M452" i="21"/>
  <c r="N451" i="21"/>
  <c r="K453" i="21"/>
  <c r="L454" i="21"/>
  <c r="M454" i="21"/>
  <c r="N453" i="21"/>
  <c r="G446" i="21"/>
  <c r="N455" i="21"/>
  <c r="N459" i="21"/>
  <c r="Q419" i="21"/>
  <c r="R418" i="21"/>
  <c r="Q421" i="21"/>
  <c r="R420" i="21"/>
  <c r="Q423" i="21"/>
  <c r="R422" i="21"/>
  <c r="Q425" i="21"/>
  <c r="R424" i="21"/>
  <c r="R426" i="21"/>
  <c r="U386" i="21"/>
  <c r="V385" i="21"/>
  <c r="U388" i="21"/>
  <c r="V387" i="21"/>
  <c r="U390" i="21"/>
  <c r="V389" i="21"/>
  <c r="U392" i="21"/>
  <c r="V391" i="21"/>
  <c r="V393" i="21"/>
  <c r="Y353" i="21"/>
  <c r="Z352" i="21"/>
  <c r="Y355" i="21"/>
  <c r="Z354" i="21"/>
  <c r="Y357" i="21"/>
  <c r="Z356" i="21"/>
  <c r="Y359" i="21"/>
  <c r="Z358" i="21"/>
  <c r="Z360" i="21"/>
  <c r="AC320" i="21"/>
  <c r="AD319" i="21"/>
  <c r="AC322" i="21"/>
  <c r="AD321" i="21"/>
  <c r="AC324" i="21"/>
  <c r="AD323" i="21"/>
  <c r="AC326" i="21"/>
  <c r="AD325" i="21"/>
  <c r="AD327" i="21"/>
  <c r="G448" i="21"/>
  <c r="Z96" i="55"/>
  <c r="N452" i="21"/>
  <c r="O451" i="21"/>
  <c r="N454" i="21"/>
  <c r="O453" i="21"/>
  <c r="K455" i="21"/>
  <c r="L456" i="21"/>
  <c r="M456" i="21"/>
  <c r="N456" i="21"/>
  <c r="O455" i="21"/>
  <c r="H446" i="21"/>
  <c r="O457" i="21"/>
  <c r="O459" i="21"/>
  <c r="R419" i="21"/>
  <c r="S418" i="21"/>
  <c r="R421" i="21"/>
  <c r="S420" i="21"/>
  <c r="R423" i="21"/>
  <c r="S422" i="21"/>
  <c r="R425" i="21"/>
  <c r="S424" i="21"/>
  <c r="S426" i="21"/>
  <c r="V386" i="21"/>
  <c r="W385" i="21"/>
  <c r="V388" i="21"/>
  <c r="W387" i="21"/>
  <c r="V390" i="21"/>
  <c r="W389" i="21"/>
  <c r="V392" i="21"/>
  <c r="W391" i="21"/>
  <c r="W393" i="21"/>
  <c r="Z353" i="21"/>
  <c r="AA352" i="21"/>
  <c r="Z355" i="21"/>
  <c r="AA354" i="21"/>
  <c r="Z357" i="21"/>
  <c r="AA356" i="21"/>
  <c r="Z359" i="21"/>
  <c r="AA358" i="21"/>
  <c r="AA360" i="21"/>
  <c r="AD320" i="21"/>
  <c r="AE319" i="21"/>
  <c r="AD322" i="21"/>
  <c r="AE321" i="21"/>
  <c r="AD324" i="21"/>
  <c r="AE323" i="21"/>
  <c r="AD326" i="21"/>
  <c r="AE325" i="21"/>
  <c r="AE327" i="21"/>
  <c r="H448" i="21"/>
  <c r="AA96" i="55"/>
  <c r="AB96" i="55"/>
  <c r="AB97" i="55"/>
  <c r="D132" i="21"/>
  <c r="E132" i="21"/>
  <c r="L137" i="21"/>
  <c r="L145" i="21"/>
  <c r="O109" i="21"/>
  <c r="P108" i="21"/>
  <c r="O111" i="21"/>
  <c r="P110" i="21"/>
  <c r="O113" i="21"/>
  <c r="P112" i="21"/>
  <c r="K114" i="21"/>
  <c r="L115" i="21"/>
  <c r="M115" i="21"/>
  <c r="N115" i="21"/>
  <c r="O115" i="21"/>
  <c r="P114" i="21"/>
  <c r="P116" i="21"/>
  <c r="S80" i="21"/>
  <c r="T79" i="21"/>
  <c r="S82" i="21"/>
  <c r="T81" i="21"/>
  <c r="S84" i="21"/>
  <c r="T83" i="21"/>
  <c r="S86" i="21"/>
  <c r="T85" i="21"/>
  <c r="T87" i="21"/>
  <c r="W51" i="21"/>
  <c r="X50" i="21"/>
  <c r="W53" i="21"/>
  <c r="X52" i="21"/>
  <c r="W55" i="21"/>
  <c r="X54" i="21"/>
  <c r="W57" i="21"/>
  <c r="X56" i="21"/>
  <c r="X58" i="21"/>
  <c r="AA22" i="21"/>
  <c r="AB21" i="21"/>
  <c r="AA24" i="21"/>
  <c r="AB23" i="21"/>
  <c r="AA26" i="21"/>
  <c r="AB25" i="21"/>
  <c r="AA28" i="21"/>
  <c r="AB27" i="21"/>
  <c r="AB29" i="21"/>
  <c r="E134" i="21"/>
  <c r="X94" i="55"/>
  <c r="K137" i="21"/>
  <c r="L138" i="21"/>
  <c r="M137" i="21"/>
  <c r="F132" i="21"/>
  <c r="M139" i="21"/>
  <c r="M145" i="21"/>
  <c r="P109" i="21"/>
  <c r="Q108" i="21"/>
  <c r="P111" i="21"/>
  <c r="Q110" i="21"/>
  <c r="P113" i="21"/>
  <c r="Q112" i="21"/>
  <c r="P115" i="21"/>
  <c r="Q114" i="21"/>
  <c r="Q116" i="21"/>
  <c r="T80" i="21"/>
  <c r="U79" i="21"/>
  <c r="T82" i="21"/>
  <c r="U81" i="21"/>
  <c r="T84" i="21"/>
  <c r="U83" i="21"/>
  <c r="T86" i="21"/>
  <c r="U85" i="21"/>
  <c r="U87" i="21"/>
  <c r="X51" i="21"/>
  <c r="Y50" i="21"/>
  <c r="X53" i="21"/>
  <c r="Y52" i="21"/>
  <c r="X55" i="21"/>
  <c r="Y54" i="21"/>
  <c r="X57" i="21"/>
  <c r="Y56" i="21"/>
  <c r="Y58" i="21"/>
  <c r="AB22" i="21"/>
  <c r="AC21" i="21"/>
  <c r="AB24" i="21"/>
  <c r="AC23" i="21"/>
  <c r="AB26" i="21"/>
  <c r="AC25" i="21"/>
  <c r="AB28" i="21"/>
  <c r="AC27" i="21"/>
  <c r="AC29" i="21"/>
  <c r="F134" i="21"/>
  <c r="Y94" i="55"/>
  <c r="M138" i="21"/>
  <c r="N137" i="21"/>
  <c r="K139" i="21"/>
  <c r="L140" i="21"/>
  <c r="M140" i="21"/>
  <c r="N139" i="21"/>
  <c r="G132" i="21"/>
  <c r="N141" i="21"/>
  <c r="N145" i="21"/>
  <c r="Q109" i="21"/>
  <c r="R108" i="21"/>
  <c r="Q111" i="21"/>
  <c r="R110" i="21"/>
  <c r="Q113" i="21"/>
  <c r="R112" i="21"/>
  <c r="Q115" i="21"/>
  <c r="R114" i="21"/>
  <c r="R116" i="21"/>
  <c r="U80" i="21"/>
  <c r="V79" i="21"/>
  <c r="U82" i="21"/>
  <c r="V81" i="21"/>
  <c r="U84" i="21"/>
  <c r="V83" i="21"/>
  <c r="U86" i="21"/>
  <c r="V85" i="21"/>
  <c r="V87" i="21"/>
  <c r="Y51" i="21"/>
  <c r="Z50" i="21"/>
  <c r="Y53" i="21"/>
  <c r="Z52" i="21"/>
  <c r="Y55" i="21"/>
  <c r="Z54" i="21"/>
  <c r="Y57" i="21"/>
  <c r="Z56" i="21"/>
  <c r="Z58" i="21"/>
  <c r="AC22" i="21"/>
  <c r="AD21" i="21"/>
  <c r="AC24" i="21"/>
  <c r="AD23" i="21"/>
  <c r="AC26" i="21"/>
  <c r="AD25" i="21"/>
  <c r="AC28" i="21"/>
  <c r="AD27" i="21"/>
  <c r="AD29" i="21"/>
  <c r="G134" i="21"/>
  <c r="Z94" i="55"/>
  <c r="N138" i="21"/>
  <c r="O137" i="21"/>
  <c r="N140" i="21"/>
  <c r="O139" i="21"/>
  <c r="K141" i="21"/>
  <c r="L142" i="21"/>
  <c r="M142" i="21"/>
  <c r="N142" i="21"/>
  <c r="O141" i="21"/>
  <c r="H132" i="21"/>
  <c r="O143" i="21"/>
  <c r="O145" i="21"/>
  <c r="R109" i="21"/>
  <c r="S108" i="21"/>
  <c r="R111" i="21"/>
  <c r="S110" i="21"/>
  <c r="R113" i="21"/>
  <c r="S112" i="21"/>
  <c r="R115" i="21"/>
  <c r="S114" i="21"/>
  <c r="S116" i="21"/>
  <c r="V80" i="21"/>
  <c r="W79" i="21"/>
  <c r="V82" i="21"/>
  <c r="W81" i="21"/>
  <c r="V84" i="21"/>
  <c r="W83" i="21"/>
  <c r="V86" i="21"/>
  <c r="W85" i="21"/>
  <c r="W87" i="21"/>
  <c r="Z51" i="21"/>
  <c r="AA50" i="21"/>
  <c r="Z53" i="21"/>
  <c r="AA52" i="21"/>
  <c r="Z55" i="21"/>
  <c r="AA54" i="21"/>
  <c r="Z57" i="21"/>
  <c r="AA56" i="21"/>
  <c r="AA58" i="21"/>
  <c r="AD22" i="21"/>
  <c r="AE21" i="21"/>
  <c r="AD24" i="21"/>
  <c r="AE23" i="21"/>
  <c r="AD26" i="21"/>
  <c r="AE25" i="21"/>
  <c r="AD28" i="21"/>
  <c r="AE27" i="21"/>
  <c r="AE29" i="21"/>
  <c r="H134" i="21"/>
  <c r="AA94" i="55"/>
  <c r="AB94" i="55"/>
  <c r="AB98" i="55"/>
  <c r="X214" i="55"/>
  <c r="X215" i="55"/>
  <c r="X216" i="55"/>
  <c r="X217" i="55"/>
  <c r="Y214" i="55"/>
  <c r="Y215" i="55"/>
  <c r="Y216" i="55"/>
  <c r="Y217" i="55"/>
  <c r="Z214" i="55"/>
  <c r="Z215" i="55"/>
  <c r="Z216" i="55"/>
  <c r="Z217" i="55"/>
  <c r="AA214" i="55"/>
  <c r="AA215" i="55"/>
  <c r="AA216" i="55"/>
  <c r="AA217" i="55"/>
  <c r="AB217" i="55"/>
  <c r="M26" i="51"/>
  <c r="G11" i="70"/>
  <c r="H11" i="70"/>
  <c r="D73" i="55"/>
  <c r="E73" i="55"/>
  <c r="F73" i="55"/>
  <c r="G73" i="55"/>
  <c r="H73" i="55"/>
  <c r="D74" i="55"/>
  <c r="E74" i="55"/>
  <c r="F74" i="55"/>
  <c r="G74" i="55"/>
  <c r="H74" i="55"/>
  <c r="D75" i="55"/>
  <c r="E75" i="55"/>
  <c r="F75" i="55"/>
  <c r="G75" i="55"/>
  <c r="H75" i="55"/>
  <c r="D76" i="55"/>
  <c r="E76" i="55"/>
  <c r="F76" i="55"/>
  <c r="G76" i="55"/>
  <c r="H76" i="55"/>
  <c r="D77" i="55"/>
  <c r="E77" i="55"/>
  <c r="F77" i="55"/>
  <c r="G77" i="55"/>
  <c r="H77" i="55"/>
  <c r="H78" i="55"/>
  <c r="H79" i="55"/>
  <c r="D202" i="55"/>
  <c r="E202" i="55"/>
  <c r="F202" i="55"/>
  <c r="G202" i="55"/>
  <c r="H202" i="55"/>
  <c r="D203" i="55"/>
  <c r="E203" i="55"/>
  <c r="F203" i="55"/>
  <c r="G203" i="55"/>
  <c r="H203" i="55"/>
  <c r="D204" i="55"/>
  <c r="E204" i="55"/>
  <c r="F204" i="55"/>
  <c r="G204" i="55"/>
  <c r="H204" i="55"/>
  <c r="D205" i="55"/>
  <c r="E205" i="55"/>
  <c r="F205" i="55"/>
  <c r="G205" i="55"/>
  <c r="H205" i="55"/>
  <c r="D206" i="55"/>
  <c r="E206" i="55"/>
  <c r="F206" i="55"/>
  <c r="G206" i="55"/>
  <c r="H206" i="55"/>
  <c r="H207" i="55"/>
  <c r="H208" i="55"/>
  <c r="E24" i="51"/>
  <c r="C12" i="70"/>
  <c r="I73" i="55"/>
  <c r="J73" i="55"/>
  <c r="K73" i="55"/>
  <c r="L73" i="55"/>
  <c r="M73" i="55"/>
  <c r="I74" i="55"/>
  <c r="J74" i="55"/>
  <c r="K74" i="55"/>
  <c r="L74" i="55"/>
  <c r="M74" i="55"/>
  <c r="I75" i="55"/>
  <c r="J75" i="55"/>
  <c r="K75" i="55"/>
  <c r="L75" i="55"/>
  <c r="M75" i="55"/>
  <c r="I76" i="55"/>
  <c r="J76" i="55"/>
  <c r="K76" i="55"/>
  <c r="L76" i="55"/>
  <c r="M76" i="55"/>
  <c r="I77" i="55"/>
  <c r="J77" i="55"/>
  <c r="K77" i="55"/>
  <c r="L77" i="55"/>
  <c r="M77" i="55"/>
  <c r="M78" i="55"/>
  <c r="M79" i="55"/>
  <c r="I202" i="55"/>
  <c r="J202" i="55"/>
  <c r="K202" i="55"/>
  <c r="L202" i="55"/>
  <c r="M202" i="55"/>
  <c r="I203" i="55"/>
  <c r="J203" i="55"/>
  <c r="K203" i="55"/>
  <c r="L203" i="55"/>
  <c r="M203" i="55"/>
  <c r="I204" i="55"/>
  <c r="J204" i="55"/>
  <c r="K204" i="55"/>
  <c r="L204" i="55"/>
  <c r="M204" i="55"/>
  <c r="I205" i="55"/>
  <c r="J205" i="55"/>
  <c r="K205" i="55"/>
  <c r="L205" i="55"/>
  <c r="M205" i="55"/>
  <c r="I206" i="55"/>
  <c r="J206" i="55"/>
  <c r="K206" i="55"/>
  <c r="L206" i="55"/>
  <c r="M206" i="55"/>
  <c r="M207" i="55"/>
  <c r="M208" i="55"/>
  <c r="G24" i="51"/>
  <c r="D12" i="70"/>
  <c r="N73" i="55"/>
  <c r="O73" i="55"/>
  <c r="P73" i="55"/>
  <c r="Q73" i="55"/>
  <c r="R73" i="55"/>
  <c r="N74" i="55"/>
  <c r="O74" i="55"/>
  <c r="P74" i="55"/>
  <c r="Q74" i="55"/>
  <c r="R74" i="55"/>
  <c r="N75" i="55"/>
  <c r="O75" i="55"/>
  <c r="P75" i="55"/>
  <c r="Q75" i="55"/>
  <c r="R75" i="55"/>
  <c r="N76" i="55"/>
  <c r="O76" i="55"/>
  <c r="P76" i="55"/>
  <c r="Q76" i="55"/>
  <c r="R76" i="55"/>
  <c r="N77" i="55"/>
  <c r="O77" i="55"/>
  <c r="P77" i="55"/>
  <c r="Q77" i="55"/>
  <c r="R77" i="55"/>
  <c r="R78" i="55"/>
  <c r="R79" i="55"/>
  <c r="N202" i="55"/>
  <c r="O202" i="55"/>
  <c r="P202" i="55"/>
  <c r="Q202" i="55"/>
  <c r="R202" i="55"/>
  <c r="N203" i="55"/>
  <c r="O203" i="55"/>
  <c r="P203" i="55"/>
  <c r="Q203" i="55"/>
  <c r="R203" i="55"/>
  <c r="N204" i="55"/>
  <c r="O204" i="55"/>
  <c r="P204" i="55"/>
  <c r="Q204" i="55"/>
  <c r="R204" i="55"/>
  <c r="N205" i="55"/>
  <c r="O205" i="55"/>
  <c r="P205" i="55"/>
  <c r="Q205" i="55"/>
  <c r="R205" i="55"/>
  <c r="N206" i="55"/>
  <c r="O206" i="55"/>
  <c r="P206" i="55"/>
  <c r="Q206" i="55"/>
  <c r="R206" i="55"/>
  <c r="R207" i="55"/>
  <c r="R208" i="55"/>
  <c r="I24" i="51"/>
  <c r="E12" i="70"/>
  <c r="S73" i="55"/>
  <c r="T73" i="55"/>
  <c r="U73" i="55"/>
  <c r="V73" i="55"/>
  <c r="W73" i="55"/>
  <c r="S74" i="55"/>
  <c r="T74" i="55"/>
  <c r="U74" i="55"/>
  <c r="V74" i="55"/>
  <c r="W74" i="55"/>
  <c r="S75" i="55"/>
  <c r="T75" i="55"/>
  <c r="U75" i="55"/>
  <c r="V75" i="55"/>
  <c r="W75" i="55"/>
  <c r="S76" i="55"/>
  <c r="T76" i="55"/>
  <c r="U76" i="55"/>
  <c r="V76" i="55"/>
  <c r="W76" i="55"/>
  <c r="S77" i="55"/>
  <c r="T77" i="55"/>
  <c r="U77" i="55"/>
  <c r="V77" i="55"/>
  <c r="W77" i="55"/>
  <c r="W78" i="55"/>
  <c r="W79" i="55"/>
  <c r="S202" i="55"/>
  <c r="T202" i="55"/>
  <c r="U202" i="55"/>
  <c r="V202" i="55"/>
  <c r="W202" i="55"/>
  <c r="S203" i="55"/>
  <c r="T203" i="55"/>
  <c r="U203" i="55"/>
  <c r="V203" i="55"/>
  <c r="W203" i="55"/>
  <c r="S204" i="55"/>
  <c r="T204" i="55"/>
  <c r="U204" i="55"/>
  <c r="V204" i="55"/>
  <c r="W204" i="55"/>
  <c r="S205" i="55"/>
  <c r="T205" i="55"/>
  <c r="U205" i="55"/>
  <c r="V205" i="55"/>
  <c r="W205" i="55"/>
  <c r="S206" i="55"/>
  <c r="T206" i="55"/>
  <c r="U206" i="55"/>
  <c r="V206" i="55"/>
  <c r="W206" i="55"/>
  <c r="W207" i="55"/>
  <c r="W208" i="55"/>
  <c r="K24" i="51"/>
  <c r="F12" i="70"/>
  <c r="X73" i="55"/>
  <c r="Y73" i="55"/>
  <c r="Z73" i="55"/>
  <c r="AA73" i="55"/>
  <c r="AB73" i="55"/>
  <c r="X74" i="55"/>
  <c r="Y74" i="55"/>
  <c r="Z74" i="55"/>
  <c r="AA74" i="55"/>
  <c r="AB74" i="55"/>
  <c r="X75" i="55"/>
  <c r="Y75" i="55"/>
  <c r="Z75" i="55"/>
  <c r="AA75" i="55"/>
  <c r="AB75" i="55"/>
  <c r="X76" i="55"/>
  <c r="Y76" i="55"/>
  <c r="Z76" i="55"/>
  <c r="AA76" i="55"/>
  <c r="AB76" i="55"/>
  <c r="X77" i="55"/>
  <c r="Y77" i="55"/>
  <c r="Z77" i="55"/>
  <c r="AA77" i="55"/>
  <c r="AB77" i="55"/>
  <c r="AB78" i="55"/>
  <c r="AB79" i="55"/>
  <c r="X202" i="55"/>
  <c r="Y202" i="55"/>
  <c r="Z202" i="55"/>
  <c r="AA202" i="55"/>
  <c r="AB202" i="55"/>
  <c r="X203" i="55"/>
  <c r="Y203" i="55"/>
  <c r="Z203" i="55"/>
  <c r="AA203" i="55"/>
  <c r="AB203" i="55"/>
  <c r="X204" i="55"/>
  <c r="Y204" i="55"/>
  <c r="Z204" i="55"/>
  <c r="AA204" i="55"/>
  <c r="AB204" i="55"/>
  <c r="X205" i="55"/>
  <c r="Y205" i="55"/>
  <c r="Z205" i="55"/>
  <c r="AA205" i="55"/>
  <c r="AB205" i="55"/>
  <c r="X206" i="55"/>
  <c r="Y206" i="55"/>
  <c r="Z206" i="55"/>
  <c r="AA206" i="55"/>
  <c r="AB206" i="55"/>
  <c r="AB207" i="55"/>
  <c r="AB208" i="55"/>
  <c r="M24" i="51"/>
  <c r="G12" i="70"/>
  <c r="H12" i="70"/>
  <c r="D106" i="55"/>
  <c r="E106" i="55"/>
  <c r="F106" i="55"/>
  <c r="G106" i="55"/>
  <c r="H106" i="55"/>
  <c r="D107" i="55"/>
  <c r="E107" i="55"/>
  <c r="F107" i="55"/>
  <c r="G107" i="55"/>
  <c r="H107" i="55"/>
  <c r="D108" i="55"/>
  <c r="E108" i="55"/>
  <c r="F108" i="55"/>
  <c r="G108" i="55"/>
  <c r="H108" i="55"/>
  <c r="D109" i="55"/>
  <c r="E109" i="55"/>
  <c r="F109" i="55"/>
  <c r="G109" i="55"/>
  <c r="H109" i="55"/>
  <c r="D110" i="55"/>
  <c r="E110" i="55"/>
  <c r="F110" i="55"/>
  <c r="G110" i="55"/>
  <c r="H110" i="55"/>
  <c r="H111" i="55"/>
  <c r="H112" i="55"/>
  <c r="D225" i="55"/>
  <c r="E225" i="55"/>
  <c r="F225" i="55"/>
  <c r="G225" i="55"/>
  <c r="H225" i="55"/>
  <c r="D226" i="55"/>
  <c r="E226" i="55"/>
  <c r="F226" i="55"/>
  <c r="G226" i="55"/>
  <c r="H226" i="55"/>
  <c r="D227" i="55"/>
  <c r="E227" i="55"/>
  <c r="F227" i="55"/>
  <c r="G227" i="55"/>
  <c r="H227" i="55"/>
  <c r="D228" i="55"/>
  <c r="E228" i="55"/>
  <c r="F228" i="55"/>
  <c r="G228" i="55"/>
  <c r="H228" i="55"/>
  <c r="D229" i="55"/>
  <c r="E229" i="55"/>
  <c r="F229" i="55"/>
  <c r="G229" i="55"/>
  <c r="H229" i="55"/>
  <c r="H230" i="55"/>
  <c r="H231" i="55"/>
  <c r="E27" i="51"/>
  <c r="D113" i="55"/>
  <c r="E113" i="55"/>
  <c r="F113" i="55"/>
  <c r="G113" i="55"/>
  <c r="H113" i="55"/>
  <c r="D114" i="55"/>
  <c r="E114" i="55"/>
  <c r="F114" i="55"/>
  <c r="G114" i="55"/>
  <c r="H114" i="55"/>
  <c r="D115" i="55"/>
  <c r="E115" i="55"/>
  <c r="F115" i="55"/>
  <c r="G115" i="55"/>
  <c r="H115" i="55"/>
  <c r="D116" i="55"/>
  <c r="E116" i="55"/>
  <c r="F116" i="55"/>
  <c r="G116" i="55"/>
  <c r="H116" i="55"/>
  <c r="D117" i="55"/>
  <c r="E117" i="55"/>
  <c r="F117" i="55"/>
  <c r="G117" i="55"/>
  <c r="H117" i="55"/>
  <c r="H118" i="55"/>
  <c r="H119" i="55"/>
  <c r="D120" i="55"/>
  <c r="E120" i="55"/>
  <c r="F120" i="55"/>
  <c r="G120" i="55"/>
  <c r="H120" i="55"/>
  <c r="D121" i="55"/>
  <c r="E121" i="55"/>
  <c r="F121" i="55"/>
  <c r="G121" i="55"/>
  <c r="H121" i="55"/>
  <c r="D122" i="55"/>
  <c r="E122" i="55"/>
  <c r="F122" i="55"/>
  <c r="G122" i="55"/>
  <c r="H122" i="55"/>
  <c r="D123" i="55"/>
  <c r="E123" i="55"/>
  <c r="F123" i="55"/>
  <c r="G123" i="55"/>
  <c r="H123" i="55"/>
  <c r="D124" i="55"/>
  <c r="E124" i="55"/>
  <c r="F124" i="55"/>
  <c r="G124" i="55"/>
  <c r="H124" i="55"/>
  <c r="H125" i="55"/>
  <c r="H126" i="55"/>
  <c r="D127" i="55"/>
  <c r="E127" i="55"/>
  <c r="F127" i="55"/>
  <c r="G127" i="55"/>
  <c r="H127" i="55"/>
  <c r="D128" i="55"/>
  <c r="E128" i="55"/>
  <c r="F128" i="55"/>
  <c r="G128" i="55"/>
  <c r="H128" i="55"/>
  <c r="D129" i="55"/>
  <c r="E129" i="55"/>
  <c r="F129" i="55"/>
  <c r="G129" i="55"/>
  <c r="H129" i="55"/>
  <c r="D130" i="55"/>
  <c r="E130" i="55"/>
  <c r="F130" i="55"/>
  <c r="G130" i="55"/>
  <c r="H130" i="55"/>
  <c r="D131" i="55"/>
  <c r="E131" i="55"/>
  <c r="F131" i="55"/>
  <c r="G131" i="55"/>
  <c r="H131" i="55"/>
  <c r="H132" i="55"/>
  <c r="H133" i="55"/>
  <c r="D232" i="55"/>
  <c r="E232" i="55"/>
  <c r="F232" i="55"/>
  <c r="G232" i="55"/>
  <c r="H232" i="55"/>
  <c r="D233" i="55"/>
  <c r="E233" i="55"/>
  <c r="F233" i="55"/>
  <c r="G233" i="55"/>
  <c r="H233" i="55"/>
  <c r="D234" i="55"/>
  <c r="E234" i="55"/>
  <c r="F234" i="55"/>
  <c r="G234" i="55"/>
  <c r="H234" i="55"/>
  <c r="D235" i="55"/>
  <c r="E235" i="55"/>
  <c r="F235" i="55"/>
  <c r="G235" i="55"/>
  <c r="H235" i="55"/>
  <c r="D236" i="55"/>
  <c r="E236" i="55"/>
  <c r="F236" i="55"/>
  <c r="G236" i="55"/>
  <c r="H236" i="55"/>
  <c r="H237" i="55"/>
  <c r="H238" i="55"/>
  <c r="D239" i="55"/>
  <c r="E239" i="55"/>
  <c r="F239" i="55"/>
  <c r="G239" i="55"/>
  <c r="H239" i="55"/>
  <c r="D240" i="55"/>
  <c r="E240" i="55"/>
  <c r="F240" i="55"/>
  <c r="G240" i="55"/>
  <c r="H240" i="55"/>
  <c r="D241" i="55"/>
  <c r="E241" i="55"/>
  <c r="F241" i="55"/>
  <c r="G241" i="55"/>
  <c r="H241" i="55"/>
  <c r="D242" i="55"/>
  <c r="E242" i="55"/>
  <c r="F242" i="55"/>
  <c r="G242" i="55"/>
  <c r="H242" i="55"/>
  <c r="D243" i="55"/>
  <c r="E243" i="55"/>
  <c r="F243" i="55"/>
  <c r="G243" i="55"/>
  <c r="H243" i="55"/>
  <c r="H244" i="55"/>
  <c r="H245" i="55"/>
  <c r="E28" i="51"/>
  <c r="D148" i="55"/>
  <c r="E148" i="55"/>
  <c r="F148" i="55"/>
  <c r="G148" i="55"/>
  <c r="H148" i="55"/>
  <c r="D149" i="55"/>
  <c r="E149" i="55"/>
  <c r="F149" i="55"/>
  <c r="G149" i="55"/>
  <c r="H149" i="55"/>
  <c r="D150" i="55"/>
  <c r="E150" i="55"/>
  <c r="F150" i="55"/>
  <c r="G150" i="55"/>
  <c r="H150" i="55"/>
  <c r="D151" i="55"/>
  <c r="E151" i="55"/>
  <c r="F151" i="55"/>
  <c r="G151" i="55"/>
  <c r="H151" i="55"/>
  <c r="D152" i="55"/>
  <c r="E152" i="55"/>
  <c r="F152" i="55"/>
  <c r="G152" i="55"/>
  <c r="H152" i="55"/>
  <c r="H153" i="55"/>
  <c r="H154" i="55"/>
  <c r="D253" i="55"/>
  <c r="E253" i="55"/>
  <c r="F253" i="55"/>
  <c r="G253" i="55"/>
  <c r="H253" i="55"/>
  <c r="D254" i="55"/>
  <c r="E254" i="55"/>
  <c r="F254" i="55"/>
  <c r="G254" i="55"/>
  <c r="H254" i="55"/>
  <c r="D255" i="55"/>
  <c r="E255" i="55"/>
  <c r="F255" i="55"/>
  <c r="G255" i="55"/>
  <c r="H255" i="55"/>
  <c r="D256" i="55"/>
  <c r="E256" i="55"/>
  <c r="F256" i="55"/>
  <c r="G256" i="55"/>
  <c r="H256" i="55"/>
  <c r="D257" i="55"/>
  <c r="E257" i="55"/>
  <c r="F257" i="55"/>
  <c r="G257" i="55"/>
  <c r="H257" i="55"/>
  <c r="H258" i="55"/>
  <c r="H259" i="55"/>
  <c r="E31" i="51"/>
  <c r="C13" i="70"/>
  <c r="I106" i="55"/>
  <c r="J106" i="55"/>
  <c r="K106" i="55"/>
  <c r="L106" i="55"/>
  <c r="M106" i="55"/>
  <c r="I107" i="55"/>
  <c r="J107" i="55"/>
  <c r="K107" i="55"/>
  <c r="L107" i="55"/>
  <c r="M107" i="55"/>
  <c r="I108" i="55"/>
  <c r="J108" i="55"/>
  <c r="K108" i="55"/>
  <c r="L108" i="55"/>
  <c r="M108" i="55"/>
  <c r="I109" i="55"/>
  <c r="J109" i="55"/>
  <c r="K109" i="55"/>
  <c r="L109" i="55"/>
  <c r="M109" i="55"/>
  <c r="I110" i="55"/>
  <c r="J110" i="55"/>
  <c r="K110" i="55"/>
  <c r="L110" i="55"/>
  <c r="M110" i="55"/>
  <c r="M111" i="55"/>
  <c r="M112" i="55"/>
  <c r="I225" i="55"/>
  <c r="J225" i="55"/>
  <c r="K225" i="55"/>
  <c r="L225" i="55"/>
  <c r="M225" i="55"/>
  <c r="I226" i="55"/>
  <c r="J226" i="55"/>
  <c r="K226" i="55"/>
  <c r="L226" i="55"/>
  <c r="M226" i="55"/>
  <c r="I227" i="55"/>
  <c r="J227" i="55"/>
  <c r="K227" i="55"/>
  <c r="L227" i="55"/>
  <c r="M227" i="55"/>
  <c r="I228" i="55"/>
  <c r="J228" i="55"/>
  <c r="K228" i="55"/>
  <c r="L228" i="55"/>
  <c r="M228" i="55"/>
  <c r="I229" i="55"/>
  <c r="J229" i="55"/>
  <c r="K229" i="55"/>
  <c r="L229" i="55"/>
  <c r="M229" i="55"/>
  <c r="M230" i="55"/>
  <c r="M231" i="55"/>
  <c r="G27" i="51"/>
  <c r="I113" i="55"/>
  <c r="J113" i="55"/>
  <c r="K113" i="55"/>
  <c r="L113" i="55"/>
  <c r="M113" i="55"/>
  <c r="I114" i="55"/>
  <c r="J114" i="55"/>
  <c r="K114" i="55"/>
  <c r="L114" i="55"/>
  <c r="M114" i="55"/>
  <c r="I115" i="55"/>
  <c r="J115" i="55"/>
  <c r="K115" i="55"/>
  <c r="L115" i="55"/>
  <c r="M115" i="55"/>
  <c r="I116" i="55"/>
  <c r="J116" i="55"/>
  <c r="K116" i="55"/>
  <c r="L116" i="55"/>
  <c r="M116" i="55"/>
  <c r="I117" i="55"/>
  <c r="J117" i="55"/>
  <c r="K117" i="55"/>
  <c r="L117" i="55"/>
  <c r="M117" i="55"/>
  <c r="M118" i="55"/>
  <c r="M119" i="55"/>
  <c r="I120" i="55"/>
  <c r="J120" i="55"/>
  <c r="K120" i="55"/>
  <c r="L120" i="55"/>
  <c r="M120" i="55"/>
  <c r="I121" i="55"/>
  <c r="J121" i="55"/>
  <c r="K121" i="55"/>
  <c r="L121" i="55"/>
  <c r="M121" i="55"/>
  <c r="I122" i="55"/>
  <c r="J122" i="55"/>
  <c r="K122" i="55"/>
  <c r="L122" i="55"/>
  <c r="M122" i="55"/>
  <c r="I123" i="55"/>
  <c r="J123" i="55"/>
  <c r="K123" i="55"/>
  <c r="L123" i="55"/>
  <c r="M123" i="55"/>
  <c r="I124" i="55"/>
  <c r="J124" i="55"/>
  <c r="K124" i="55"/>
  <c r="L124" i="55"/>
  <c r="M124" i="55"/>
  <c r="M125" i="55"/>
  <c r="M126" i="55"/>
  <c r="I127" i="55"/>
  <c r="J127" i="55"/>
  <c r="K127" i="55"/>
  <c r="L127" i="55"/>
  <c r="M127" i="55"/>
  <c r="I128" i="55"/>
  <c r="J128" i="55"/>
  <c r="K128" i="55"/>
  <c r="L128" i="55"/>
  <c r="M128" i="55"/>
  <c r="I129" i="55"/>
  <c r="J129" i="55"/>
  <c r="K129" i="55"/>
  <c r="L129" i="55"/>
  <c r="M129" i="55"/>
  <c r="I130" i="55"/>
  <c r="J130" i="55"/>
  <c r="K130" i="55"/>
  <c r="L130" i="55"/>
  <c r="M130" i="55"/>
  <c r="I131" i="55"/>
  <c r="J131" i="55"/>
  <c r="K131" i="55"/>
  <c r="L131" i="55"/>
  <c r="M131" i="55"/>
  <c r="M132" i="55"/>
  <c r="M133" i="55"/>
  <c r="I232" i="55"/>
  <c r="J232" i="55"/>
  <c r="K232" i="55"/>
  <c r="L232" i="55"/>
  <c r="M232" i="55"/>
  <c r="I233" i="55"/>
  <c r="J233" i="55"/>
  <c r="K233" i="55"/>
  <c r="L233" i="55"/>
  <c r="M233" i="55"/>
  <c r="I234" i="55"/>
  <c r="J234" i="55"/>
  <c r="K234" i="55"/>
  <c r="L234" i="55"/>
  <c r="M234" i="55"/>
  <c r="I235" i="55"/>
  <c r="J235" i="55"/>
  <c r="K235" i="55"/>
  <c r="L235" i="55"/>
  <c r="M235" i="55"/>
  <c r="I236" i="55"/>
  <c r="J236" i="55"/>
  <c r="K236" i="55"/>
  <c r="L236" i="55"/>
  <c r="M236" i="55"/>
  <c r="M237" i="55"/>
  <c r="M238" i="55"/>
  <c r="I239" i="55"/>
  <c r="J239" i="55"/>
  <c r="K239" i="55"/>
  <c r="L239" i="55"/>
  <c r="M239" i="55"/>
  <c r="I240" i="55"/>
  <c r="J240" i="55"/>
  <c r="K240" i="55"/>
  <c r="L240" i="55"/>
  <c r="M240" i="55"/>
  <c r="I241" i="55"/>
  <c r="J241" i="55"/>
  <c r="K241" i="55"/>
  <c r="L241" i="55"/>
  <c r="M241" i="55"/>
  <c r="I242" i="55"/>
  <c r="J242" i="55"/>
  <c r="K242" i="55"/>
  <c r="L242" i="55"/>
  <c r="M242" i="55"/>
  <c r="I243" i="55"/>
  <c r="J243" i="55"/>
  <c r="K243" i="55"/>
  <c r="L243" i="55"/>
  <c r="M243" i="55"/>
  <c r="M244" i="55"/>
  <c r="M245" i="55"/>
  <c r="G28" i="51"/>
  <c r="I148" i="55"/>
  <c r="J148" i="55"/>
  <c r="K148" i="55"/>
  <c r="L148" i="55"/>
  <c r="M148" i="55"/>
  <c r="I149" i="55"/>
  <c r="J149" i="55"/>
  <c r="K149" i="55"/>
  <c r="L149" i="55"/>
  <c r="M149" i="55"/>
  <c r="I150" i="55"/>
  <c r="J150" i="55"/>
  <c r="K150" i="55"/>
  <c r="L150" i="55"/>
  <c r="M150" i="55"/>
  <c r="I151" i="55"/>
  <c r="J151" i="55"/>
  <c r="K151" i="55"/>
  <c r="L151" i="55"/>
  <c r="M151" i="55"/>
  <c r="I152" i="55"/>
  <c r="J152" i="55"/>
  <c r="K152" i="55"/>
  <c r="L152" i="55"/>
  <c r="M152" i="55"/>
  <c r="M153" i="55"/>
  <c r="M154" i="55"/>
  <c r="I253" i="55"/>
  <c r="J253" i="55"/>
  <c r="K253" i="55"/>
  <c r="L253" i="55"/>
  <c r="M253" i="55"/>
  <c r="I254" i="55"/>
  <c r="J254" i="55"/>
  <c r="K254" i="55"/>
  <c r="L254" i="55"/>
  <c r="M254" i="55"/>
  <c r="I255" i="55"/>
  <c r="J255" i="55"/>
  <c r="K255" i="55"/>
  <c r="L255" i="55"/>
  <c r="M255" i="55"/>
  <c r="I256" i="55"/>
  <c r="J256" i="55"/>
  <c r="K256" i="55"/>
  <c r="L256" i="55"/>
  <c r="M256" i="55"/>
  <c r="I257" i="55"/>
  <c r="J257" i="55"/>
  <c r="K257" i="55"/>
  <c r="L257" i="55"/>
  <c r="M257" i="55"/>
  <c r="M258" i="55"/>
  <c r="M259" i="55"/>
  <c r="G31" i="51"/>
  <c r="D13" i="70"/>
  <c r="N106" i="55"/>
  <c r="O106" i="55"/>
  <c r="P106" i="55"/>
  <c r="Q106" i="55"/>
  <c r="R106" i="55"/>
  <c r="N107" i="55"/>
  <c r="O107" i="55"/>
  <c r="P107" i="55"/>
  <c r="Q107" i="55"/>
  <c r="R107" i="55"/>
  <c r="N108" i="55"/>
  <c r="O108" i="55"/>
  <c r="P108" i="55"/>
  <c r="Q108" i="55"/>
  <c r="R108" i="55"/>
  <c r="N109" i="55"/>
  <c r="O109" i="55"/>
  <c r="P109" i="55"/>
  <c r="Q109" i="55"/>
  <c r="R109" i="55"/>
  <c r="N110" i="55"/>
  <c r="O110" i="55"/>
  <c r="P110" i="55"/>
  <c r="Q110" i="55"/>
  <c r="R110" i="55"/>
  <c r="R111" i="55"/>
  <c r="R112" i="55"/>
  <c r="N225" i="55"/>
  <c r="O225" i="55"/>
  <c r="P225" i="55"/>
  <c r="Q225" i="55"/>
  <c r="R225" i="55"/>
  <c r="N226" i="55"/>
  <c r="O226" i="55"/>
  <c r="P226" i="55"/>
  <c r="Q226" i="55"/>
  <c r="R226" i="55"/>
  <c r="N227" i="55"/>
  <c r="O227" i="55"/>
  <c r="P227" i="55"/>
  <c r="Q227" i="55"/>
  <c r="R227" i="55"/>
  <c r="N228" i="55"/>
  <c r="O228" i="55"/>
  <c r="P228" i="55"/>
  <c r="Q228" i="55"/>
  <c r="R228" i="55"/>
  <c r="N229" i="55"/>
  <c r="O229" i="55"/>
  <c r="P229" i="55"/>
  <c r="Q229" i="55"/>
  <c r="R229" i="55"/>
  <c r="R230" i="55"/>
  <c r="R231" i="55"/>
  <c r="I27" i="51"/>
  <c r="N113" i="55"/>
  <c r="O113" i="55"/>
  <c r="P113" i="55"/>
  <c r="Q113" i="55"/>
  <c r="R113" i="55"/>
  <c r="N114" i="55"/>
  <c r="O114" i="55"/>
  <c r="P114" i="55"/>
  <c r="Q114" i="55"/>
  <c r="R114" i="55"/>
  <c r="N115" i="55"/>
  <c r="O115" i="55"/>
  <c r="P115" i="55"/>
  <c r="Q115" i="55"/>
  <c r="R115" i="55"/>
  <c r="N116" i="55"/>
  <c r="O116" i="55"/>
  <c r="P116" i="55"/>
  <c r="Q116" i="55"/>
  <c r="R116" i="55"/>
  <c r="N117" i="55"/>
  <c r="O117" i="55"/>
  <c r="P117" i="55"/>
  <c r="Q117" i="55"/>
  <c r="R117" i="55"/>
  <c r="R118" i="55"/>
  <c r="R119" i="55"/>
  <c r="N120" i="55"/>
  <c r="O120" i="55"/>
  <c r="P120" i="55"/>
  <c r="Q120" i="55"/>
  <c r="R120" i="55"/>
  <c r="N121" i="55"/>
  <c r="O121" i="55"/>
  <c r="P121" i="55"/>
  <c r="Q121" i="55"/>
  <c r="R121" i="55"/>
  <c r="N122" i="55"/>
  <c r="O122" i="55"/>
  <c r="P122" i="55"/>
  <c r="Q122" i="55"/>
  <c r="R122" i="55"/>
  <c r="N123" i="55"/>
  <c r="O123" i="55"/>
  <c r="P123" i="55"/>
  <c r="Q123" i="55"/>
  <c r="R123" i="55"/>
  <c r="N124" i="55"/>
  <c r="O124" i="55"/>
  <c r="P124" i="55"/>
  <c r="Q124" i="55"/>
  <c r="R124" i="55"/>
  <c r="R125" i="55"/>
  <c r="R126" i="55"/>
  <c r="N127" i="55"/>
  <c r="O127" i="55"/>
  <c r="P127" i="55"/>
  <c r="Q127" i="55"/>
  <c r="R127" i="55"/>
  <c r="N128" i="55"/>
  <c r="O128" i="55"/>
  <c r="P128" i="55"/>
  <c r="Q128" i="55"/>
  <c r="R128" i="55"/>
  <c r="N129" i="55"/>
  <c r="O129" i="55"/>
  <c r="P129" i="55"/>
  <c r="Q129" i="55"/>
  <c r="R129" i="55"/>
  <c r="N130" i="55"/>
  <c r="O130" i="55"/>
  <c r="P130" i="55"/>
  <c r="Q130" i="55"/>
  <c r="R130" i="55"/>
  <c r="N131" i="55"/>
  <c r="O131" i="55"/>
  <c r="P131" i="55"/>
  <c r="Q131" i="55"/>
  <c r="R131" i="55"/>
  <c r="R132" i="55"/>
  <c r="R133" i="55"/>
  <c r="N232" i="55"/>
  <c r="O232" i="55"/>
  <c r="P232" i="55"/>
  <c r="Q232" i="55"/>
  <c r="R232" i="55"/>
  <c r="N233" i="55"/>
  <c r="O233" i="55"/>
  <c r="P233" i="55"/>
  <c r="Q233" i="55"/>
  <c r="R233" i="55"/>
  <c r="N234" i="55"/>
  <c r="O234" i="55"/>
  <c r="P234" i="55"/>
  <c r="Q234" i="55"/>
  <c r="R234" i="55"/>
  <c r="N235" i="55"/>
  <c r="O235" i="55"/>
  <c r="P235" i="55"/>
  <c r="Q235" i="55"/>
  <c r="R235" i="55"/>
  <c r="N236" i="55"/>
  <c r="O236" i="55"/>
  <c r="P236" i="55"/>
  <c r="Q236" i="55"/>
  <c r="R236" i="55"/>
  <c r="R237" i="55"/>
  <c r="R238" i="55"/>
  <c r="N239" i="55"/>
  <c r="O239" i="55"/>
  <c r="P239" i="55"/>
  <c r="Q239" i="55"/>
  <c r="R239" i="55"/>
  <c r="N240" i="55"/>
  <c r="O240" i="55"/>
  <c r="P240" i="55"/>
  <c r="Q240" i="55"/>
  <c r="R240" i="55"/>
  <c r="N241" i="55"/>
  <c r="O241" i="55"/>
  <c r="P241" i="55"/>
  <c r="Q241" i="55"/>
  <c r="R241" i="55"/>
  <c r="N242" i="55"/>
  <c r="O242" i="55"/>
  <c r="P242" i="55"/>
  <c r="Q242" i="55"/>
  <c r="R242" i="55"/>
  <c r="N243" i="55"/>
  <c r="O243" i="55"/>
  <c r="P243" i="55"/>
  <c r="Q243" i="55"/>
  <c r="R243" i="55"/>
  <c r="R244" i="55"/>
  <c r="R245" i="55"/>
  <c r="I28" i="51"/>
  <c r="N148" i="55"/>
  <c r="O148" i="55"/>
  <c r="P148" i="55"/>
  <c r="Q148" i="55"/>
  <c r="R148" i="55"/>
  <c r="N149" i="55"/>
  <c r="O149" i="55"/>
  <c r="P149" i="55"/>
  <c r="Q149" i="55"/>
  <c r="R149" i="55"/>
  <c r="N150" i="55"/>
  <c r="O150" i="55"/>
  <c r="P150" i="55"/>
  <c r="Q150" i="55"/>
  <c r="R150" i="55"/>
  <c r="N151" i="55"/>
  <c r="O151" i="55"/>
  <c r="P151" i="55"/>
  <c r="Q151" i="55"/>
  <c r="R151" i="55"/>
  <c r="N152" i="55"/>
  <c r="O152" i="55"/>
  <c r="P152" i="55"/>
  <c r="Q152" i="55"/>
  <c r="R152" i="55"/>
  <c r="R153" i="55"/>
  <c r="R154" i="55"/>
  <c r="N253" i="55"/>
  <c r="O253" i="55"/>
  <c r="P253" i="55"/>
  <c r="Q253" i="55"/>
  <c r="R253" i="55"/>
  <c r="N254" i="55"/>
  <c r="O254" i="55"/>
  <c r="P254" i="55"/>
  <c r="Q254" i="55"/>
  <c r="R254" i="55"/>
  <c r="N255" i="55"/>
  <c r="O255" i="55"/>
  <c r="P255" i="55"/>
  <c r="Q255" i="55"/>
  <c r="R255" i="55"/>
  <c r="N256" i="55"/>
  <c r="O256" i="55"/>
  <c r="P256" i="55"/>
  <c r="Q256" i="55"/>
  <c r="R256" i="55"/>
  <c r="N257" i="55"/>
  <c r="O257" i="55"/>
  <c r="P257" i="55"/>
  <c r="Q257" i="55"/>
  <c r="R257" i="55"/>
  <c r="R258" i="55"/>
  <c r="R259" i="55"/>
  <c r="I31" i="51"/>
  <c r="E13" i="70"/>
  <c r="S106" i="55"/>
  <c r="T106" i="55"/>
  <c r="U106" i="55"/>
  <c r="V106" i="55"/>
  <c r="W106" i="55"/>
  <c r="S107" i="55"/>
  <c r="T107" i="55"/>
  <c r="U107" i="55"/>
  <c r="V107" i="55"/>
  <c r="W107" i="55"/>
  <c r="S108" i="55"/>
  <c r="T108" i="55"/>
  <c r="U108" i="55"/>
  <c r="V108" i="55"/>
  <c r="W108" i="55"/>
  <c r="S109" i="55"/>
  <c r="T109" i="55"/>
  <c r="U109" i="55"/>
  <c r="V109" i="55"/>
  <c r="W109" i="55"/>
  <c r="S110" i="55"/>
  <c r="T110" i="55"/>
  <c r="U110" i="55"/>
  <c r="V110" i="55"/>
  <c r="W110" i="55"/>
  <c r="W111" i="55"/>
  <c r="W112" i="55"/>
  <c r="S225" i="55"/>
  <c r="T225" i="55"/>
  <c r="U225" i="55"/>
  <c r="V225" i="55"/>
  <c r="W225" i="55"/>
  <c r="S226" i="55"/>
  <c r="T226" i="55"/>
  <c r="U226" i="55"/>
  <c r="V226" i="55"/>
  <c r="W226" i="55"/>
  <c r="S227" i="55"/>
  <c r="T227" i="55"/>
  <c r="U227" i="55"/>
  <c r="V227" i="55"/>
  <c r="W227" i="55"/>
  <c r="S228" i="55"/>
  <c r="T228" i="55"/>
  <c r="U228" i="55"/>
  <c r="V228" i="55"/>
  <c r="W228" i="55"/>
  <c r="S229" i="55"/>
  <c r="T229" i="55"/>
  <c r="U229" i="55"/>
  <c r="V229" i="55"/>
  <c r="W229" i="55"/>
  <c r="W230" i="55"/>
  <c r="W231" i="55"/>
  <c r="K27" i="51"/>
  <c r="S113" i="55"/>
  <c r="T113" i="55"/>
  <c r="U113" i="55"/>
  <c r="V113" i="55"/>
  <c r="W113" i="55"/>
  <c r="S114" i="55"/>
  <c r="T114" i="55"/>
  <c r="U114" i="55"/>
  <c r="V114" i="55"/>
  <c r="W114" i="55"/>
  <c r="S115" i="55"/>
  <c r="T115" i="55"/>
  <c r="U115" i="55"/>
  <c r="V115" i="55"/>
  <c r="W115" i="55"/>
  <c r="S116" i="55"/>
  <c r="T116" i="55"/>
  <c r="U116" i="55"/>
  <c r="V116" i="55"/>
  <c r="W116" i="55"/>
  <c r="S117" i="55"/>
  <c r="T117" i="55"/>
  <c r="U117" i="55"/>
  <c r="V117" i="55"/>
  <c r="W117" i="55"/>
  <c r="W118" i="55"/>
  <c r="W119" i="55"/>
  <c r="S120" i="55"/>
  <c r="T120" i="55"/>
  <c r="U120" i="55"/>
  <c r="V120" i="55"/>
  <c r="W120" i="55"/>
  <c r="S121" i="55"/>
  <c r="T121" i="55"/>
  <c r="U121" i="55"/>
  <c r="V121" i="55"/>
  <c r="W121" i="55"/>
  <c r="S122" i="55"/>
  <c r="T122" i="55"/>
  <c r="U122" i="55"/>
  <c r="V122" i="55"/>
  <c r="W122" i="55"/>
  <c r="S123" i="55"/>
  <c r="T123" i="55"/>
  <c r="U123" i="55"/>
  <c r="V123" i="55"/>
  <c r="W123" i="55"/>
  <c r="S124" i="55"/>
  <c r="T124" i="55"/>
  <c r="U124" i="55"/>
  <c r="V124" i="55"/>
  <c r="W124" i="55"/>
  <c r="W125" i="55"/>
  <c r="W126" i="55"/>
  <c r="S127" i="55"/>
  <c r="T127" i="55"/>
  <c r="U127" i="55"/>
  <c r="V127" i="55"/>
  <c r="W127" i="55"/>
  <c r="S128" i="55"/>
  <c r="T128" i="55"/>
  <c r="U128" i="55"/>
  <c r="V128" i="55"/>
  <c r="W128" i="55"/>
  <c r="S129" i="55"/>
  <c r="T129" i="55"/>
  <c r="U129" i="55"/>
  <c r="V129" i="55"/>
  <c r="W129" i="55"/>
  <c r="S130" i="55"/>
  <c r="T130" i="55"/>
  <c r="U130" i="55"/>
  <c r="V130" i="55"/>
  <c r="W130" i="55"/>
  <c r="S131" i="55"/>
  <c r="T131" i="55"/>
  <c r="U131" i="55"/>
  <c r="V131" i="55"/>
  <c r="W131" i="55"/>
  <c r="W132" i="55"/>
  <c r="W133" i="55"/>
  <c r="S232" i="55"/>
  <c r="T232" i="55"/>
  <c r="U232" i="55"/>
  <c r="V232" i="55"/>
  <c r="W232" i="55"/>
  <c r="S233" i="55"/>
  <c r="T233" i="55"/>
  <c r="U233" i="55"/>
  <c r="V233" i="55"/>
  <c r="W233" i="55"/>
  <c r="S234" i="55"/>
  <c r="T234" i="55"/>
  <c r="U234" i="55"/>
  <c r="V234" i="55"/>
  <c r="W234" i="55"/>
  <c r="S235" i="55"/>
  <c r="T235" i="55"/>
  <c r="U235" i="55"/>
  <c r="V235" i="55"/>
  <c r="W235" i="55"/>
  <c r="S236" i="55"/>
  <c r="T236" i="55"/>
  <c r="U236" i="55"/>
  <c r="V236" i="55"/>
  <c r="W236" i="55"/>
  <c r="W237" i="55"/>
  <c r="W238" i="55"/>
  <c r="S239" i="55"/>
  <c r="T239" i="55"/>
  <c r="U239" i="55"/>
  <c r="V239" i="55"/>
  <c r="W239" i="55"/>
  <c r="S240" i="55"/>
  <c r="T240" i="55"/>
  <c r="U240" i="55"/>
  <c r="V240" i="55"/>
  <c r="W240" i="55"/>
  <c r="S241" i="55"/>
  <c r="T241" i="55"/>
  <c r="U241" i="55"/>
  <c r="V241" i="55"/>
  <c r="W241" i="55"/>
  <c r="S242" i="55"/>
  <c r="T242" i="55"/>
  <c r="U242" i="55"/>
  <c r="V242" i="55"/>
  <c r="W242" i="55"/>
  <c r="S243" i="55"/>
  <c r="T243" i="55"/>
  <c r="U243" i="55"/>
  <c r="V243" i="55"/>
  <c r="W243" i="55"/>
  <c r="W244" i="55"/>
  <c r="W245" i="55"/>
  <c r="K28" i="51"/>
  <c r="S148" i="55"/>
  <c r="T148" i="55"/>
  <c r="U148" i="55"/>
  <c r="V148" i="55"/>
  <c r="W148" i="55"/>
  <c r="S149" i="55"/>
  <c r="T149" i="55"/>
  <c r="U149" i="55"/>
  <c r="V149" i="55"/>
  <c r="W149" i="55"/>
  <c r="S150" i="55"/>
  <c r="T150" i="55"/>
  <c r="U150" i="55"/>
  <c r="V150" i="55"/>
  <c r="W150" i="55"/>
  <c r="S151" i="55"/>
  <c r="T151" i="55"/>
  <c r="U151" i="55"/>
  <c r="V151" i="55"/>
  <c r="W151" i="55"/>
  <c r="S152" i="55"/>
  <c r="T152" i="55"/>
  <c r="U152" i="55"/>
  <c r="V152" i="55"/>
  <c r="W152" i="55"/>
  <c r="W153" i="55"/>
  <c r="W154" i="55"/>
  <c r="S253" i="55"/>
  <c r="T253" i="55"/>
  <c r="U253" i="55"/>
  <c r="V253" i="55"/>
  <c r="W253" i="55"/>
  <c r="S254" i="55"/>
  <c r="T254" i="55"/>
  <c r="U254" i="55"/>
  <c r="V254" i="55"/>
  <c r="W254" i="55"/>
  <c r="S255" i="55"/>
  <c r="T255" i="55"/>
  <c r="U255" i="55"/>
  <c r="V255" i="55"/>
  <c r="W255" i="55"/>
  <c r="S256" i="55"/>
  <c r="T256" i="55"/>
  <c r="U256" i="55"/>
  <c r="V256" i="55"/>
  <c r="W256" i="55"/>
  <c r="S257" i="55"/>
  <c r="T257" i="55"/>
  <c r="U257" i="55"/>
  <c r="V257" i="55"/>
  <c r="W257" i="55"/>
  <c r="W258" i="55"/>
  <c r="W259" i="55"/>
  <c r="K31" i="51"/>
  <c r="F13" i="70"/>
  <c r="X106" i="55"/>
  <c r="Y106" i="55"/>
  <c r="Z106" i="55"/>
  <c r="AA106" i="55"/>
  <c r="AB106" i="55"/>
  <c r="X107" i="55"/>
  <c r="Y107" i="55"/>
  <c r="Z107" i="55"/>
  <c r="AA107" i="55"/>
  <c r="AB107" i="55"/>
  <c r="X108" i="55"/>
  <c r="Y108" i="55"/>
  <c r="Z108" i="55"/>
  <c r="AA108" i="55"/>
  <c r="AB108" i="55"/>
  <c r="X109" i="55"/>
  <c r="Y109" i="55"/>
  <c r="Z109" i="55"/>
  <c r="AA109" i="55"/>
  <c r="AB109" i="55"/>
  <c r="X110" i="55"/>
  <c r="Y110" i="55"/>
  <c r="Z110" i="55"/>
  <c r="AA110" i="55"/>
  <c r="AB110" i="55"/>
  <c r="AB111" i="55"/>
  <c r="AB112" i="55"/>
  <c r="X225" i="55"/>
  <c r="Y225" i="55"/>
  <c r="Z225" i="55"/>
  <c r="AA225" i="55"/>
  <c r="AB225" i="55"/>
  <c r="X226" i="55"/>
  <c r="Y226" i="55"/>
  <c r="Z226" i="55"/>
  <c r="AA226" i="55"/>
  <c r="AB226" i="55"/>
  <c r="X227" i="55"/>
  <c r="Y227" i="55"/>
  <c r="Z227" i="55"/>
  <c r="AA227" i="55"/>
  <c r="AB227" i="55"/>
  <c r="X228" i="55"/>
  <c r="Y228" i="55"/>
  <c r="Z228" i="55"/>
  <c r="AA228" i="55"/>
  <c r="AB228" i="55"/>
  <c r="X229" i="55"/>
  <c r="Y229" i="55"/>
  <c r="Z229" i="55"/>
  <c r="AA229" i="55"/>
  <c r="AB229" i="55"/>
  <c r="AB230" i="55"/>
  <c r="AB231" i="55"/>
  <c r="M27" i="51"/>
  <c r="X113" i="55"/>
  <c r="Y113" i="55"/>
  <c r="Z113" i="55"/>
  <c r="AA113" i="55"/>
  <c r="AB113" i="55"/>
  <c r="X114" i="55"/>
  <c r="Y114" i="55"/>
  <c r="Z114" i="55"/>
  <c r="AA114" i="55"/>
  <c r="AB114" i="55"/>
  <c r="X115" i="55"/>
  <c r="Y115" i="55"/>
  <c r="Z115" i="55"/>
  <c r="AA115" i="55"/>
  <c r="AB115" i="55"/>
  <c r="X116" i="55"/>
  <c r="Y116" i="55"/>
  <c r="Z116" i="55"/>
  <c r="AA116" i="55"/>
  <c r="AB116" i="55"/>
  <c r="X117" i="55"/>
  <c r="Y117" i="55"/>
  <c r="Z117" i="55"/>
  <c r="AA117" i="55"/>
  <c r="AB117" i="55"/>
  <c r="AB118" i="55"/>
  <c r="AB119" i="55"/>
  <c r="X120" i="55"/>
  <c r="Y120" i="55"/>
  <c r="Z120" i="55"/>
  <c r="AA120" i="55"/>
  <c r="AB120" i="55"/>
  <c r="X121" i="55"/>
  <c r="Y121" i="55"/>
  <c r="Z121" i="55"/>
  <c r="AA121" i="55"/>
  <c r="AB121" i="55"/>
  <c r="X122" i="55"/>
  <c r="Y122" i="55"/>
  <c r="Z122" i="55"/>
  <c r="AA122" i="55"/>
  <c r="AB122" i="55"/>
  <c r="X123" i="55"/>
  <c r="Y123" i="55"/>
  <c r="Z123" i="55"/>
  <c r="AA123" i="55"/>
  <c r="AB123" i="55"/>
  <c r="X124" i="55"/>
  <c r="Y124" i="55"/>
  <c r="Z124" i="55"/>
  <c r="AA124" i="55"/>
  <c r="AB124" i="55"/>
  <c r="AB125" i="55"/>
  <c r="AB126" i="55"/>
  <c r="X127" i="55"/>
  <c r="Y127" i="55"/>
  <c r="Z127" i="55"/>
  <c r="AA127" i="55"/>
  <c r="AB127" i="55"/>
  <c r="X128" i="55"/>
  <c r="Y128" i="55"/>
  <c r="Z128" i="55"/>
  <c r="AA128" i="55"/>
  <c r="AB128" i="55"/>
  <c r="X129" i="55"/>
  <c r="Y129" i="55"/>
  <c r="Z129" i="55"/>
  <c r="AA129" i="55"/>
  <c r="AB129" i="55"/>
  <c r="X130" i="55"/>
  <c r="Y130" i="55"/>
  <c r="Z130" i="55"/>
  <c r="AA130" i="55"/>
  <c r="AB130" i="55"/>
  <c r="X131" i="55"/>
  <c r="Y131" i="55"/>
  <c r="Z131" i="55"/>
  <c r="AA131" i="55"/>
  <c r="AB131" i="55"/>
  <c r="AB132" i="55"/>
  <c r="AB133" i="55"/>
  <c r="X232" i="55"/>
  <c r="Y232" i="55"/>
  <c r="Z232" i="55"/>
  <c r="AA232" i="55"/>
  <c r="AB232" i="55"/>
  <c r="X233" i="55"/>
  <c r="Y233" i="55"/>
  <c r="Z233" i="55"/>
  <c r="AA233" i="55"/>
  <c r="AB233" i="55"/>
  <c r="X234" i="55"/>
  <c r="Y234" i="55"/>
  <c r="Z234" i="55"/>
  <c r="AA234" i="55"/>
  <c r="AB234" i="55"/>
  <c r="X235" i="55"/>
  <c r="Y235" i="55"/>
  <c r="Z235" i="55"/>
  <c r="AA235" i="55"/>
  <c r="AB235" i="55"/>
  <c r="X236" i="55"/>
  <c r="Y236" i="55"/>
  <c r="Z236" i="55"/>
  <c r="AA236" i="55"/>
  <c r="AB236" i="55"/>
  <c r="AB237" i="55"/>
  <c r="AB238" i="55"/>
  <c r="X239" i="55"/>
  <c r="Y239" i="55"/>
  <c r="Z239" i="55"/>
  <c r="AA239" i="55"/>
  <c r="AB239" i="55"/>
  <c r="X240" i="55"/>
  <c r="Y240" i="55"/>
  <c r="Z240" i="55"/>
  <c r="AA240" i="55"/>
  <c r="AB240" i="55"/>
  <c r="X241" i="55"/>
  <c r="Y241" i="55"/>
  <c r="Z241" i="55"/>
  <c r="AA241" i="55"/>
  <c r="AB241" i="55"/>
  <c r="X242" i="55"/>
  <c r="Y242" i="55"/>
  <c r="Z242" i="55"/>
  <c r="AA242" i="55"/>
  <c r="AB242" i="55"/>
  <c r="X243" i="55"/>
  <c r="Y243" i="55"/>
  <c r="Z243" i="55"/>
  <c r="AA243" i="55"/>
  <c r="AB243" i="55"/>
  <c r="AB244" i="55"/>
  <c r="AB245" i="55"/>
  <c r="M28" i="51"/>
  <c r="X148" i="55"/>
  <c r="Y148" i="55"/>
  <c r="Z148" i="55"/>
  <c r="AA148" i="55"/>
  <c r="AB148" i="55"/>
  <c r="X149" i="55"/>
  <c r="Y149" i="55"/>
  <c r="Z149" i="55"/>
  <c r="AA149" i="55"/>
  <c r="AB149" i="55"/>
  <c r="X150" i="55"/>
  <c r="Y150" i="55"/>
  <c r="Z150" i="55"/>
  <c r="AA150" i="55"/>
  <c r="AB150" i="55"/>
  <c r="X151" i="55"/>
  <c r="Y151" i="55"/>
  <c r="Z151" i="55"/>
  <c r="AA151" i="55"/>
  <c r="AB151" i="55"/>
  <c r="X152" i="55"/>
  <c r="Y152" i="55"/>
  <c r="Z152" i="55"/>
  <c r="AA152" i="55"/>
  <c r="AB152" i="55"/>
  <c r="AB153" i="55"/>
  <c r="AB154" i="55"/>
  <c r="X253" i="55"/>
  <c r="Y253" i="55"/>
  <c r="Z253" i="55"/>
  <c r="AA253" i="55"/>
  <c r="AB253" i="55"/>
  <c r="X254" i="55"/>
  <c r="Y254" i="55"/>
  <c r="Z254" i="55"/>
  <c r="AA254" i="55"/>
  <c r="AB254" i="55"/>
  <c r="X255" i="55"/>
  <c r="Y255" i="55"/>
  <c r="Z255" i="55"/>
  <c r="AA255" i="55"/>
  <c r="AB255" i="55"/>
  <c r="X256" i="55"/>
  <c r="Y256" i="55"/>
  <c r="Z256" i="55"/>
  <c r="AA256" i="55"/>
  <c r="AB256" i="55"/>
  <c r="X257" i="55"/>
  <c r="Y257" i="55"/>
  <c r="Z257" i="55"/>
  <c r="AA257" i="55"/>
  <c r="AB257" i="55"/>
  <c r="AB258" i="55"/>
  <c r="AB259" i="55"/>
  <c r="M31" i="51"/>
  <c r="G13" i="70"/>
  <c r="H13" i="70"/>
  <c r="D80" i="55"/>
  <c r="D99" i="55"/>
  <c r="D141" i="55"/>
  <c r="E80" i="55"/>
  <c r="E99" i="55"/>
  <c r="E141" i="55"/>
  <c r="F80" i="55"/>
  <c r="F99" i="55"/>
  <c r="F141" i="55"/>
  <c r="G80" i="55"/>
  <c r="G99" i="55"/>
  <c r="G141" i="55"/>
  <c r="H141" i="55"/>
  <c r="D81" i="55"/>
  <c r="D100" i="55"/>
  <c r="D142" i="55"/>
  <c r="E81" i="55"/>
  <c r="E100" i="55"/>
  <c r="E142" i="55"/>
  <c r="F81" i="55"/>
  <c r="F100" i="55"/>
  <c r="F142" i="55"/>
  <c r="G81" i="55"/>
  <c r="G100" i="55"/>
  <c r="G142" i="55"/>
  <c r="H142" i="55"/>
  <c r="D82" i="55"/>
  <c r="D101" i="55"/>
  <c r="D143" i="55"/>
  <c r="E82" i="55"/>
  <c r="E101" i="55"/>
  <c r="E143" i="55"/>
  <c r="F82" i="55"/>
  <c r="F101" i="55"/>
  <c r="F143" i="55"/>
  <c r="G82" i="55"/>
  <c r="G101" i="55"/>
  <c r="G143" i="55"/>
  <c r="H143" i="55"/>
  <c r="D83" i="55"/>
  <c r="D102" i="55"/>
  <c r="D144" i="55"/>
  <c r="E83" i="55"/>
  <c r="E102" i="55"/>
  <c r="E144" i="55"/>
  <c r="F83" i="55"/>
  <c r="F102" i="55"/>
  <c r="F144" i="55"/>
  <c r="G83" i="55"/>
  <c r="G102" i="55"/>
  <c r="G144" i="55"/>
  <c r="H144" i="55"/>
  <c r="D84" i="55"/>
  <c r="D103" i="55"/>
  <c r="D145" i="55"/>
  <c r="E84" i="55"/>
  <c r="E103" i="55"/>
  <c r="E145" i="55"/>
  <c r="F84" i="55"/>
  <c r="F103" i="55"/>
  <c r="F145" i="55"/>
  <c r="G84" i="55"/>
  <c r="G103" i="55"/>
  <c r="G145" i="55"/>
  <c r="H145" i="55"/>
  <c r="H146" i="55"/>
  <c r="H147" i="55"/>
  <c r="E30" i="51"/>
  <c r="D134" i="55"/>
  <c r="E134" i="55"/>
  <c r="F134" i="55"/>
  <c r="G134" i="55"/>
  <c r="H134" i="55"/>
  <c r="D135" i="55"/>
  <c r="E135" i="55"/>
  <c r="F135" i="55"/>
  <c r="G135" i="55"/>
  <c r="H135" i="55"/>
  <c r="D136" i="55"/>
  <c r="E136" i="55"/>
  <c r="F136" i="55"/>
  <c r="G136" i="55"/>
  <c r="H136" i="55"/>
  <c r="D137" i="55"/>
  <c r="E137" i="55"/>
  <c r="F137" i="55"/>
  <c r="G137" i="55"/>
  <c r="H137" i="55"/>
  <c r="D138" i="55"/>
  <c r="E138" i="55"/>
  <c r="F138" i="55"/>
  <c r="G138" i="55"/>
  <c r="H138" i="55"/>
  <c r="H139" i="55"/>
  <c r="H140" i="55"/>
  <c r="D246" i="55"/>
  <c r="E246" i="55"/>
  <c r="F246" i="55"/>
  <c r="G246" i="55"/>
  <c r="H246" i="55"/>
  <c r="D247" i="55"/>
  <c r="E247" i="55"/>
  <c r="F247" i="55"/>
  <c r="G247" i="55"/>
  <c r="H247" i="55"/>
  <c r="D248" i="55"/>
  <c r="E248" i="55"/>
  <c r="F248" i="55"/>
  <c r="G248" i="55"/>
  <c r="H248" i="55"/>
  <c r="D249" i="55"/>
  <c r="E249" i="55"/>
  <c r="F249" i="55"/>
  <c r="G249" i="55"/>
  <c r="H249" i="55"/>
  <c r="D250" i="55"/>
  <c r="E250" i="55"/>
  <c r="F250" i="55"/>
  <c r="G250" i="55"/>
  <c r="H250" i="55"/>
  <c r="H251" i="55"/>
  <c r="H252" i="55"/>
  <c r="E29" i="51"/>
  <c r="C14" i="70"/>
  <c r="H99" i="55"/>
  <c r="I80" i="55"/>
  <c r="I99" i="55"/>
  <c r="I141" i="55"/>
  <c r="J80" i="55"/>
  <c r="J99" i="55"/>
  <c r="J141" i="55"/>
  <c r="K80" i="55"/>
  <c r="K99" i="55"/>
  <c r="K141" i="55"/>
  <c r="L80" i="55"/>
  <c r="L99" i="55"/>
  <c r="L141" i="55"/>
  <c r="M141" i="55"/>
  <c r="H100" i="55"/>
  <c r="I81" i="55"/>
  <c r="I100" i="55"/>
  <c r="I142" i="55"/>
  <c r="J81" i="55"/>
  <c r="J100" i="55"/>
  <c r="J142" i="55"/>
  <c r="K81" i="55"/>
  <c r="K100" i="55"/>
  <c r="K142" i="55"/>
  <c r="L81" i="55"/>
  <c r="L100" i="55"/>
  <c r="L142" i="55"/>
  <c r="M142" i="55"/>
  <c r="H101" i="55"/>
  <c r="I82" i="55"/>
  <c r="I101" i="55"/>
  <c r="I143" i="55"/>
  <c r="J82" i="55"/>
  <c r="J101" i="55"/>
  <c r="J143" i="55"/>
  <c r="K82" i="55"/>
  <c r="K101" i="55"/>
  <c r="K143" i="55"/>
  <c r="L82" i="55"/>
  <c r="L101" i="55"/>
  <c r="L143" i="55"/>
  <c r="M143" i="55"/>
  <c r="H102" i="55"/>
  <c r="I83" i="55"/>
  <c r="I102" i="55"/>
  <c r="I144" i="55"/>
  <c r="J83" i="55"/>
  <c r="J102" i="55"/>
  <c r="J144" i="55"/>
  <c r="K83" i="55"/>
  <c r="K102" i="55"/>
  <c r="K144" i="55"/>
  <c r="L83" i="55"/>
  <c r="L102" i="55"/>
  <c r="L144" i="55"/>
  <c r="M144" i="55"/>
  <c r="H103" i="55"/>
  <c r="I84" i="55"/>
  <c r="I103" i="55"/>
  <c r="I145" i="55"/>
  <c r="J84" i="55"/>
  <c r="J103" i="55"/>
  <c r="J145" i="55"/>
  <c r="K84" i="55"/>
  <c r="K103" i="55"/>
  <c r="K145" i="55"/>
  <c r="L84" i="55"/>
  <c r="L103" i="55"/>
  <c r="L145" i="55"/>
  <c r="M145" i="55"/>
  <c r="M146" i="55"/>
  <c r="M147" i="55"/>
  <c r="G30" i="51"/>
  <c r="I134" i="55"/>
  <c r="J134" i="55"/>
  <c r="K134" i="55"/>
  <c r="L134" i="55"/>
  <c r="M134" i="55"/>
  <c r="I135" i="55"/>
  <c r="J135" i="55"/>
  <c r="K135" i="55"/>
  <c r="L135" i="55"/>
  <c r="M135" i="55"/>
  <c r="I136" i="55"/>
  <c r="J136" i="55"/>
  <c r="K136" i="55"/>
  <c r="L136" i="55"/>
  <c r="M136" i="55"/>
  <c r="I137" i="55"/>
  <c r="J137" i="55"/>
  <c r="K137" i="55"/>
  <c r="L137" i="55"/>
  <c r="M137" i="55"/>
  <c r="I138" i="55"/>
  <c r="J138" i="55"/>
  <c r="K138" i="55"/>
  <c r="L138" i="55"/>
  <c r="M138" i="55"/>
  <c r="M139" i="55"/>
  <c r="M140" i="55"/>
  <c r="I246" i="55"/>
  <c r="J246" i="55"/>
  <c r="K246" i="55"/>
  <c r="L246" i="55"/>
  <c r="M246" i="55"/>
  <c r="I247" i="55"/>
  <c r="J247" i="55"/>
  <c r="K247" i="55"/>
  <c r="L247" i="55"/>
  <c r="M247" i="55"/>
  <c r="I248" i="55"/>
  <c r="J248" i="55"/>
  <c r="K248" i="55"/>
  <c r="L248" i="55"/>
  <c r="M248" i="55"/>
  <c r="I249" i="55"/>
  <c r="J249" i="55"/>
  <c r="K249" i="55"/>
  <c r="L249" i="55"/>
  <c r="M249" i="55"/>
  <c r="I250" i="55"/>
  <c r="J250" i="55"/>
  <c r="K250" i="55"/>
  <c r="L250" i="55"/>
  <c r="M250" i="55"/>
  <c r="M251" i="55"/>
  <c r="M252" i="55"/>
  <c r="G29" i="51"/>
  <c r="D14" i="70"/>
  <c r="M99" i="55"/>
  <c r="N80" i="55"/>
  <c r="N99" i="55"/>
  <c r="N141" i="55"/>
  <c r="O80" i="55"/>
  <c r="O99" i="55"/>
  <c r="O141" i="55"/>
  <c r="P80" i="55"/>
  <c r="P99" i="55"/>
  <c r="P141" i="55"/>
  <c r="Q80" i="55"/>
  <c r="Q99" i="55"/>
  <c r="Q141" i="55"/>
  <c r="R141" i="55"/>
  <c r="M100" i="55"/>
  <c r="N81" i="55"/>
  <c r="N100" i="55"/>
  <c r="N142" i="55"/>
  <c r="O81" i="55"/>
  <c r="O100" i="55"/>
  <c r="O142" i="55"/>
  <c r="P81" i="55"/>
  <c r="P100" i="55"/>
  <c r="P142" i="55"/>
  <c r="Q81" i="55"/>
  <c r="Q100" i="55"/>
  <c r="Q142" i="55"/>
  <c r="R142" i="55"/>
  <c r="M101" i="55"/>
  <c r="N82" i="55"/>
  <c r="N101" i="55"/>
  <c r="N143" i="55"/>
  <c r="O82" i="55"/>
  <c r="O101" i="55"/>
  <c r="O143" i="55"/>
  <c r="P82" i="55"/>
  <c r="P101" i="55"/>
  <c r="P143" i="55"/>
  <c r="Q82" i="55"/>
  <c r="Q101" i="55"/>
  <c r="Q143" i="55"/>
  <c r="R143" i="55"/>
  <c r="M102" i="55"/>
  <c r="N83" i="55"/>
  <c r="N102" i="55"/>
  <c r="N144" i="55"/>
  <c r="O83" i="55"/>
  <c r="O102" i="55"/>
  <c r="O144" i="55"/>
  <c r="P83" i="55"/>
  <c r="P102" i="55"/>
  <c r="P144" i="55"/>
  <c r="Q83" i="55"/>
  <c r="Q102" i="55"/>
  <c r="Q144" i="55"/>
  <c r="R144" i="55"/>
  <c r="M103" i="55"/>
  <c r="N84" i="55"/>
  <c r="N103" i="55"/>
  <c r="N145" i="55"/>
  <c r="O84" i="55"/>
  <c r="O103" i="55"/>
  <c r="O145" i="55"/>
  <c r="P84" i="55"/>
  <c r="P103" i="55"/>
  <c r="P145" i="55"/>
  <c r="Q84" i="55"/>
  <c r="Q103" i="55"/>
  <c r="Q145" i="55"/>
  <c r="R145" i="55"/>
  <c r="R146" i="55"/>
  <c r="R147" i="55"/>
  <c r="I30" i="51"/>
  <c r="N134" i="55"/>
  <c r="O134" i="55"/>
  <c r="P134" i="55"/>
  <c r="Q134" i="55"/>
  <c r="R134" i="55"/>
  <c r="N135" i="55"/>
  <c r="O135" i="55"/>
  <c r="P135" i="55"/>
  <c r="Q135" i="55"/>
  <c r="R135" i="55"/>
  <c r="N136" i="55"/>
  <c r="O136" i="55"/>
  <c r="P136" i="55"/>
  <c r="Q136" i="55"/>
  <c r="R136" i="55"/>
  <c r="N137" i="55"/>
  <c r="O137" i="55"/>
  <c r="P137" i="55"/>
  <c r="Q137" i="55"/>
  <c r="R137" i="55"/>
  <c r="N138" i="55"/>
  <c r="O138" i="55"/>
  <c r="P138" i="55"/>
  <c r="Q138" i="55"/>
  <c r="R138" i="55"/>
  <c r="R139" i="55"/>
  <c r="R140" i="55"/>
  <c r="N246" i="55"/>
  <c r="O246" i="55"/>
  <c r="P246" i="55"/>
  <c r="Q246" i="55"/>
  <c r="R246" i="55"/>
  <c r="N247" i="55"/>
  <c r="O247" i="55"/>
  <c r="P247" i="55"/>
  <c r="Q247" i="55"/>
  <c r="R247" i="55"/>
  <c r="N248" i="55"/>
  <c r="O248" i="55"/>
  <c r="P248" i="55"/>
  <c r="Q248" i="55"/>
  <c r="R248" i="55"/>
  <c r="N249" i="55"/>
  <c r="O249" i="55"/>
  <c r="P249" i="55"/>
  <c r="Q249" i="55"/>
  <c r="R249" i="55"/>
  <c r="N250" i="55"/>
  <c r="O250" i="55"/>
  <c r="P250" i="55"/>
  <c r="Q250" i="55"/>
  <c r="R250" i="55"/>
  <c r="R251" i="55"/>
  <c r="R252" i="55"/>
  <c r="I29" i="51"/>
  <c r="E14" i="70"/>
  <c r="R99" i="55"/>
  <c r="S80" i="55"/>
  <c r="S99" i="55"/>
  <c r="S141" i="55"/>
  <c r="T80" i="55"/>
  <c r="T99" i="55"/>
  <c r="T141" i="55"/>
  <c r="U80" i="55"/>
  <c r="U99" i="55"/>
  <c r="U141" i="55"/>
  <c r="V80" i="55"/>
  <c r="V99" i="55"/>
  <c r="V141" i="55"/>
  <c r="W141" i="55"/>
  <c r="R100" i="55"/>
  <c r="S81" i="55"/>
  <c r="S100" i="55"/>
  <c r="S142" i="55"/>
  <c r="T81" i="55"/>
  <c r="T100" i="55"/>
  <c r="T142" i="55"/>
  <c r="U81" i="55"/>
  <c r="U100" i="55"/>
  <c r="U142" i="55"/>
  <c r="V81" i="55"/>
  <c r="V100" i="55"/>
  <c r="V142" i="55"/>
  <c r="W142" i="55"/>
  <c r="R101" i="55"/>
  <c r="S82" i="55"/>
  <c r="S101" i="55"/>
  <c r="S143" i="55"/>
  <c r="T82" i="55"/>
  <c r="T101" i="55"/>
  <c r="T143" i="55"/>
  <c r="U82" i="55"/>
  <c r="U101" i="55"/>
  <c r="U143" i="55"/>
  <c r="V82" i="55"/>
  <c r="V101" i="55"/>
  <c r="V143" i="55"/>
  <c r="W143" i="55"/>
  <c r="R102" i="55"/>
  <c r="S83" i="55"/>
  <c r="S102" i="55"/>
  <c r="S144" i="55"/>
  <c r="T83" i="55"/>
  <c r="T102" i="55"/>
  <c r="T144" i="55"/>
  <c r="U83" i="55"/>
  <c r="U102" i="55"/>
  <c r="U144" i="55"/>
  <c r="V83" i="55"/>
  <c r="V102" i="55"/>
  <c r="V144" i="55"/>
  <c r="W144" i="55"/>
  <c r="R103" i="55"/>
  <c r="S84" i="55"/>
  <c r="S103" i="55"/>
  <c r="S145" i="55"/>
  <c r="T84" i="55"/>
  <c r="T103" i="55"/>
  <c r="T145" i="55"/>
  <c r="U84" i="55"/>
  <c r="U103" i="55"/>
  <c r="U145" i="55"/>
  <c r="V84" i="55"/>
  <c r="V103" i="55"/>
  <c r="V145" i="55"/>
  <c r="W145" i="55"/>
  <c r="W146" i="55"/>
  <c r="W147" i="55"/>
  <c r="K30" i="51"/>
  <c r="S134" i="55"/>
  <c r="T134" i="55"/>
  <c r="U134" i="55"/>
  <c r="V134" i="55"/>
  <c r="W134" i="55"/>
  <c r="S135" i="55"/>
  <c r="T135" i="55"/>
  <c r="U135" i="55"/>
  <c r="V135" i="55"/>
  <c r="W135" i="55"/>
  <c r="S136" i="55"/>
  <c r="T136" i="55"/>
  <c r="U136" i="55"/>
  <c r="V136" i="55"/>
  <c r="W136" i="55"/>
  <c r="S137" i="55"/>
  <c r="T137" i="55"/>
  <c r="U137" i="55"/>
  <c r="V137" i="55"/>
  <c r="W137" i="55"/>
  <c r="S138" i="55"/>
  <c r="T138" i="55"/>
  <c r="U138" i="55"/>
  <c r="V138" i="55"/>
  <c r="W138" i="55"/>
  <c r="W139" i="55"/>
  <c r="W140" i="55"/>
  <c r="S246" i="55"/>
  <c r="T246" i="55"/>
  <c r="U246" i="55"/>
  <c r="V246" i="55"/>
  <c r="W246" i="55"/>
  <c r="S247" i="55"/>
  <c r="T247" i="55"/>
  <c r="U247" i="55"/>
  <c r="V247" i="55"/>
  <c r="W247" i="55"/>
  <c r="S248" i="55"/>
  <c r="T248" i="55"/>
  <c r="U248" i="55"/>
  <c r="V248" i="55"/>
  <c r="W248" i="55"/>
  <c r="S249" i="55"/>
  <c r="T249" i="55"/>
  <c r="U249" i="55"/>
  <c r="V249" i="55"/>
  <c r="W249" i="55"/>
  <c r="S250" i="55"/>
  <c r="T250" i="55"/>
  <c r="U250" i="55"/>
  <c r="V250" i="55"/>
  <c r="W250" i="55"/>
  <c r="W251" i="55"/>
  <c r="W252" i="55"/>
  <c r="K29" i="51"/>
  <c r="F14" i="70"/>
  <c r="W99" i="55"/>
  <c r="X80" i="55"/>
  <c r="X99" i="55"/>
  <c r="X141" i="55"/>
  <c r="Y80" i="55"/>
  <c r="Y99" i="55"/>
  <c r="Y141" i="55"/>
  <c r="Z80" i="55"/>
  <c r="Z99" i="55"/>
  <c r="Z141" i="55"/>
  <c r="AA80" i="55"/>
  <c r="AA99" i="55"/>
  <c r="AA141" i="55"/>
  <c r="AB141" i="55"/>
  <c r="W100" i="55"/>
  <c r="X81" i="55"/>
  <c r="X100" i="55"/>
  <c r="X142" i="55"/>
  <c r="Y81" i="55"/>
  <c r="Y100" i="55"/>
  <c r="Y142" i="55"/>
  <c r="Z81" i="55"/>
  <c r="Z100" i="55"/>
  <c r="Z142" i="55"/>
  <c r="AA81" i="55"/>
  <c r="AA100" i="55"/>
  <c r="AA142" i="55"/>
  <c r="AB142" i="55"/>
  <c r="W101" i="55"/>
  <c r="X82" i="55"/>
  <c r="X101" i="55"/>
  <c r="X143" i="55"/>
  <c r="Y82" i="55"/>
  <c r="Y101" i="55"/>
  <c r="Y143" i="55"/>
  <c r="Z82" i="55"/>
  <c r="Z101" i="55"/>
  <c r="Z143" i="55"/>
  <c r="AA82" i="55"/>
  <c r="AA101" i="55"/>
  <c r="AA143" i="55"/>
  <c r="AB143" i="55"/>
  <c r="W102" i="55"/>
  <c r="X83" i="55"/>
  <c r="X102" i="55"/>
  <c r="X144" i="55"/>
  <c r="Y83" i="55"/>
  <c r="Y102" i="55"/>
  <c r="Y144" i="55"/>
  <c r="Z83" i="55"/>
  <c r="Z102" i="55"/>
  <c r="Z144" i="55"/>
  <c r="AA83" i="55"/>
  <c r="AA102" i="55"/>
  <c r="AA144" i="55"/>
  <c r="AB144" i="55"/>
  <c r="W103" i="55"/>
  <c r="X84" i="55"/>
  <c r="X103" i="55"/>
  <c r="X145" i="55"/>
  <c r="Y84" i="55"/>
  <c r="Y103" i="55"/>
  <c r="Y145" i="55"/>
  <c r="Z84" i="55"/>
  <c r="Z103" i="55"/>
  <c r="Z145" i="55"/>
  <c r="AA84" i="55"/>
  <c r="AA103" i="55"/>
  <c r="AA145" i="55"/>
  <c r="AB145" i="55"/>
  <c r="AB146" i="55"/>
  <c r="AB147" i="55"/>
  <c r="M30" i="51"/>
  <c r="X134" i="55"/>
  <c r="Y134" i="55"/>
  <c r="Z134" i="55"/>
  <c r="AA134" i="55"/>
  <c r="AB134" i="55"/>
  <c r="X135" i="55"/>
  <c r="Y135" i="55"/>
  <c r="Z135" i="55"/>
  <c r="AA135" i="55"/>
  <c r="AB135" i="55"/>
  <c r="X136" i="55"/>
  <c r="Y136" i="55"/>
  <c r="Z136" i="55"/>
  <c r="AA136" i="55"/>
  <c r="AB136" i="55"/>
  <c r="X137" i="55"/>
  <c r="Y137" i="55"/>
  <c r="Z137" i="55"/>
  <c r="AA137" i="55"/>
  <c r="AB137" i="55"/>
  <c r="X138" i="55"/>
  <c r="Y138" i="55"/>
  <c r="Z138" i="55"/>
  <c r="AA138" i="55"/>
  <c r="AB138" i="55"/>
  <c r="AB139" i="55"/>
  <c r="AB140" i="55"/>
  <c r="X246" i="55"/>
  <c r="Y246" i="55"/>
  <c r="Z246" i="55"/>
  <c r="AA246" i="55"/>
  <c r="AB246" i="55"/>
  <c r="X247" i="55"/>
  <c r="Y247" i="55"/>
  <c r="Z247" i="55"/>
  <c r="AA247" i="55"/>
  <c r="AB247" i="55"/>
  <c r="X248" i="55"/>
  <c r="Y248" i="55"/>
  <c r="Z248" i="55"/>
  <c r="AA248" i="55"/>
  <c r="AB248" i="55"/>
  <c r="X249" i="55"/>
  <c r="Y249" i="55"/>
  <c r="Z249" i="55"/>
  <c r="AA249" i="55"/>
  <c r="AB249" i="55"/>
  <c r="X250" i="55"/>
  <c r="Y250" i="55"/>
  <c r="Z250" i="55"/>
  <c r="AA250" i="55"/>
  <c r="AB250" i="55"/>
  <c r="AB251" i="55"/>
  <c r="AB252" i="55"/>
  <c r="M29" i="51"/>
  <c r="G14" i="70"/>
  <c r="H14" i="70"/>
  <c r="E154" i="4"/>
  <c r="E155" i="4"/>
  <c r="C156" i="4"/>
  <c r="E156" i="4"/>
  <c r="D157" i="4"/>
  <c r="E158" i="4"/>
  <c r="E159" i="4"/>
  <c r="E160" i="4"/>
  <c r="E161" i="4"/>
  <c r="D162" i="4"/>
  <c r="E163" i="4"/>
  <c r="E164" i="4"/>
  <c r="C165" i="4"/>
  <c r="E165" i="4"/>
  <c r="D166" i="4"/>
  <c r="E167" i="4"/>
  <c r="E168" i="4"/>
  <c r="E169" i="4"/>
  <c r="E170" i="4"/>
  <c r="E171" i="4"/>
  <c r="C172" i="4"/>
  <c r="E172" i="4"/>
  <c r="D173" i="4"/>
  <c r="E175" i="4"/>
  <c r="E176" i="4"/>
  <c r="E177" i="4"/>
  <c r="E178" i="4"/>
  <c r="E179" i="4"/>
  <c r="E180" i="4"/>
  <c r="E182" i="4"/>
  <c r="E183" i="4"/>
  <c r="E184" i="4"/>
  <c r="E185" i="4"/>
  <c r="E187" i="4"/>
  <c r="E188" i="4"/>
  <c r="E189" i="4"/>
  <c r="E190" i="4"/>
  <c r="E191" i="4"/>
  <c r="E192" i="4"/>
  <c r="E193" i="4"/>
  <c r="D194" i="4"/>
  <c r="D195" i="4"/>
  <c r="D196" i="4"/>
  <c r="E197" i="4"/>
  <c r="E198" i="4"/>
  <c r="D199" i="4"/>
  <c r="D200" i="4"/>
  <c r="H155" i="55"/>
  <c r="D155" i="55"/>
  <c r="H260" i="55"/>
  <c r="D260" i="55"/>
  <c r="D282" i="55"/>
  <c r="E155" i="55"/>
  <c r="E260" i="55"/>
  <c r="E282" i="55"/>
  <c r="F155" i="55"/>
  <c r="F260" i="55"/>
  <c r="F282" i="55"/>
  <c r="G155" i="55"/>
  <c r="G260" i="55"/>
  <c r="G282" i="55"/>
  <c r="H282" i="55"/>
  <c r="E33" i="51"/>
  <c r="E95" i="4"/>
  <c r="C96" i="4"/>
  <c r="E96" i="4"/>
  <c r="D97" i="4"/>
  <c r="E98" i="4"/>
  <c r="E99" i="4"/>
  <c r="E100" i="4"/>
  <c r="E101" i="4"/>
  <c r="D102" i="4"/>
  <c r="E103" i="4"/>
  <c r="E104" i="4"/>
  <c r="C105" i="4"/>
  <c r="E105" i="4"/>
  <c r="D106" i="4"/>
  <c r="E107" i="4"/>
  <c r="E108" i="4"/>
  <c r="E109" i="4"/>
  <c r="E110" i="4"/>
  <c r="E111" i="4"/>
  <c r="C112" i="4"/>
  <c r="E112" i="4"/>
  <c r="D113" i="4"/>
  <c r="E115" i="4"/>
  <c r="E116" i="4"/>
  <c r="E117" i="4"/>
  <c r="E118" i="4"/>
  <c r="E119" i="4"/>
  <c r="E120" i="4"/>
  <c r="E121" i="4"/>
  <c r="D114" i="4"/>
  <c r="E123" i="4"/>
  <c r="E124" i="4"/>
  <c r="E125" i="4"/>
  <c r="E126" i="4"/>
  <c r="E127" i="4"/>
  <c r="E128" i="4"/>
  <c r="E129" i="4"/>
  <c r="E130" i="4"/>
  <c r="D122" i="4"/>
  <c r="D131" i="4"/>
  <c r="D132" i="4"/>
  <c r="D133" i="4"/>
  <c r="E134" i="4"/>
  <c r="E135" i="4"/>
  <c r="D136" i="4"/>
  <c r="D137" i="4"/>
  <c r="H156" i="55"/>
  <c r="D156" i="55"/>
  <c r="H261" i="55"/>
  <c r="D261" i="55"/>
  <c r="D283" i="55"/>
  <c r="E156" i="55"/>
  <c r="E261" i="55"/>
  <c r="E283" i="55"/>
  <c r="F156" i="55"/>
  <c r="F261" i="55"/>
  <c r="F283" i="55"/>
  <c r="G156" i="55"/>
  <c r="G261" i="55"/>
  <c r="G283" i="55"/>
  <c r="H283" i="55"/>
  <c r="E16" i="4"/>
  <c r="E17" i="4"/>
  <c r="C18" i="4"/>
  <c r="E18" i="4"/>
  <c r="D19" i="4"/>
  <c r="E20" i="4"/>
  <c r="E21" i="4"/>
  <c r="E22" i="4"/>
  <c r="E23" i="4"/>
  <c r="D24" i="4"/>
  <c r="E25" i="4"/>
  <c r="E26" i="4"/>
  <c r="C27" i="4"/>
  <c r="E27" i="4"/>
  <c r="D28" i="4"/>
  <c r="E29" i="4"/>
  <c r="E30" i="4"/>
  <c r="E31" i="4"/>
  <c r="E32" i="4"/>
  <c r="E33" i="4"/>
  <c r="E34" i="4"/>
  <c r="E35" i="4"/>
  <c r="C36" i="4"/>
  <c r="E36" i="4"/>
  <c r="D37" i="4"/>
  <c r="E39" i="4"/>
  <c r="E40" i="4"/>
  <c r="E41" i="4"/>
  <c r="E42" i="4"/>
  <c r="E43" i="4"/>
  <c r="E44" i="4"/>
  <c r="E45" i="4"/>
  <c r="E46" i="4"/>
  <c r="E47" i="4"/>
  <c r="D38" i="4"/>
  <c r="E49" i="4"/>
  <c r="E50" i="4"/>
  <c r="E51" i="4"/>
  <c r="E52" i="4"/>
  <c r="E53" i="4"/>
  <c r="E54" i="4"/>
  <c r="E55" i="4"/>
  <c r="E56" i="4"/>
  <c r="D48" i="4"/>
  <c r="E58" i="4"/>
  <c r="E59" i="4"/>
  <c r="E60" i="4"/>
  <c r="E61" i="4"/>
  <c r="E62" i="4"/>
  <c r="E63" i="4"/>
  <c r="D57" i="4"/>
  <c r="E65" i="4"/>
  <c r="E66" i="4"/>
  <c r="E67" i="4"/>
  <c r="E68" i="4"/>
  <c r="E69" i="4"/>
  <c r="E70" i="4"/>
  <c r="E71" i="4"/>
  <c r="D64" i="4"/>
  <c r="D72" i="4"/>
  <c r="D73" i="4"/>
  <c r="D74" i="4"/>
  <c r="E75" i="4"/>
  <c r="E76" i="4"/>
  <c r="D77" i="4"/>
  <c r="D78" i="4"/>
  <c r="H157" i="55"/>
  <c r="D157" i="55"/>
  <c r="H262" i="55"/>
  <c r="D262" i="55"/>
  <c r="D284" i="55"/>
  <c r="E157" i="55"/>
  <c r="E262" i="55"/>
  <c r="E284" i="55"/>
  <c r="F157" i="55"/>
  <c r="F262" i="55"/>
  <c r="F284" i="55"/>
  <c r="G157" i="55"/>
  <c r="G262" i="55"/>
  <c r="G284" i="55"/>
  <c r="H284" i="55"/>
  <c r="H285" i="55"/>
  <c r="E34" i="51"/>
  <c r="E35" i="51"/>
  <c r="C15" i="70"/>
  <c r="P154" i="4"/>
  <c r="G154" i="4"/>
  <c r="P155" i="4"/>
  <c r="G155" i="4"/>
  <c r="P156" i="4"/>
  <c r="G156" i="4"/>
  <c r="F157" i="4"/>
  <c r="P158" i="4"/>
  <c r="G158" i="4"/>
  <c r="P159" i="4"/>
  <c r="G159" i="4"/>
  <c r="P160" i="4"/>
  <c r="G160" i="4"/>
  <c r="P161" i="4"/>
  <c r="G161" i="4"/>
  <c r="F162" i="4"/>
  <c r="P163" i="4"/>
  <c r="G163" i="4"/>
  <c r="P164" i="4"/>
  <c r="G164" i="4"/>
  <c r="P165" i="4"/>
  <c r="G165" i="4"/>
  <c r="F166" i="4"/>
  <c r="P167" i="4"/>
  <c r="G167" i="4"/>
  <c r="P168" i="4"/>
  <c r="G168" i="4"/>
  <c r="P169" i="4"/>
  <c r="G169" i="4"/>
  <c r="P170" i="4"/>
  <c r="G170" i="4"/>
  <c r="G171" i="4"/>
  <c r="P172" i="4"/>
  <c r="G172" i="4"/>
  <c r="F173" i="4"/>
  <c r="P175" i="4"/>
  <c r="G175" i="4"/>
  <c r="G176" i="4"/>
  <c r="P177" i="4"/>
  <c r="G177" i="4"/>
  <c r="P178" i="4"/>
  <c r="G178" i="4"/>
  <c r="P179" i="4"/>
  <c r="G179" i="4"/>
  <c r="G180" i="4"/>
  <c r="P182" i="4"/>
  <c r="G182" i="4"/>
  <c r="P183" i="4"/>
  <c r="G183" i="4"/>
  <c r="P184" i="4"/>
  <c r="G184" i="4"/>
  <c r="P185" i="4"/>
  <c r="G185" i="4"/>
  <c r="P187" i="4"/>
  <c r="G187" i="4"/>
  <c r="P188" i="4"/>
  <c r="G188" i="4"/>
  <c r="P189" i="4"/>
  <c r="G189" i="4"/>
  <c r="P190" i="4"/>
  <c r="G190" i="4"/>
  <c r="P191" i="4"/>
  <c r="G191" i="4"/>
  <c r="P192" i="4"/>
  <c r="G192" i="4"/>
  <c r="P193" i="4"/>
  <c r="G193" i="4"/>
  <c r="F194" i="4"/>
  <c r="F195" i="4"/>
  <c r="F196" i="4"/>
  <c r="P197" i="4"/>
  <c r="G197" i="4"/>
  <c r="P198" i="4"/>
  <c r="G198" i="4"/>
  <c r="F199" i="4"/>
  <c r="F200" i="4"/>
  <c r="M155" i="55"/>
  <c r="I155" i="55"/>
  <c r="M260" i="55"/>
  <c r="I260" i="55"/>
  <c r="I282" i="55"/>
  <c r="J155" i="55"/>
  <c r="J260" i="55"/>
  <c r="J282" i="55"/>
  <c r="K155" i="55"/>
  <c r="K260" i="55"/>
  <c r="K282" i="55"/>
  <c r="L155" i="55"/>
  <c r="L260" i="55"/>
  <c r="L282" i="55"/>
  <c r="M282" i="55"/>
  <c r="G33" i="51"/>
  <c r="P95" i="4"/>
  <c r="G95" i="4"/>
  <c r="P96" i="4"/>
  <c r="G96" i="4"/>
  <c r="F97" i="4"/>
  <c r="P98" i="4"/>
  <c r="G98" i="4"/>
  <c r="P99" i="4"/>
  <c r="G99" i="4"/>
  <c r="P100" i="4"/>
  <c r="G100" i="4"/>
  <c r="P101" i="4"/>
  <c r="G101" i="4"/>
  <c r="F102" i="4"/>
  <c r="P103" i="4"/>
  <c r="G103" i="4"/>
  <c r="P104" i="4"/>
  <c r="G104" i="4"/>
  <c r="P105" i="4"/>
  <c r="G105" i="4"/>
  <c r="F106" i="4"/>
  <c r="P107" i="4"/>
  <c r="G107" i="4"/>
  <c r="P108" i="4"/>
  <c r="G108" i="4"/>
  <c r="P109" i="4"/>
  <c r="G109" i="4"/>
  <c r="P110" i="4"/>
  <c r="G110" i="4"/>
  <c r="G111" i="4"/>
  <c r="P112" i="4"/>
  <c r="G112" i="4"/>
  <c r="F113" i="4"/>
  <c r="P115" i="4"/>
  <c r="G115" i="4"/>
  <c r="G116" i="4"/>
  <c r="P117" i="4"/>
  <c r="G117" i="4"/>
  <c r="P118" i="4"/>
  <c r="G118" i="4"/>
  <c r="P119" i="4"/>
  <c r="G119" i="4"/>
  <c r="P120" i="4"/>
  <c r="G120" i="4"/>
  <c r="P121" i="4"/>
  <c r="G121" i="4"/>
  <c r="F114" i="4"/>
  <c r="P123" i="4"/>
  <c r="G123" i="4"/>
  <c r="G124" i="4"/>
  <c r="P125" i="4"/>
  <c r="G125" i="4"/>
  <c r="P126" i="4"/>
  <c r="G126" i="4"/>
  <c r="P127" i="4"/>
  <c r="G127" i="4"/>
  <c r="P128" i="4"/>
  <c r="G128" i="4"/>
  <c r="P129" i="4"/>
  <c r="G129" i="4"/>
  <c r="P130" i="4"/>
  <c r="G130" i="4"/>
  <c r="F122" i="4"/>
  <c r="F131" i="4"/>
  <c r="F132" i="4"/>
  <c r="F133" i="4"/>
  <c r="P134" i="4"/>
  <c r="G134" i="4"/>
  <c r="P135" i="4"/>
  <c r="G135" i="4"/>
  <c r="F136" i="4"/>
  <c r="F137" i="4"/>
  <c r="M156" i="55"/>
  <c r="I156" i="55"/>
  <c r="M261" i="55"/>
  <c r="I261" i="55"/>
  <c r="I283" i="55"/>
  <c r="J156" i="55"/>
  <c r="J261" i="55"/>
  <c r="J283" i="55"/>
  <c r="K156" i="55"/>
  <c r="K261" i="55"/>
  <c r="K283" i="55"/>
  <c r="L156" i="55"/>
  <c r="L261" i="55"/>
  <c r="L283" i="55"/>
  <c r="M283" i="55"/>
  <c r="P16" i="4"/>
  <c r="G16" i="4"/>
  <c r="P17" i="4"/>
  <c r="G17" i="4"/>
  <c r="P18" i="4"/>
  <c r="G18" i="4"/>
  <c r="F19" i="4"/>
  <c r="P20" i="4"/>
  <c r="G20" i="4"/>
  <c r="P21" i="4"/>
  <c r="G21" i="4"/>
  <c r="P22" i="4"/>
  <c r="G22" i="4"/>
  <c r="P23" i="4"/>
  <c r="G23" i="4"/>
  <c r="F24" i="4"/>
  <c r="P25" i="4"/>
  <c r="G25" i="4"/>
  <c r="P26" i="4"/>
  <c r="G26" i="4"/>
  <c r="P27" i="4"/>
  <c r="G27" i="4"/>
  <c r="F28" i="4"/>
  <c r="P29" i="4"/>
  <c r="G29" i="4"/>
  <c r="P30" i="4"/>
  <c r="G30" i="4"/>
  <c r="P31" i="4"/>
  <c r="G31" i="4"/>
  <c r="P32" i="4"/>
  <c r="G32" i="4"/>
  <c r="P33" i="4"/>
  <c r="G33" i="4"/>
  <c r="P34" i="4"/>
  <c r="G34" i="4"/>
  <c r="G35" i="4"/>
  <c r="P36" i="4"/>
  <c r="G36" i="4"/>
  <c r="F37" i="4"/>
  <c r="P39" i="4"/>
  <c r="G39" i="4"/>
  <c r="G40" i="4"/>
  <c r="P41" i="4"/>
  <c r="G41" i="4"/>
  <c r="G42" i="4"/>
  <c r="P43" i="4"/>
  <c r="G43" i="4"/>
  <c r="P44" i="4"/>
  <c r="G44" i="4"/>
  <c r="P45" i="4"/>
  <c r="G45" i="4"/>
  <c r="P46" i="4"/>
  <c r="G46" i="4"/>
  <c r="P47" i="4"/>
  <c r="G47" i="4"/>
  <c r="F38" i="4"/>
  <c r="P49" i="4"/>
  <c r="G49" i="4"/>
  <c r="P50" i="4"/>
  <c r="G50" i="4"/>
  <c r="G51" i="4"/>
  <c r="P52" i="4"/>
  <c r="G52" i="4"/>
  <c r="P53" i="4"/>
  <c r="G53" i="4"/>
  <c r="P54" i="4"/>
  <c r="G54" i="4"/>
  <c r="P55" i="4"/>
  <c r="G55" i="4"/>
  <c r="P56" i="4"/>
  <c r="G56" i="4"/>
  <c r="F48" i="4"/>
  <c r="P58" i="4"/>
  <c r="G58" i="4"/>
  <c r="P59" i="4"/>
  <c r="G59" i="4"/>
  <c r="G60" i="4"/>
  <c r="P61" i="4"/>
  <c r="G61" i="4"/>
  <c r="P62" i="4"/>
  <c r="G62" i="4"/>
  <c r="P63" i="4"/>
  <c r="G63" i="4"/>
  <c r="F57" i="4"/>
  <c r="P65" i="4"/>
  <c r="G65" i="4"/>
  <c r="P66" i="4"/>
  <c r="G66" i="4"/>
  <c r="G67" i="4"/>
  <c r="P68" i="4"/>
  <c r="G68" i="4"/>
  <c r="P69" i="4"/>
  <c r="G69" i="4"/>
  <c r="P70" i="4"/>
  <c r="G70" i="4"/>
  <c r="P71" i="4"/>
  <c r="G71" i="4"/>
  <c r="F64" i="4"/>
  <c r="F72" i="4"/>
  <c r="F73" i="4"/>
  <c r="F74" i="4"/>
  <c r="P75" i="4"/>
  <c r="G75" i="4"/>
  <c r="P76" i="4"/>
  <c r="G76" i="4"/>
  <c r="F77" i="4"/>
  <c r="F78" i="4"/>
  <c r="M157" i="55"/>
  <c r="I157" i="55"/>
  <c r="M262" i="55"/>
  <c r="I262" i="55"/>
  <c r="I284" i="55"/>
  <c r="J157" i="55"/>
  <c r="J262" i="55"/>
  <c r="J284" i="55"/>
  <c r="K157" i="55"/>
  <c r="K262" i="55"/>
  <c r="K284" i="55"/>
  <c r="L157" i="55"/>
  <c r="L262" i="55"/>
  <c r="L284" i="55"/>
  <c r="M284" i="55"/>
  <c r="M285" i="55"/>
  <c r="G34" i="51"/>
  <c r="G35" i="51"/>
  <c r="D15" i="70"/>
  <c r="Q154" i="4"/>
  <c r="I154" i="4"/>
  <c r="Q155" i="4"/>
  <c r="I155" i="4"/>
  <c r="Q156" i="4"/>
  <c r="I156" i="4"/>
  <c r="H157" i="4"/>
  <c r="Q158" i="4"/>
  <c r="I158" i="4"/>
  <c r="Q159" i="4"/>
  <c r="I159" i="4"/>
  <c r="Q160" i="4"/>
  <c r="I160" i="4"/>
  <c r="Q161" i="4"/>
  <c r="I161" i="4"/>
  <c r="H162" i="4"/>
  <c r="Q163" i="4"/>
  <c r="I163" i="4"/>
  <c r="Q164" i="4"/>
  <c r="I164" i="4"/>
  <c r="Q165" i="4"/>
  <c r="I165" i="4"/>
  <c r="H166" i="4"/>
  <c r="Q167" i="4"/>
  <c r="I167" i="4"/>
  <c r="Q168" i="4"/>
  <c r="I168" i="4"/>
  <c r="Q169" i="4"/>
  <c r="I169" i="4"/>
  <c r="Q170" i="4"/>
  <c r="I170" i="4"/>
  <c r="I171" i="4"/>
  <c r="Q172" i="4"/>
  <c r="I172" i="4"/>
  <c r="H173" i="4"/>
  <c r="Q175" i="4"/>
  <c r="I175" i="4"/>
  <c r="I176" i="4"/>
  <c r="Q177" i="4"/>
  <c r="I177" i="4"/>
  <c r="Q178" i="4"/>
  <c r="I178" i="4"/>
  <c r="Q179" i="4"/>
  <c r="I179" i="4"/>
  <c r="I180" i="4"/>
  <c r="Q182" i="4"/>
  <c r="I182" i="4"/>
  <c r="Q183" i="4"/>
  <c r="I183" i="4"/>
  <c r="Q184" i="4"/>
  <c r="I184" i="4"/>
  <c r="Q185" i="4"/>
  <c r="I185" i="4"/>
  <c r="Q187" i="4"/>
  <c r="I187" i="4"/>
  <c r="Q188" i="4"/>
  <c r="I188" i="4"/>
  <c r="Q189" i="4"/>
  <c r="I189" i="4"/>
  <c r="Q190" i="4"/>
  <c r="I190" i="4"/>
  <c r="Q191" i="4"/>
  <c r="I191" i="4"/>
  <c r="Q192" i="4"/>
  <c r="I192" i="4"/>
  <c r="Q193" i="4"/>
  <c r="I193" i="4"/>
  <c r="H194" i="4"/>
  <c r="H195" i="4"/>
  <c r="H196" i="4"/>
  <c r="Q197" i="4"/>
  <c r="I197" i="4"/>
  <c r="Q198" i="4"/>
  <c r="I198" i="4"/>
  <c r="H199" i="4"/>
  <c r="H200" i="4"/>
  <c r="R155" i="55"/>
  <c r="N155" i="55"/>
  <c r="R260" i="55"/>
  <c r="N260" i="55"/>
  <c r="N282" i="55"/>
  <c r="O155" i="55"/>
  <c r="O260" i="55"/>
  <c r="O282" i="55"/>
  <c r="P155" i="55"/>
  <c r="P260" i="55"/>
  <c r="P282" i="55"/>
  <c r="Q155" i="55"/>
  <c r="Q260" i="55"/>
  <c r="Q282" i="55"/>
  <c r="R282" i="55"/>
  <c r="I33" i="51"/>
  <c r="Q95" i="4"/>
  <c r="I95" i="4"/>
  <c r="Q96" i="4"/>
  <c r="I96" i="4"/>
  <c r="H97" i="4"/>
  <c r="Q98" i="4"/>
  <c r="I98" i="4"/>
  <c r="Q99" i="4"/>
  <c r="I99" i="4"/>
  <c r="Q100" i="4"/>
  <c r="I100" i="4"/>
  <c r="Q101" i="4"/>
  <c r="I101" i="4"/>
  <c r="H102" i="4"/>
  <c r="Q103" i="4"/>
  <c r="I103" i="4"/>
  <c r="Q104" i="4"/>
  <c r="I104" i="4"/>
  <c r="Q105" i="4"/>
  <c r="I105" i="4"/>
  <c r="H106" i="4"/>
  <c r="Q107" i="4"/>
  <c r="I107" i="4"/>
  <c r="Q108" i="4"/>
  <c r="I108" i="4"/>
  <c r="Q109" i="4"/>
  <c r="I109" i="4"/>
  <c r="Q110" i="4"/>
  <c r="I110" i="4"/>
  <c r="I111" i="4"/>
  <c r="Q112" i="4"/>
  <c r="I112" i="4"/>
  <c r="H113" i="4"/>
  <c r="Q115" i="4"/>
  <c r="I115" i="4"/>
  <c r="I116" i="4"/>
  <c r="Q117" i="4"/>
  <c r="I117" i="4"/>
  <c r="Q118" i="4"/>
  <c r="I118" i="4"/>
  <c r="Q119" i="4"/>
  <c r="I119" i="4"/>
  <c r="Q120" i="4"/>
  <c r="I120" i="4"/>
  <c r="Q121" i="4"/>
  <c r="I121" i="4"/>
  <c r="H114" i="4"/>
  <c r="Q123" i="4"/>
  <c r="I123" i="4"/>
  <c r="I124" i="4"/>
  <c r="Q125" i="4"/>
  <c r="I125" i="4"/>
  <c r="Q126" i="4"/>
  <c r="I126" i="4"/>
  <c r="Q127" i="4"/>
  <c r="I127" i="4"/>
  <c r="Q128" i="4"/>
  <c r="I128" i="4"/>
  <c r="Q129" i="4"/>
  <c r="I129" i="4"/>
  <c r="Q130" i="4"/>
  <c r="I130" i="4"/>
  <c r="H122" i="4"/>
  <c r="H131" i="4"/>
  <c r="H132" i="4"/>
  <c r="H133" i="4"/>
  <c r="Q134" i="4"/>
  <c r="I134" i="4"/>
  <c r="Q135" i="4"/>
  <c r="I135" i="4"/>
  <c r="H136" i="4"/>
  <c r="H137" i="4"/>
  <c r="R156" i="55"/>
  <c r="N156" i="55"/>
  <c r="R261" i="55"/>
  <c r="N261" i="55"/>
  <c r="N283" i="55"/>
  <c r="O156" i="55"/>
  <c r="O261" i="55"/>
  <c r="O283" i="55"/>
  <c r="P156" i="55"/>
  <c r="P261" i="55"/>
  <c r="P283" i="55"/>
  <c r="Q156" i="55"/>
  <c r="Q261" i="55"/>
  <c r="Q283" i="55"/>
  <c r="R283" i="55"/>
  <c r="Q16" i="4"/>
  <c r="I16" i="4"/>
  <c r="Q17" i="4"/>
  <c r="I17" i="4"/>
  <c r="Q18" i="4"/>
  <c r="I18" i="4"/>
  <c r="H19" i="4"/>
  <c r="Q20" i="4"/>
  <c r="I20" i="4"/>
  <c r="Q21" i="4"/>
  <c r="I21" i="4"/>
  <c r="Q22" i="4"/>
  <c r="I22" i="4"/>
  <c r="Q23" i="4"/>
  <c r="I23" i="4"/>
  <c r="H24" i="4"/>
  <c r="Q25" i="4"/>
  <c r="I25" i="4"/>
  <c r="Q26" i="4"/>
  <c r="I26" i="4"/>
  <c r="Q27" i="4"/>
  <c r="I27" i="4"/>
  <c r="H28" i="4"/>
  <c r="Q29" i="4"/>
  <c r="I29" i="4"/>
  <c r="Q30" i="4"/>
  <c r="I30" i="4"/>
  <c r="Q31" i="4"/>
  <c r="I31" i="4"/>
  <c r="Q32" i="4"/>
  <c r="I32" i="4"/>
  <c r="Q33" i="4"/>
  <c r="I33" i="4"/>
  <c r="Q34" i="4"/>
  <c r="I34" i="4"/>
  <c r="I35" i="4"/>
  <c r="Q36" i="4"/>
  <c r="I36" i="4"/>
  <c r="H37" i="4"/>
  <c r="Q39" i="4"/>
  <c r="I39" i="4"/>
  <c r="I40" i="4"/>
  <c r="Q41" i="4"/>
  <c r="I41" i="4"/>
  <c r="I42" i="4"/>
  <c r="Q43" i="4"/>
  <c r="I43" i="4"/>
  <c r="Q44" i="4"/>
  <c r="I44" i="4"/>
  <c r="Q45" i="4"/>
  <c r="I45" i="4"/>
  <c r="Q46" i="4"/>
  <c r="I46" i="4"/>
  <c r="Q47" i="4"/>
  <c r="I47" i="4"/>
  <c r="H38" i="4"/>
  <c r="Q49" i="4"/>
  <c r="I49" i="4"/>
  <c r="Q50" i="4"/>
  <c r="I50" i="4"/>
  <c r="I51" i="4"/>
  <c r="Q52" i="4"/>
  <c r="I52" i="4"/>
  <c r="Q53" i="4"/>
  <c r="I53" i="4"/>
  <c r="Q54" i="4"/>
  <c r="I54" i="4"/>
  <c r="Q55" i="4"/>
  <c r="I55" i="4"/>
  <c r="Q56" i="4"/>
  <c r="I56" i="4"/>
  <c r="H48" i="4"/>
  <c r="Q58" i="4"/>
  <c r="I58" i="4"/>
  <c r="Q59" i="4"/>
  <c r="I59" i="4"/>
  <c r="I60" i="4"/>
  <c r="Q61" i="4"/>
  <c r="I61" i="4"/>
  <c r="Q62" i="4"/>
  <c r="I62" i="4"/>
  <c r="Q63" i="4"/>
  <c r="I63" i="4"/>
  <c r="H57" i="4"/>
  <c r="Q65" i="4"/>
  <c r="I65" i="4"/>
  <c r="Q66" i="4"/>
  <c r="I66" i="4"/>
  <c r="I67" i="4"/>
  <c r="Q68" i="4"/>
  <c r="I68" i="4"/>
  <c r="Q69" i="4"/>
  <c r="I69" i="4"/>
  <c r="Q70" i="4"/>
  <c r="I70" i="4"/>
  <c r="Q71" i="4"/>
  <c r="I71" i="4"/>
  <c r="H64" i="4"/>
  <c r="H72" i="4"/>
  <c r="H73" i="4"/>
  <c r="H74" i="4"/>
  <c r="Q75" i="4"/>
  <c r="I75" i="4"/>
  <c r="Q76" i="4"/>
  <c r="I76" i="4"/>
  <c r="H77" i="4"/>
  <c r="H78" i="4"/>
  <c r="R157" i="55"/>
  <c r="N157" i="55"/>
  <c r="R262" i="55"/>
  <c r="N262" i="55"/>
  <c r="N284" i="55"/>
  <c r="O157" i="55"/>
  <c r="O262" i="55"/>
  <c r="O284" i="55"/>
  <c r="P157" i="55"/>
  <c r="P262" i="55"/>
  <c r="P284" i="55"/>
  <c r="Q157" i="55"/>
  <c r="Q262" i="55"/>
  <c r="Q284" i="55"/>
  <c r="R284" i="55"/>
  <c r="R285" i="55"/>
  <c r="I34" i="51"/>
  <c r="I35" i="51"/>
  <c r="E15" i="70"/>
  <c r="R154" i="4"/>
  <c r="K154" i="4"/>
  <c r="R155" i="4"/>
  <c r="K155" i="4"/>
  <c r="R156" i="4"/>
  <c r="K156" i="4"/>
  <c r="J157" i="4"/>
  <c r="R158" i="4"/>
  <c r="K158" i="4"/>
  <c r="R159" i="4"/>
  <c r="K159" i="4"/>
  <c r="R160" i="4"/>
  <c r="K160" i="4"/>
  <c r="R161" i="4"/>
  <c r="K161" i="4"/>
  <c r="J162" i="4"/>
  <c r="R163" i="4"/>
  <c r="K163" i="4"/>
  <c r="R164" i="4"/>
  <c r="K164" i="4"/>
  <c r="R165" i="4"/>
  <c r="K165" i="4"/>
  <c r="J166" i="4"/>
  <c r="R167" i="4"/>
  <c r="K167" i="4"/>
  <c r="R168" i="4"/>
  <c r="K168" i="4"/>
  <c r="R169" i="4"/>
  <c r="K169" i="4"/>
  <c r="R170" i="4"/>
  <c r="K170" i="4"/>
  <c r="K171" i="4"/>
  <c r="R172" i="4"/>
  <c r="K172" i="4"/>
  <c r="J173" i="4"/>
  <c r="R175" i="4"/>
  <c r="K175" i="4"/>
  <c r="K176" i="4"/>
  <c r="R177" i="4"/>
  <c r="K177" i="4"/>
  <c r="R178" i="4"/>
  <c r="K178" i="4"/>
  <c r="R179" i="4"/>
  <c r="K179" i="4"/>
  <c r="K180" i="4"/>
  <c r="R182" i="4"/>
  <c r="K182" i="4"/>
  <c r="R183" i="4"/>
  <c r="K183" i="4"/>
  <c r="R184" i="4"/>
  <c r="K184" i="4"/>
  <c r="R185" i="4"/>
  <c r="K185" i="4"/>
  <c r="R187" i="4"/>
  <c r="K187" i="4"/>
  <c r="R188" i="4"/>
  <c r="K188" i="4"/>
  <c r="R189" i="4"/>
  <c r="K189" i="4"/>
  <c r="R190" i="4"/>
  <c r="K190" i="4"/>
  <c r="R191" i="4"/>
  <c r="K191" i="4"/>
  <c r="R192" i="4"/>
  <c r="K192" i="4"/>
  <c r="R193" i="4"/>
  <c r="K193" i="4"/>
  <c r="J194" i="4"/>
  <c r="J195" i="4"/>
  <c r="J196" i="4"/>
  <c r="R197" i="4"/>
  <c r="K197" i="4"/>
  <c r="R198" i="4"/>
  <c r="K198" i="4"/>
  <c r="J199" i="4"/>
  <c r="J200" i="4"/>
  <c r="W155" i="55"/>
  <c r="S155" i="55"/>
  <c r="W260" i="55"/>
  <c r="S260" i="55"/>
  <c r="S282" i="55"/>
  <c r="T155" i="55"/>
  <c r="T260" i="55"/>
  <c r="T282" i="55"/>
  <c r="U155" i="55"/>
  <c r="U260" i="55"/>
  <c r="U282" i="55"/>
  <c r="V155" i="55"/>
  <c r="V260" i="55"/>
  <c r="V282" i="55"/>
  <c r="W282" i="55"/>
  <c r="K33" i="51"/>
  <c r="R95" i="4"/>
  <c r="K95" i="4"/>
  <c r="R96" i="4"/>
  <c r="K96" i="4"/>
  <c r="J97" i="4"/>
  <c r="R98" i="4"/>
  <c r="K98" i="4"/>
  <c r="R99" i="4"/>
  <c r="K99" i="4"/>
  <c r="R100" i="4"/>
  <c r="K100" i="4"/>
  <c r="R101" i="4"/>
  <c r="K101" i="4"/>
  <c r="J102" i="4"/>
  <c r="R103" i="4"/>
  <c r="K103" i="4"/>
  <c r="R104" i="4"/>
  <c r="K104" i="4"/>
  <c r="R105" i="4"/>
  <c r="K105" i="4"/>
  <c r="J106" i="4"/>
  <c r="R107" i="4"/>
  <c r="K107" i="4"/>
  <c r="R108" i="4"/>
  <c r="K108" i="4"/>
  <c r="R109" i="4"/>
  <c r="K109" i="4"/>
  <c r="R110" i="4"/>
  <c r="K110" i="4"/>
  <c r="K111" i="4"/>
  <c r="R112" i="4"/>
  <c r="K112" i="4"/>
  <c r="J113" i="4"/>
  <c r="R115" i="4"/>
  <c r="K115" i="4"/>
  <c r="K116" i="4"/>
  <c r="R117" i="4"/>
  <c r="K117" i="4"/>
  <c r="R118" i="4"/>
  <c r="K118" i="4"/>
  <c r="R119" i="4"/>
  <c r="K119" i="4"/>
  <c r="R120" i="4"/>
  <c r="K120" i="4"/>
  <c r="R121" i="4"/>
  <c r="K121" i="4"/>
  <c r="J114" i="4"/>
  <c r="R123" i="4"/>
  <c r="K123" i="4"/>
  <c r="K124" i="4"/>
  <c r="R125" i="4"/>
  <c r="K125" i="4"/>
  <c r="R126" i="4"/>
  <c r="K126" i="4"/>
  <c r="R127" i="4"/>
  <c r="K127" i="4"/>
  <c r="R128" i="4"/>
  <c r="K128" i="4"/>
  <c r="R129" i="4"/>
  <c r="K129" i="4"/>
  <c r="R130" i="4"/>
  <c r="K130" i="4"/>
  <c r="J122" i="4"/>
  <c r="J131" i="4"/>
  <c r="J132" i="4"/>
  <c r="J133" i="4"/>
  <c r="R134" i="4"/>
  <c r="K134" i="4"/>
  <c r="R135" i="4"/>
  <c r="K135" i="4"/>
  <c r="J136" i="4"/>
  <c r="J137" i="4"/>
  <c r="W156" i="55"/>
  <c r="S156" i="55"/>
  <c r="W261" i="55"/>
  <c r="S261" i="55"/>
  <c r="S283" i="55"/>
  <c r="T156" i="55"/>
  <c r="T261" i="55"/>
  <c r="T283" i="55"/>
  <c r="U156" i="55"/>
  <c r="U261" i="55"/>
  <c r="U283" i="55"/>
  <c r="V156" i="55"/>
  <c r="V261" i="55"/>
  <c r="V283" i="55"/>
  <c r="W283" i="55"/>
  <c r="R16" i="4"/>
  <c r="K16" i="4"/>
  <c r="R17" i="4"/>
  <c r="K17" i="4"/>
  <c r="R18" i="4"/>
  <c r="K18" i="4"/>
  <c r="J19" i="4"/>
  <c r="R20" i="4"/>
  <c r="K20" i="4"/>
  <c r="R21" i="4"/>
  <c r="K21" i="4"/>
  <c r="R22" i="4"/>
  <c r="K22" i="4"/>
  <c r="R23" i="4"/>
  <c r="K23" i="4"/>
  <c r="J24" i="4"/>
  <c r="R25" i="4"/>
  <c r="K25" i="4"/>
  <c r="R26" i="4"/>
  <c r="K26" i="4"/>
  <c r="R27" i="4"/>
  <c r="K27" i="4"/>
  <c r="J28" i="4"/>
  <c r="R29" i="4"/>
  <c r="K29" i="4"/>
  <c r="R30" i="4"/>
  <c r="K30" i="4"/>
  <c r="R31" i="4"/>
  <c r="K31" i="4"/>
  <c r="R32" i="4"/>
  <c r="K32" i="4"/>
  <c r="R33" i="4"/>
  <c r="K33" i="4"/>
  <c r="R34" i="4"/>
  <c r="K34" i="4"/>
  <c r="K35" i="4"/>
  <c r="R36" i="4"/>
  <c r="K36" i="4"/>
  <c r="J37" i="4"/>
  <c r="R39" i="4"/>
  <c r="K39" i="4"/>
  <c r="K40" i="4"/>
  <c r="R41" i="4"/>
  <c r="K41" i="4"/>
  <c r="K42" i="4"/>
  <c r="R43" i="4"/>
  <c r="K43" i="4"/>
  <c r="R44" i="4"/>
  <c r="K44" i="4"/>
  <c r="R45" i="4"/>
  <c r="K45" i="4"/>
  <c r="R46" i="4"/>
  <c r="K46" i="4"/>
  <c r="R47" i="4"/>
  <c r="K47" i="4"/>
  <c r="J38" i="4"/>
  <c r="R49" i="4"/>
  <c r="K49" i="4"/>
  <c r="R50" i="4"/>
  <c r="K50" i="4"/>
  <c r="K51" i="4"/>
  <c r="R52" i="4"/>
  <c r="K52" i="4"/>
  <c r="R53" i="4"/>
  <c r="K53" i="4"/>
  <c r="R54" i="4"/>
  <c r="K54" i="4"/>
  <c r="R55" i="4"/>
  <c r="K55" i="4"/>
  <c r="R56" i="4"/>
  <c r="K56" i="4"/>
  <c r="J48" i="4"/>
  <c r="R58" i="4"/>
  <c r="K58" i="4"/>
  <c r="R59" i="4"/>
  <c r="K59" i="4"/>
  <c r="K60" i="4"/>
  <c r="R61" i="4"/>
  <c r="K61" i="4"/>
  <c r="R62" i="4"/>
  <c r="K62" i="4"/>
  <c r="R63" i="4"/>
  <c r="K63" i="4"/>
  <c r="J57" i="4"/>
  <c r="R65" i="4"/>
  <c r="K65" i="4"/>
  <c r="R66" i="4"/>
  <c r="K66" i="4"/>
  <c r="K67" i="4"/>
  <c r="R68" i="4"/>
  <c r="K68" i="4"/>
  <c r="R69" i="4"/>
  <c r="K69" i="4"/>
  <c r="R70" i="4"/>
  <c r="K70" i="4"/>
  <c r="R71" i="4"/>
  <c r="K71" i="4"/>
  <c r="J64" i="4"/>
  <c r="J72" i="4"/>
  <c r="J73" i="4"/>
  <c r="J74" i="4"/>
  <c r="R75" i="4"/>
  <c r="K75" i="4"/>
  <c r="R76" i="4"/>
  <c r="K76" i="4"/>
  <c r="J77" i="4"/>
  <c r="J78" i="4"/>
  <c r="W157" i="55"/>
  <c r="S157" i="55"/>
  <c r="W262" i="55"/>
  <c r="S262" i="55"/>
  <c r="S284" i="55"/>
  <c r="T157" i="55"/>
  <c r="T262" i="55"/>
  <c r="T284" i="55"/>
  <c r="U157" i="55"/>
  <c r="U262" i="55"/>
  <c r="U284" i="55"/>
  <c r="V157" i="55"/>
  <c r="V262" i="55"/>
  <c r="V284" i="55"/>
  <c r="W284" i="55"/>
  <c r="W285" i="55"/>
  <c r="K34" i="51"/>
  <c r="K35" i="51"/>
  <c r="F15" i="70"/>
  <c r="S154" i="4"/>
  <c r="M154" i="4"/>
  <c r="S155" i="4"/>
  <c r="M155" i="4"/>
  <c r="S156" i="4"/>
  <c r="M156" i="4"/>
  <c r="L157" i="4"/>
  <c r="S158" i="4"/>
  <c r="M158" i="4"/>
  <c r="S159" i="4"/>
  <c r="M159" i="4"/>
  <c r="S160" i="4"/>
  <c r="M160" i="4"/>
  <c r="S161" i="4"/>
  <c r="M161" i="4"/>
  <c r="L162" i="4"/>
  <c r="S163" i="4"/>
  <c r="M163" i="4"/>
  <c r="S164" i="4"/>
  <c r="M164" i="4"/>
  <c r="S165" i="4"/>
  <c r="M165" i="4"/>
  <c r="L166" i="4"/>
  <c r="S167" i="4"/>
  <c r="M167" i="4"/>
  <c r="S168" i="4"/>
  <c r="M168" i="4"/>
  <c r="S169" i="4"/>
  <c r="M169" i="4"/>
  <c r="S170" i="4"/>
  <c r="M170" i="4"/>
  <c r="M171" i="4"/>
  <c r="S172" i="4"/>
  <c r="M172" i="4"/>
  <c r="L173" i="4"/>
  <c r="S175" i="4"/>
  <c r="M175" i="4"/>
  <c r="M176" i="4"/>
  <c r="S177" i="4"/>
  <c r="M177" i="4"/>
  <c r="S178" i="4"/>
  <c r="M178" i="4"/>
  <c r="S179" i="4"/>
  <c r="M179" i="4"/>
  <c r="M180" i="4"/>
  <c r="S182" i="4"/>
  <c r="M182" i="4"/>
  <c r="S183" i="4"/>
  <c r="M183" i="4"/>
  <c r="S184" i="4"/>
  <c r="M184" i="4"/>
  <c r="S185" i="4"/>
  <c r="M185" i="4"/>
  <c r="S187" i="4"/>
  <c r="M187" i="4"/>
  <c r="S188" i="4"/>
  <c r="M188" i="4"/>
  <c r="S189" i="4"/>
  <c r="M189" i="4"/>
  <c r="S190" i="4"/>
  <c r="M190" i="4"/>
  <c r="S191" i="4"/>
  <c r="M191" i="4"/>
  <c r="S192" i="4"/>
  <c r="M192" i="4"/>
  <c r="S193" i="4"/>
  <c r="M193" i="4"/>
  <c r="L194" i="4"/>
  <c r="L195" i="4"/>
  <c r="L196" i="4"/>
  <c r="S197" i="4"/>
  <c r="M197" i="4"/>
  <c r="S198" i="4"/>
  <c r="M198" i="4"/>
  <c r="L199" i="4"/>
  <c r="L200" i="4"/>
  <c r="AB155" i="55"/>
  <c r="X155" i="55"/>
  <c r="AB260" i="55"/>
  <c r="X260" i="55"/>
  <c r="X282" i="55"/>
  <c r="Y155" i="55"/>
  <c r="Y260" i="55"/>
  <c r="Y282" i="55"/>
  <c r="Z155" i="55"/>
  <c r="Z260" i="55"/>
  <c r="Z282" i="55"/>
  <c r="AA155" i="55"/>
  <c r="AA260" i="55"/>
  <c r="AA282" i="55"/>
  <c r="AB282" i="55"/>
  <c r="M33" i="51"/>
  <c r="S95" i="4"/>
  <c r="M95" i="4"/>
  <c r="S96" i="4"/>
  <c r="M96" i="4"/>
  <c r="L97" i="4"/>
  <c r="S98" i="4"/>
  <c r="M98" i="4"/>
  <c r="S99" i="4"/>
  <c r="M99" i="4"/>
  <c r="S100" i="4"/>
  <c r="M100" i="4"/>
  <c r="S101" i="4"/>
  <c r="M101" i="4"/>
  <c r="L102" i="4"/>
  <c r="S103" i="4"/>
  <c r="M103" i="4"/>
  <c r="S104" i="4"/>
  <c r="M104" i="4"/>
  <c r="S105" i="4"/>
  <c r="M105" i="4"/>
  <c r="L106" i="4"/>
  <c r="S107" i="4"/>
  <c r="M107" i="4"/>
  <c r="S108" i="4"/>
  <c r="M108" i="4"/>
  <c r="S109" i="4"/>
  <c r="M109" i="4"/>
  <c r="S110" i="4"/>
  <c r="M110" i="4"/>
  <c r="M111" i="4"/>
  <c r="S112" i="4"/>
  <c r="M112" i="4"/>
  <c r="L113" i="4"/>
  <c r="S115" i="4"/>
  <c r="M115" i="4"/>
  <c r="M116" i="4"/>
  <c r="S117" i="4"/>
  <c r="M117" i="4"/>
  <c r="S118" i="4"/>
  <c r="M118" i="4"/>
  <c r="S119" i="4"/>
  <c r="M119" i="4"/>
  <c r="S120" i="4"/>
  <c r="M120" i="4"/>
  <c r="S121" i="4"/>
  <c r="M121" i="4"/>
  <c r="L114" i="4"/>
  <c r="S123" i="4"/>
  <c r="M123" i="4"/>
  <c r="M124" i="4"/>
  <c r="S125" i="4"/>
  <c r="M125" i="4"/>
  <c r="S126" i="4"/>
  <c r="M126" i="4"/>
  <c r="S127" i="4"/>
  <c r="M127" i="4"/>
  <c r="S128" i="4"/>
  <c r="M128" i="4"/>
  <c r="S129" i="4"/>
  <c r="M129" i="4"/>
  <c r="S130" i="4"/>
  <c r="M130" i="4"/>
  <c r="L122" i="4"/>
  <c r="L131" i="4"/>
  <c r="L132" i="4"/>
  <c r="L133" i="4"/>
  <c r="S134" i="4"/>
  <c r="M134" i="4"/>
  <c r="S135" i="4"/>
  <c r="M135" i="4"/>
  <c r="L136" i="4"/>
  <c r="L137" i="4"/>
  <c r="AB156" i="55"/>
  <c r="X156" i="55"/>
  <c r="AB261" i="55"/>
  <c r="X261" i="55"/>
  <c r="X283" i="55"/>
  <c r="Y156" i="55"/>
  <c r="Y261" i="55"/>
  <c r="Y283" i="55"/>
  <c r="Z156" i="55"/>
  <c r="Z261" i="55"/>
  <c r="Z283" i="55"/>
  <c r="AA156" i="55"/>
  <c r="AA261" i="55"/>
  <c r="AA283" i="55"/>
  <c r="AB283" i="55"/>
  <c r="S16" i="4"/>
  <c r="M16" i="4"/>
  <c r="S17" i="4"/>
  <c r="M17" i="4"/>
  <c r="S18" i="4"/>
  <c r="M18" i="4"/>
  <c r="L19" i="4"/>
  <c r="S20" i="4"/>
  <c r="M20" i="4"/>
  <c r="S21" i="4"/>
  <c r="M21" i="4"/>
  <c r="S22" i="4"/>
  <c r="M22" i="4"/>
  <c r="S23" i="4"/>
  <c r="M23" i="4"/>
  <c r="L24" i="4"/>
  <c r="S25" i="4"/>
  <c r="M25" i="4"/>
  <c r="S26" i="4"/>
  <c r="M26" i="4"/>
  <c r="S27" i="4"/>
  <c r="M27" i="4"/>
  <c r="L28" i="4"/>
  <c r="S29" i="4"/>
  <c r="M29" i="4"/>
  <c r="S30" i="4"/>
  <c r="M30" i="4"/>
  <c r="S31" i="4"/>
  <c r="M31" i="4"/>
  <c r="S32" i="4"/>
  <c r="M32" i="4"/>
  <c r="S33" i="4"/>
  <c r="M33" i="4"/>
  <c r="S34" i="4"/>
  <c r="M34" i="4"/>
  <c r="M35" i="4"/>
  <c r="S36" i="4"/>
  <c r="M36" i="4"/>
  <c r="L37" i="4"/>
  <c r="S39" i="4"/>
  <c r="M39" i="4"/>
  <c r="M40" i="4"/>
  <c r="S41" i="4"/>
  <c r="M41" i="4"/>
  <c r="M42" i="4"/>
  <c r="S43" i="4"/>
  <c r="M43" i="4"/>
  <c r="S44" i="4"/>
  <c r="M44" i="4"/>
  <c r="S45" i="4"/>
  <c r="M45" i="4"/>
  <c r="S46" i="4"/>
  <c r="M46" i="4"/>
  <c r="S47" i="4"/>
  <c r="M47" i="4"/>
  <c r="L38" i="4"/>
  <c r="S49" i="4"/>
  <c r="M49" i="4"/>
  <c r="S50" i="4"/>
  <c r="M50" i="4"/>
  <c r="M51" i="4"/>
  <c r="S52" i="4"/>
  <c r="M52" i="4"/>
  <c r="S53" i="4"/>
  <c r="M53" i="4"/>
  <c r="S54" i="4"/>
  <c r="M54" i="4"/>
  <c r="S55" i="4"/>
  <c r="M55" i="4"/>
  <c r="S56" i="4"/>
  <c r="M56" i="4"/>
  <c r="L48" i="4"/>
  <c r="S58" i="4"/>
  <c r="M58" i="4"/>
  <c r="S59" i="4"/>
  <c r="M59" i="4"/>
  <c r="M60" i="4"/>
  <c r="S61" i="4"/>
  <c r="M61" i="4"/>
  <c r="S62" i="4"/>
  <c r="M62" i="4"/>
  <c r="S63" i="4"/>
  <c r="M63" i="4"/>
  <c r="L57" i="4"/>
  <c r="S65" i="4"/>
  <c r="M65" i="4"/>
  <c r="S66" i="4"/>
  <c r="M66" i="4"/>
  <c r="M67" i="4"/>
  <c r="S68" i="4"/>
  <c r="M68" i="4"/>
  <c r="S69" i="4"/>
  <c r="M69" i="4"/>
  <c r="S70" i="4"/>
  <c r="M70" i="4"/>
  <c r="S71" i="4"/>
  <c r="M71" i="4"/>
  <c r="L64" i="4"/>
  <c r="L72" i="4"/>
  <c r="L73" i="4"/>
  <c r="L74" i="4"/>
  <c r="S75" i="4"/>
  <c r="M75" i="4"/>
  <c r="S76" i="4"/>
  <c r="M76" i="4"/>
  <c r="L77" i="4"/>
  <c r="L78" i="4"/>
  <c r="AB157" i="55"/>
  <c r="X157" i="55"/>
  <c r="AB262" i="55"/>
  <c r="X262" i="55"/>
  <c r="X284" i="55"/>
  <c r="Y157" i="55"/>
  <c r="Y262" i="55"/>
  <c r="Y284" i="55"/>
  <c r="Z157" i="55"/>
  <c r="Z262" i="55"/>
  <c r="Z284" i="55"/>
  <c r="AA157" i="55"/>
  <c r="AA262" i="55"/>
  <c r="AA284" i="55"/>
  <c r="AB284" i="55"/>
  <c r="AB285" i="55"/>
  <c r="M34" i="51"/>
  <c r="M35" i="51"/>
  <c r="G15" i="70"/>
  <c r="H15" i="70"/>
  <c r="E8" i="4"/>
  <c r="E9" i="4"/>
  <c r="E10" i="4"/>
  <c r="D11" i="4"/>
  <c r="E87" i="4"/>
  <c r="E88" i="4"/>
  <c r="E89" i="4"/>
  <c r="D90" i="4"/>
  <c r="E146" i="4"/>
  <c r="E147" i="4"/>
  <c r="E148" i="4"/>
  <c r="D149" i="4"/>
  <c r="F272" i="55"/>
  <c r="H272" i="55"/>
  <c r="E36" i="51"/>
  <c r="E5" i="4"/>
  <c r="D7" i="4"/>
  <c r="E84" i="4"/>
  <c r="E85" i="4"/>
  <c r="D86" i="4"/>
  <c r="E143" i="4"/>
  <c r="E144" i="4"/>
  <c r="D145" i="4"/>
  <c r="G273" i="55"/>
  <c r="H273" i="55"/>
  <c r="E37" i="51"/>
  <c r="E38" i="51"/>
  <c r="C16" i="70"/>
  <c r="G8" i="4"/>
  <c r="G9" i="4"/>
  <c r="G10" i="4"/>
  <c r="F11" i="4"/>
  <c r="G87" i="4"/>
  <c r="G88" i="4"/>
  <c r="G89" i="4"/>
  <c r="F90" i="4"/>
  <c r="G146" i="4"/>
  <c r="G147" i="4"/>
  <c r="G148" i="4"/>
  <c r="F149" i="4"/>
  <c r="K272" i="55"/>
  <c r="M272" i="55"/>
  <c r="G36" i="51"/>
  <c r="G5" i="4"/>
  <c r="G6" i="4"/>
  <c r="F7" i="4"/>
  <c r="G84" i="4"/>
  <c r="G85" i="4"/>
  <c r="F86" i="4"/>
  <c r="G143" i="4"/>
  <c r="G144" i="4"/>
  <c r="F145" i="4"/>
  <c r="L273" i="55"/>
  <c r="M273" i="55"/>
  <c r="G37" i="51"/>
  <c r="G38" i="51"/>
  <c r="D16" i="70"/>
  <c r="I8" i="4"/>
  <c r="I9" i="4"/>
  <c r="I10" i="4"/>
  <c r="H11" i="4"/>
  <c r="I87" i="4"/>
  <c r="I88" i="4"/>
  <c r="I89" i="4"/>
  <c r="H90" i="4"/>
  <c r="I146" i="4"/>
  <c r="I147" i="4"/>
  <c r="I148" i="4"/>
  <c r="H149" i="4"/>
  <c r="P272" i="55"/>
  <c r="R272" i="55"/>
  <c r="I36" i="51"/>
  <c r="I5" i="4"/>
  <c r="I6" i="4"/>
  <c r="H7" i="4"/>
  <c r="I84" i="4"/>
  <c r="I85" i="4"/>
  <c r="H86" i="4"/>
  <c r="I143" i="4"/>
  <c r="I144" i="4"/>
  <c r="H145" i="4"/>
  <c r="Q273" i="55"/>
  <c r="R273" i="55"/>
  <c r="I37" i="51"/>
  <c r="I38" i="51"/>
  <c r="E16" i="70"/>
  <c r="K8" i="4"/>
  <c r="K9" i="4"/>
  <c r="K10" i="4"/>
  <c r="J11" i="4"/>
  <c r="K87" i="4"/>
  <c r="K88" i="4"/>
  <c r="K89" i="4"/>
  <c r="J90" i="4"/>
  <c r="K146" i="4"/>
  <c r="K147" i="4"/>
  <c r="K148" i="4"/>
  <c r="J149" i="4"/>
  <c r="U272" i="55"/>
  <c r="W272" i="55"/>
  <c r="K36" i="51"/>
  <c r="K5" i="4"/>
  <c r="K6" i="4"/>
  <c r="J7" i="4"/>
  <c r="K84" i="4"/>
  <c r="K85" i="4"/>
  <c r="J86" i="4"/>
  <c r="K143" i="4"/>
  <c r="K144" i="4"/>
  <c r="J145" i="4"/>
  <c r="V273" i="55"/>
  <c r="W273" i="55"/>
  <c r="K37" i="51"/>
  <c r="K38" i="51"/>
  <c r="F16" i="70"/>
  <c r="M8" i="4"/>
  <c r="M9" i="4"/>
  <c r="M10" i="4"/>
  <c r="L11" i="4"/>
  <c r="M87" i="4"/>
  <c r="M88" i="4"/>
  <c r="M89" i="4"/>
  <c r="L90" i="4"/>
  <c r="M146" i="4"/>
  <c r="M147" i="4"/>
  <c r="M148" i="4"/>
  <c r="L149" i="4"/>
  <c r="Z272" i="55"/>
  <c r="AB272" i="55"/>
  <c r="M36" i="51"/>
  <c r="M5" i="4"/>
  <c r="M6" i="4"/>
  <c r="L7" i="4"/>
  <c r="M84" i="4"/>
  <c r="M85" i="4"/>
  <c r="L86" i="4"/>
  <c r="M143" i="4"/>
  <c r="M144" i="4"/>
  <c r="L145" i="4"/>
  <c r="AA273" i="55"/>
  <c r="AB273" i="55"/>
  <c r="M37" i="51"/>
  <c r="M38" i="51"/>
  <c r="G16" i="70"/>
  <c r="H16" i="70"/>
  <c r="C17" i="70"/>
  <c r="D17" i="70"/>
  <c r="E17" i="70"/>
  <c r="F17" i="70"/>
  <c r="G17" i="70"/>
  <c r="H17" i="70"/>
  <c r="C19" i="70"/>
  <c r="D19" i="70"/>
  <c r="E19" i="70"/>
  <c r="F19" i="70"/>
  <c r="G19" i="70"/>
  <c r="H19" i="70"/>
  <c r="C20" i="70"/>
  <c r="D20" i="70"/>
  <c r="E20" i="70"/>
  <c r="F20" i="70"/>
  <c r="G20" i="70"/>
  <c r="H20" i="70"/>
  <c r="D38" i="55"/>
  <c r="D39" i="55"/>
  <c r="D40" i="55"/>
  <c r="D41" i="55"/>
  <c r="D42" i="55"/>
  <c r="D43" i="55"/>
  <c r="D44" i="55"/>
  <c r="C5" i="57"/>
  <c r="C10" i="57"/>
  <c r="D92" i="55"/>
  <c r="D93" i="55"/>
  <c r="C12" i="57"/>
  <c r="D97" i="55"/>
  <c r="D98" i="55"/>
  <c r="C13" i="57"/>
  <c r="D111" i="55"/>
  <c r="D112" i="55"/>
  <c r="D230" i="55"/>
  <c r="D231" i="55"/>
  <c r="C14" i="57"/>
  <c r="D118" i="55"/>
  <c r="D119" i="55"/>
  <c r="D125" i="55"/>
  <c r="D126" i="55"/>
  <c r="D132" i="55"/>
  <c r="D133" i="55"/>
  <c r="D237" i="55"/>
  <c r="D238" i="55"/>
  <c r="D244" i="55"/>
  <c r="D245" i="55"/>
  <c r="C15" i="57"/>
  <c r="D153" i="55"/>
  <c r="D154" i="55"/>
  <c r="D258" i="55"/>
  <c r="D259" i="55"/>
  <c r="C16" i="57"/>
  <c r="D158" i="55"/>
  <c r="D159" i="55"/>
  <c r="D263" i="55"/>
  <c r="D264" i="55"/>
  <c r="C17" i="57"/>
  <c r="D279" i="55"/>
  <c r="D280" i="55"/>
  <c r="C18" i="57"/>
  <c r="C19" i="57"/>
  <c r="C20" i="57"/>
  <c r="C21" i="57"/>
  <c r="E38" i="55"/>
  <c r="E39" i="55"/>
  <c r="E40" i="55"/>
  <c r="E41" i="55"/>
  <c r="E42" i="55"/>
  <c r="E43" i="55"/>
  <c r="E44" i="55"/>
  <c r="D5" i="57"/>
  <c r="D50" i="55"/>
  <c r="D51" i="55"/>
  <c r="D57" i="55"/>
  <c r="D58" i="55"/>
  <c r="D64" i="55"/>
  <c r="D65" i="55"/>
  <c r="D6" i="57"/>
  <c r="D7" i="57"/>
  <c r="D179" i="55"/>
  <c r="D180" i="55"/>
  <c r="D8" i="57"/>
  <c r="D186" i="55"/>
  <c r="D187" i="55"/>
  <c r="D193" i="55"/>
  <c r="D194" i="55"/>
  <c r="D9" i="57"/>
  <c r="D10" i="57"/>
  <c r="D78" i="55"/>
  <c r="D79" i="55"/>
  <c r="D207" i="55"/>
  <c r="D208" i="55"/>
  <c r="D11" i="57"/>
  <c r="E92" i="55"/>
  <c r="E93" i="55"/>
  <c r="D12" i="57"/>
  <c r="E97" i="55"/>
  <c r="E98" i="55"/>
  <c r="D13" i="57"/>
  <c r="E111" i="55"/>
  <c r="E112" i="55"/>
  <c r="E230" i="55"/>
  <c r="E231" i="55"/>
  <c r="D14" i="57"/>
  <c r="E118" i="55"/>
  <c r="E119" i="55"/>
  <c r="E125" i="55"/>
  <c r="E126" i="55"/>
  <c r="E132" i="55"/>
  <c r="E133" i="55"/>
  <c r="E237" i="55"/>
  <c r="E238" i="55"/>
  <c r="E244" i="55"/>
  <c r="E245" i="55"/>
  <c r="D15" i="57"/>
  <c r="E153" i="55"/>
  <c r="E154" i="55"/>
  <c r="E258" i="55"/>
  <c r="E259" i="55"/>
  <c r="D16" i="57"/>
  <c r="E158" i="55"/>
  <c r="E159" i="55"/>
  <c r="E263" i="55"/>
  <c r="E264" i="55"/>
  <c r="D17" i="57"/>
  <c r="E279" i="55"/>
  <c r="E280" i="55"/>
  <c r="D18" i="57"/>
  <c r="D19" i="57"/>
  <c r="D20" i="57"/>
  <c r="D21" i="57"/>
  <c r="F38" i="55"/>
  <c r="F39" i="55"/>
  <c r="F40" i="55"/>
  <c r="F41" i="55"/>
  <c r="F42" i="55"/>
  <c r="F43" i="55"/>
  <c r="F44" i="55"/>
  <c r="E5" i="57"/>
  <c r="E50" i="55"/>
  <c r="E51" i="55"/>
  <c r="E57" i="55"/>
  <c r="E58" i="55"/>
  <c r="E64" i="55"/>
  <c r="E65" i="55"/>
  <c r="E6" i="57"/>
  <c r="E7" i="57"/>
  <c r="E179" i="55"/>
  <c r="E180" i="55"/>
  <c r="E8" i="57"/>
  <c r="E186" i="55"/>
  <c r="E187" i="55"/>
  <c r="E193" i="55"/>
  <c r="E194" i="55"/>
  <c r="E9" i="57"/>
  <c r="E10" i="57"/>
  <c r="E78" i="55"/>
  <c r="E79" i="55"/>
  <c r="E207" i="55"/>
  <c r="E208" i="55"/>
  <c r="E11" i="57"/>
  <c r="F92" i="55"/>
  <c r="F93" i="55"/>
  <c r="E12" i="57"/>
  <c r="F97" i="55"/>
  <c r="F98" i="55"/>
  <c r="E13" i="57"/>
  <c r="F111" i="55"/>
  <c r="F112" i="55"/>
  <c r="F230" i="55"/>
  <c r="F231" i="55"/>
  <c r="E14" i="57"/>
  <c r="F118" i="55"/>
  <c r="F119" i="55"/>
  <c r="F125" i="55"/>
  <c r="F126" i="55"/>
  <c r="F132" i="55"/>
  <c r="F133" i="55"/>
  <c r="F237" i="55"/>
  <c r="F238" i="55"/>
  <c r="F244" i="55"/>
  <c r="F245" i="55"/>
  <c r="E15" i="57"/>
  <c r="F153" i="55"/>
  <c r="F154" i="55"/>
  <c r="F258" i="55"/>
  <c r="F259" i="55"/>
  <c r="E16" i="57"/>
  <c r="F158" i="55"/>
  <c r="F159" i="55"/>
  <c r="F263" i="55"/>
  <c r="F264" i="55"/>
  <c r="E17" i="57"/>
  <c r="F279" i="55"/>
  <c r="D150" i="4"/>
  <c r="F276" i="55"/>
  <c r="F280" i="55"/>
  <c r="E18" i="57"/>
  <c r="E19" i="57"/>
  <c r="E20" i="57"/>
  <c r="E21" i="57"/>
  <c r="G38" i="55"/>
  <c r="G39" i="55"/>
  <c r="G40" i="55"/>
  <c r="G41" i="55"/>
  <c r="G42" i="55"/>
  <c r="G43" i="55"/>
  <c r="G44" i="55"/>
  <c r="F5" i="57"/>
  <c r="F50" i="55"/>
  <c r="F51" i="55"/>
  <c r="F57" i="55"/>
  <c r="F58" i="55"/>
  <c r="F64" i="55"/>
  <c r="F65" i="55"/>
  <c r="F6" i="57"/>
  <c r="F7" i="57"/>
  <c r="F179" i="55"/>
  <c r="F180" i="55"/>
  <c r="F8" i="57"/>
  <c r="F186" i="55"/>
  <c r="F187" i="55"/>
  <c r="F193" i="55"/>
  <c r="F194" i="55"/>
  <c r="F9" i="57"/>
  <c r="F10" i="57"/>
  <c r="F78" i="55"/>
  <c r="F79" i="55"/>
  <c r="F207" i="55"/>
  <c r="F208" i="55"/>
  <c r="F11" i="57"/>
  <c r="G92" i="55"/>
  <c r="G93" i="55"/>
  <c r="F12" i="57"/>
  <c r="G97" i="55"/>
  <c r="G98" i="55"/>
  <c r="F13" i="57"/>
  <c r="G111" i="55"/>
  <c r="G112" i="55"/>
  <c r="G230" i="55"/>
  <c r="G231" i="55"/>
  <c r="F14" i="57"/>
  <c r="G118" i="55"/>
  <c r="G119" i="55"/>
  <c r="G125" i="55"/>
  <c r="G126" i="55"/>
  <c r="G132" i="55"/>
  <c r="G133" i="55"/>
  <c r="G237" i="55"/>
  <c r="G238" i="55"/>
  <c r="G244" i="55"/>
  <c r="G245" i="55"/>
  <c r="F15" i="57"/>
  <c r="G153" i="55"/>
  <c r="G154" i="55"/>
  <c r="G258" i="55"/>
  <c r="G259" i="55"/>
  <c r="F16" i="57"/>
  <c r="G158" i="55"/>
  <c r="G159" i="55"/>
  <c r="G263" i="55"/>
  <c r="G264" i="55"/>
  <c r="F17" i="57"/>
  <c r="D91" i="4"/>
  <c r="G277" i="55"/>
  <c r="D12" i="4"/>
  <c r="G278" i="55"/>
  <c r="G279" i="55"/>
  <c r="G280" i="55"/>
  <c r="F18" i="57"/>
  <c r="F19" i="57"/>
  <c r="F20" i="57"/>
  <c r="F21" i="57"/>
  <c r="C22" i="57"/>
  <c r="E48" i="51"/>
  <c r="C22" i="70"/>
  <c r="G20" i="57"/>
  <c r="I38" i="55"/>
  <c r="I39" i="55"/>
  <c r="I40" i="55"/>
  <c r="I41" i="55"/>
  <c r="I42" i="55"/>
  <c r="I43" i="55"/>
  <c r="I44" i="55"/>
  <c r="H5" i="57"/>
  <c r="G50" i="55"/>
  <c r="G51" i="55"/>
  <c r="G57" i="55"/>
  <c r="G58" i="55"/>
  <c r="G64" i="55"/>
  <c r="G65" i="55"/>
  <c r="H6" i="57"/>
  <c r="H7" i="57"/>
  <c r="G179" i="55"/>
  <c r="G180" i="55"/>
  <c r="H8" i="57"/>
  <c r="G186" i="55"/>
  <c r="G187" i="55"/>
  <c r="G193" i="55"/>
  <c r="G194" i="55"/>
  <c r="H9" i="57"/>
  <c r="H10" i="57"/>
  <c r="G78" i="55"/>
  <c r="G79" i="55"/>
  <c r="G207" i="55"/>
  <c r="G208" i="55"/>
  <c r="H11" i="57"/>
  <c r="I92" i="55"/>
  <c r="I93" i="55"/>
  <c r="H12" i="57"/>
  <c r="I97" i="55"/>
  <c r="I98" i="55"/>
  <c r="H13" i="57"/>
  <c r="I111" i="55"/>
  <c r="I112" i="55"/>
  <c r="I230" i="55"/>
  <c r="I231" i="55"/>
  <c r="H14" i="57"/>
  <c r="I118" i="55"/>
  <c r="I119" i="55"/>
  <c r="I125" i="55"/>
  <c r="I126" i="55"/>
  <c r="I132" i="55"/>
  <c r="I133" i="55"/>
  <c r="I237" i="55"/>
  <c r="I238" i="55"/>
  <c r="I244" i="55"/>
  <c r="I245" i="55"/>
  <c r="H15" i="57"/>
  <c r="I153" i="55"/>
  <c r="I154" i="55"/>
  <c r="I258" i="55"/>
  <c r="I259" i="55"/>
  <c r="H16" i="57"/>
  <c r="I158" i="55"/>
  <c r="I159" i="55"/>
  <c r="I263" i="55"/>
  <c r="I264" i="55"/>
  <c r="H17" i="57"/>
  <c r="I279" i="55"/>
  <c r="I280" i="55"/>
  <c r="H18" i="57"/>
  <c r="H19" i="57"/>
  <c r="H20" i="57"/>
  <c r="H21" i="57"/>
  <c r="J38" i="55"/>
  <c r="J39" i="55"/>
  <c r="J40" i="55"/>
  <c r="J41" i="55"/>
  <c r="J42" i="55"/>
  <c r="J43" i="55"/>
  <c r="J44" i="55"/>
  <c r="I5" i="57"/>
  <c r="I50" i="55"/>
  <c r="I51" i="55"/>
  <c r="I57" i="55"/>
  <c r="I58" i="55"/>
  <c r="I64" i="55"/>
  <c r="I65" i="55"/>
  <c r="I6" i="57"/>
  <c r="I7" i="57"/>
  <c r="I179" i="55"/>
  <c r="I180" i="55"/>
  <c r="I8" i="57"/>
  <c r="I186" i="55"/>
  <c r="I187" i="55"/>
  <c r="I193" i="55"/>
  <c r="I194" i="55"/>
  <c r="I9" i="57"/>
  <c r="I10" i="57"/>
  <c r="I78" i="55"/>
  <c r="I79" i="55"/>
  <c r="I207" i="55"/>
  <c r="I208" i="55"/>
  <c r="I11" i="57"/>
  <c r="J92" i="55"/>
  <c r="J93" i="55"/>
  <c r="I12" i="57"/>
  <c r="J97" i="55"/>
  <c r="J98" i="55"/>
  <c r="I13" i="57"/>
  <c r="J111" i="55"/>
  <c r="J112" i="55"/>
  <c r="J230" i="55"/>
  <c r="J231" i="55"/>
  <c r="I14" i="57"/>
  <c r="J118" i="55"/>
  <c r="J119" i="55"/>
  <c r="J125" i="55"/>
  <c r="J126" i="55"/>
  <c r="J132" i="55"/>
  <c r="J133" i="55"/>
  <c r="J237" i="55"/>
  <c r="J238" i="55"/>
  <c r="J244" i="55"/>
  <c r="J245" i="55"/>
  <c r="I15" i="57"/>
  <c r="J153" i="55"/>
  <c r="J154" i="55"/>
  <c r="J258" i="55"/>
  <c r="J259" i="55"/>
  <c r="I16" i="57"/>
  <c r="J158" i="55"/>
  <c r="J159" i="55"/>
  <c r="J263" i="55"/>
  <c r="J264" i="55"/>
  <c r="I17" i="57"/>
  <c r="F91" i="4"/>
  <c r="J277" i="55"/>
  <c r="F12" i="4"/>
  <c r="J278" i="55"/>
  <c r="J279" i="55"/>
  <c r="F150" i="4"/>
  <c r="J276" i="55"/>
  <c r="J280" i="55"/>
  <c r="I18" i="57"/>
  <c r="I19" i="57"/>
  <c r="I20" i="57"/>
  <c r="I21" i="57"/>
  <c r="K38" i="55"/>
  <c r="K39" i="55"/>
  <c r="K40" i="55"/>
  <c r="K41" i="55"/>
  <c r="K42" i="55"/>
  <c r="K43" i="55"/>
  <c r="K44" i="55"/>
  <c r="J5" i="57"/>
  <c r="J50" i="55"/>
  <c r="J51" i="55"/>
  <c r="J57" i="55"/>
  <c r="J58" i="55"/>
  <c r="J64" i="55"/>
  <c r="J65" i="55"/>
  <c r="J6" i="57"/>
  <c r="J7" i="57"/>
  <c r="J179" i="55"/>
  <c r="J180" i="55"/>
  <c r="J8" i="57"/>
  <c r="J186" i="55"/>
  <c r="J187" i="55"/>
  <c r="J193" i="55"/>
  <c r="J194" i="55"/>
  <c r="J9" i="57"/>
  <c r="J10" i="57"/>
  <c r="J78" i="55"/>
  <c r="J79" i="55"/>
  <c r="J207" i="55"/>
  <c r="J208" i="55"/>
  <c r="J11" i="57"/>
  <c r="K92" i="55"/>
  <c r="K93" i="55"/>
  <c r="J12" i="57"/>
  <c r="K97" i="55"/>
  <c r="K98" i="55"/>
  <c r="J13" i="57"/>
  <c r="K111" i="55"/>
  <c r="K112" i="55"/>
  <c r="K230" i="55"/>
  <c r="K231" i="55"/>
  <c r="J14" i="57"/>
  <c r="K118" i="55"/>
  <c r="K119" i="55"/>
  <c r="K125" i="55"/>
  <c r="K126" i="55"/>
  <c r="K132" i="55"/>
  <c r="K133" i="55"/>
  <c r="K237" i="55"/>
  <c r="K238" i="55"/>
  <c r="K244" i="55"/>
  <c r="K245" i="55"/>
  <c r="J15" i="57"/>
  <c r="K153" i="55"/>
  <c r="K154" i="55"/>
  <c r="K258" i="55"/>
  <c r="K259" i="55"/>
  <c r="J16" i="57"/>
  <c r="K158" i="55"/>
  <c r="K159" i="55"/>
  <c r="K263" i="55"/>
  <c r="K264" i="55"/>
  <c r="J17" i="57"/>
  <c r="K279" i="55"/>
  <c r="K280" i="55"/>
  <c r="J18" i="57"/>
  <c r="J19" i="57"/>
  <c r="J20" i="57"/>
  <c r="J21" i="57"/>
  <c r="L38" i="55"/>
  <c r="L39" i="55"/>
  <c r="L40" i="55"/>
  <c r="L41" i="55"/>
  <c r="L42" i="55"/>
  <c r="L43" i="55"/>
  <c r="L44" i="55"/>
  <c r="K5" i="57"/>
  <c r="K50" i="55"/>
  <c r="K51" i="55"/>
  <c r="K57" i="55"/>
  <c r="K58" i="55"/>
  <c r="K64" i="55"/>
  <c r="K65" i="55"/>
  <c r="K6" i="57"/>
  <c r="K7" i="57"/>
  <c r="K179" i="55"/>
  <c r="K180" i="55"/>
  <c r="K8" i="57"/>
  <c r="K186" i="55"/>
  <c r="K187" i="55"/>
  <c r="K193" i="55"/>
  <c r="K194" i="55"/>
  <c r="K9" i="57"/>
  <c r="K10" i="57"/>
  <c r="K78" i="55"/>
  <c r="K79" i="55"/>
  <c r="K207" i="55"/>
  <c r="K208" i="55"/>
  <c r="K11" i="57"/>
  <c r="L92" i="55"/>
  <c r="L93" i="55"/>
  <c r="K12" i="57"/>
  <c r="L97" i="55"/>
  <c r="L98" i="55"/>
  <c r="K13" i="57"/>
  <c r="L111" i="55"/>
  <c r="L112" i="55"/>
  <c r="L230" i="55"/>
  <c r="L231" i="55"/>
  <c r="K14" i="57"/>
  <c r="L118" i="55"/>
  <c r="L119" i="55"/>
  <c r="L125" i="55"/>
  <c r="L126" i="55"/>
  <c r="L132" i="55"/>
  <c r="L133" i="55"/>
  <c r="L237" i="55"/>
  <c r="L238" i="55"/>
  <c r="L244" i="55"/>
  <c r="L245" i="55"/>
  <c r="K15" i="57"/>
  <c r="L153" i="55"/>
  <c r="L154" i="55"/>
  <c r="L258" i="55"/>
  <c r="L259" i="55"/>
  <c r="K16" i="57"/>
  <c r="L158" i="55"/>
  <c r="L159" i="55"/>
  <c r="L263" i="55"/>
  <c r="L264" i="55"/>
  <c r="K17" i="57"/>
  <c r="L279" i="55"/>
  <c r="L280" i="55"/>
  <c r="K18" i="57"/>
  <c r="K19" i="57"/>
  <c r="K20" i="57"/>
  <c r="K21" i="57"/>
  <c r="H22" i="57"/>
  <c r="G48" i="51"/>
  <c r="D22" i="70"/>
  <c r="L20" i="57"/>
  <c r="N38" i="55"/>
  <c r="N39" i="55"/>
  <c r="N40" i="55"/>
  <c r="N41" i="55"/>
  <c r="N42" i="55"/>
  <c r="N43" i="55"/>
  <c r="N44" i="55"/>
  <c r="M5" i="57"/>
  <c r="L50" i="55"/>
  <c r="L51" i="55"/>
  <c r="L57" i="55"/>
  <c r="L58" i="55"/>
  <c r="L64" i="55"/>
  <c r="L65" i="55"/>
  <c r="M6" i="57"/>
  <c r="M7" i="57"/>
  <c r="L179" i="55"/>
  <c r="L180" i="55"/>
  <c r="M8" i="57"/>
  <c r="L186" i="55"/>
  <c r="L187" i="55"/>
  <c r="L193" i="55"/>
  <c r="L194" i="55"/>
  <c r="M9" i="57"/>
  <c r="M10" i="57"/>
  <c r="L78" i="55"/>
  <c r="L79" i="55"/>
  <c r="L207" i="55"/>
  <c r="L208" i="55"/>
  <c r="M11" i="57"/>
  <c r="N92" i="55"/>
  <c r="N93" i="55"/>
  <c r="M12" i="57"/>
  <c r="N97" i="55"/>
  <c r="N98" i="55"/>
  <c r="M13" i="57"/>
  <c r="N111" i="55"/>
  <c r="N112" i="55"/>
  <c r="N230" i="55"/>
  <c r="N231" i="55"/>
  <c r="M14" i="57"/>
  <c r="N118" i="55"/>
  <c r="N119" i="55"/>
  <c r="N125" i="55"/>
  <c r="N126" i="55"/>
  <c r="N132" i="55"/>
  <c r="N133" i="55"/>
  <c r="N237" i="55"/>
  <c r="N238" i="55"/>
  <c r="N244" i="55"/>
  <c r="N245" i="55"/>
  <c r="M15" i="57"/>
  <c r="N153" i="55"/>
  <c r="N154" i="55"/>
  <c r="N258" i="55"/>
  <c r="N259" i="55"/>
  <c r="M16" i="57"/>
  <c r="N158" i="55"/>
  <c r="N159" i="55"/>
  <c r="N263" i="55"/>
  <c r="N264" i="55"/>
  <c r="M17" i="57"/>
  <c r="H91" i="4"/>
  <c r="N277" i="55"/>
  <c r="H12" i="4"/>
  <c r="N278" i="55"/>
  <c r="N279" i="55"/>
  <c r="H150" i="4"/>
  <c r="N276" i="55"/>
  <c r="N280" i="55"/>
  <c r="M18" i="57"/>
  <c r="M19" i="57"/>
  <c r="M20" i="57"/>
  <c r="M21" i="57"/>
  <c r="O38" i="55"/>
  <c r="O39" i="55"/>
  <c r="O40" i="55"/>
  <c r="O41" i="55"/>
  <c r="O42" i="55"/>
  <c r="O43" i="55"/>
  <c r="O44" i="55"/>
  <c r="N5" i="57"/>
  <c r="N50" i="55"/>
  <c r="N51" i="55"/>
  <c r="N57" i="55"/>
  <c r="N58" i="55"/>
  <c r="N64" i="55"/>
  <c r="N65" i="55"/>
  <c r="N6" i="57"/>
  <c r="N7" i="57"/>
  <c r="N179" i="55"/>
  <c r="N180" i="55"/>
  <c r="N8" i="57"/>
  <c r="N186" i="55"/>
  <c r="N187" i="55"/>
  <c r="N193" i="55"/>
  <c r="N194" i="55"/>
  <c r="N9" i="57"/>
  <c r="N10" i="57"/>
  <c r="N78" i="55"/>
  <c r="N79" i="55"/>
  <c r="N207" i="55"/>
  <c r="N208" i="55"/>
  <c r="N11" i="57"/>
  <c r="O92" i="55"/>
  <c r="O93" i="55"/>
  <c r="N12" i="57"/>
  <c r="O97" i="55"/>
  <c r="O98" i="55"/>
  <c r="N13" i="57"/>
  <c r="O111" i="55"/>
  <c r="O112" i="55"/>
  <c r="O230" i="55"/>
  <c r="O231" i="55"/>
  <c r="N14" i="57"/>
  <c r="O118" i="55"/>
  <c r="O119" i="55"/>
  <c r="O125" i="55"/>
  <c r="O126" i="55"/>
  <c r="O132" i="55"/>
  <c r="O133" i="55"/>
  <c r="O237" i="55"/>
  <c r="O238" i="55"/>
  <c r="O244" i="55"/>
  <c r="O245" i="55"/>
  <c r="N15" i="57"/>
  <c r="O153" i="55"/>
  <c r="O154" i="55"/>
  <c r="O258" i="55"/>
  <c r="O259" i="55"/>
  <c r="N16" i="57"/>
  <c r="O158" i="55"/>
  <c r="O159" i="55"/>
  <c r="O263" i="55"/>
  <c r="O264" i="55"/>
  <c r="N17" i="57"/>
  <c r="O279" i="55"/>
  <c r="O280" i="55"/>
  <c r="N18" i="57"/>
  <c r="N19" i="57"/>
  <c r="N20" i="57"/>
  <c r="N21" i="57"/>
  <c r="P38" i="55"/>
  <c r="P39" i="55"/>
  <c r="P40" i="55"/>
  <c r="P41" i="55"/>
  <c r="P42" i="55"/>
  <c r="P43" i="55"/>
  <c r="P44" i="55"/>
  <c r="O5" i="57"/>
  <c r="O50" i="55"/>
  <c r="O51" i="55"/>
  <c r="O57" i="55"/>
  <c r="O58" i="55"/>
  <c r="O64" i="55"/>
  <c r="O65" i="55"/>
  <c r="O6" i="57"/>
  <c r="O7" i="57"/>
  <c r="O179" i="55"/>
  <c r="O180" i="55"/>
  <c r="O8" i="57"/>
  <c r="O186" i="55"/>
  <c r="O187" i="55"/>
  <c r="O193" i="55"/>
  <c r="O194" i="55"/>
  <c r="O9" i="57"/>
  <c r="O10" i="57"/>
  <c r="O78" i="55"/>
  <c r="O79" i="55"/>
  <c r="O207" i="55"/>
  <c r="O208" i="55"/>
  <c r="O11" i="57"/>
  <c r="P92" i="55"/>
  <c r="P93" i="55"/>
  <c r="O12" i="57"/>
  <c r="P97" i="55"/>
  <c r="P98" i="55"/>
  <c r="O13" i="57"/>
  <c r="P111" i="55"/>
  <c r="P112" i="55"/>
  <c r="P230" i="55"/>
  <c r="P231" i="55"/>
  <c r="O14" i="57"/>
  <c r="P118" i="55"/>
  <c r="P119" i="55"/>
  <c r="P125" i="55"/>
  <c r="P126" i="55"/>
  <c r="P132" i="55"/>
  <c r="P133" i="55"/>
  <c r="P237" i="55"/>
  <c r="P238" i="55"/>
  <c r="P244" i="55"/>
  <c r="P245" i="55"/>
  <c r="O15" i="57"/>
  <c r="P153" i="55"/>
  <c r="P154" i="55"/>
  <c r="P258" i="55"/>
  <c r="P259" i="55"/>
  <c r="O16" i="57"/>
  <c r="P158" i="55"/>
  <c r="P159" i="55"/>
  <c r="P263" i="55"/>
  <c r="P264" i="55"/>
  <c r="O17" i="57"/>
  <c r="P279" i="55"/>
  <c r="P280" i="55"/>
  <c r="O18" i="57"/>
  <c r="O19" i="57"/>
  <c r="O20" i="57"/>
  <c r="O21" i="57"/>
  <c r="Q38" i="55"/>
  <c r="Q39" i="55"/>
  <c r="Q40" i="55"/>
  <c r="Q41" i="55"/>
  <c r="Q42" i="55"/>
  <c r="Q43" i="55"/>
  <c r="Q44" i="55"/>
  <c r="P5" i="57"/>
  <c r="P50" i="55"/>
  <c r="P51" i="55"/>
  <c r="P57" i="55"/>
  <c r="P58" i="55"/>
  <c r="P64" i="55"/>
  <c r="P65" i="55"/>
  <c r="P6" i="57"/>
  <c r="P7" i="57"/>
  <c r="P179" i="55"/>
  <c r="P180" i="55"/>
  <c r="P8" i="57"/>
  <c r="P186" i="55"/>
  <c r="P187" i="55"/>
  <c r="P193" i="55"/>
  <c r="P194" i="55"/>
  <c r="P9" i="57"/>
  <c r="P10" i="57"/>
  <c r="P78" i="55"/>
  <c r="P79" i="55"/>
  <c r="P207" i="55"/>
  <c r="P208" i="55"/>
  <c r="P11" i="57"/>
  <c r="Q92" i="55"/>
  <c r="Q93" i="55"/>
  <c r="P12" i="57"/>
  <c r="Q97" i="55"/>
  <c r="Q98" i="55"/>
  <c r="P13" i="57"/>
  <c r="Q111" i="55"/>
  <c r="Q112" i="55"/>
  <c r="Q230" i="55"/>
  <c r="Q231" i="55"/>
  <c r="P14" i="57"/>
  <c r="Q118" i="55"/>
  <c r="Q119" i="55"/>
  <c r="Q125" i="55"/>
  <c r="Q126" i="55"/>
  <c r="Q132" i="55"/>
  <c r="Q133" i="55"/>
  <c r="Q237" i="55"/>
  <c r="Q238" i="55"/>
  <c r="Q244" i="55"/>
  <c r="Q245" i="55"/>
  <c r="P15" i="57"/>
  <c r="Q153" i="55"/>
  <c r="Q154" i="55"/>
  <c r="Q258" i="55"/>
  <c r="Q259" i="55"/>
  <c r="P16" i="57"/>
  <c r="Q158" i="55"/>
  <c r="Q159" i="55"/>
  <c r="Q263" i="55"/>
  <c r="Q264" i="55"/>
  <c r="P17" i="57"/>
  <c r="Q279" i="55"/>
  <c r="Q280" i="55"/>
  <c r="P18" i="57"/>
  <c r="P19" i="57"/>
  <c r="P20" i="57"/>
  <c r="P21" i="57"/>
  <c r="M22" i="57"/>
  <c r="I48" i="51"/>
  <c r="E22" i="70"/>
  <c r="Q20" i="57"/>
  <c r="S38" i="55"/>
  <c r="S39" i="55"/>
  <c r="S40" i="55"/>
  <c r="S41" i="55"/>
  <c r="S42" i="55"/>
  <c r="S43" i="55"/>
  <c r="S44" i="55"/>
  <c r="R5" i="57"/>
  <c r="Q50" i="55"/>
  <c r="Q51" i="55"/>
  <c r="Q57" i="55"/>
  <c r="Q58" i="55"/>
  <c r="Q64" i="55"/>
  <c r="Q65" i="55"/>
  <c r="R6" i="57"/>
  <c r="R7" i="57"/>
  <c r="Q179" i="55"/>
  <c r="Q180" i="55"/>
  <c r="R8" i="57"/>
  <c r="Q186" i="55"/>
  <c r="Q187" i="55"/>
  <c r="Q193" i="55"/>
  <c r="Q194" i="55"/>
  <c r="R9" i="57"/>
  <c r="R10" i="57"/>
  <c r="Q78" i="55"/>
  <c r="Q79" i="55"/>
  <c r="Q207" i="55"/>
  <c r="Q208" i="55"/>
  <c r="R11" i="57"/>
  <c r="S92" i="55"/>
  <c r="S93" i="55"/>
  <c r="R12" i="57"/>
  <c r="S97" i="55"/>
  <c r="S98" i="55"/>
  <c r="R13" i="57"/>
  <c r="S111" i="55"/>
  <c r="S112" i="55"/>
  <c r="S230" i="55"/>
  <c r="S231" i="55"/>
  <c r="R14" i="57"/>
  <c r="S118" i="55"/>
  <c r="S119" i="55"/>
  <c r="S125" i="55"/>
  <c r="S126" i="55"/>
  <c r="S132" i="55"/>
  <c r="S133" i="55"/>
  <c r="S237" i="55"/>
  <c r="S238" i="55"/>
  <c r="S244" i="55"/>
  <c r="S245" i="55"/>
  <c r="R15" i="57"/>
  <c r="S153" i="55"/>
  <c r="S154" i="55"/>
  <c r="S258" i="55"/>
  <c r="S259" i="55"/>
  <c r="R16" i="57"/>
  <c r="S158" i="55"/>
  <c r="S159" i="55"/>
  <c r="S263" i="55"/>
  <c r="S264" i="55"/>
  <c r="R17" i="57"/>
  <c r="J91" i="4"/>
  <c r="S277" i="55"/>
  <c r="J12" i="4"/>
  <c r="S278" i="55"/>
  <c r="S279" i="55"/>
  <c r="J150" i="4"/>
  <c r="S276" i="55"/>
  <c r="S280" i="55"/>
  <c r="R18" i="57"/>
  <c r="R19" i="57"/>
  <c r="R20" i="57"/>
  <c r="R21" i="57"/>
  <c r="T38" i="55"/>
  <c r="T39" i="55"/>
  <c r="T40" i="55"/>
  <c r="T41" i="55"/>
  <c r="T42" i="55"/>
  <c r="T43" i="55"/>
  <c r="T44" i="55"/>
  <c r="S5" i="57"/>
  <c r="S50" i="55"/>
  <c r="S51" i="55"/>
  <c r="S57" i="55"/>
  <c r="S58" i="55"/>
  <c r="S64" i="55"/>
  <c r="S65" i="55"/>
  <c r="S6" i="57"/>
  <c r="S7" i="57"/>
  <c r="S179" i="55"/>
  <c r="S180" i="55"/>
  <c r="S8" i="57"/>
  <c r="S186" i="55"/>
  <c r="S187" i="55"/>
  <c r="S193" i="55"/>
  <c r="S194" i="55"/>
  <c r="S9" i="57"/>
  <c r="S10" i="57"/>
  <c r="S78" i="55"/>
  <c r="S79" i="55"/>
  <c r="S207" i="55"/>
  <c r="S208" i="55"/>
  <c r="S11" i="57"/>
  <c r="T92" i="55"/>
  <c r="T93" i="55"/>
  <c r="S12" i="57"/>
  <c r="T97" i="55"/>
  <c r="T98" i="55"/>
  <c r="S13" i="57"/>
  <c r="T111" i="55"/>
  <c r="T112" i="55"/>
  <c r="T230" i="55"/>
  <c r="T231" i="55"/>
  <c r="S14" i="57"/>
  <c r="T118" i="55"/>
  <c r="T119" i="55"/>
  <c r="T125" i="55"/>
  <c r="T126" i="55"/>
  <c r="T132" i="55"/>
  <c r="T133" i="55"/>
  <c r="T237" i="55"/>
  <c r="T238" i="55"/>
  <c r="T244" i="55"/>
  <c r="T245" i="55"/>
  <c r="S15" i="57"/>
  <c r="T153" i="55"/>
  <c r="T154" i="55"/>
  <c r="T258" i="55"/>
  <c r="T259" i="55"/>
  <c r="S16" i="57"/>
  <c r="T158" i="55"/>
  <c r="T159" i="55"/>
  <c r="T263" i="55"/>
  <c r="T264" i="55"/>
  <c r="S17" i="57"/>
  <c r="T279" i="55"/>
  <c r="T280" i="55"/>
  <c r="S18" i="57"/>
  <c r="S19" i="57"/>
  <c r="S20" i="57"/>
  <c r="S21" i="57"/>
  <c r="U38" i="55"/>
  <c r="U39" i="55"/>
  <c r="U40" i="55"/>
  <c r="U41" i="55"/>
  <c r="U42" i="55"/>
  <c r="U43" i="55"/>
  <c r="U44" i="55"/>
  <c r="T5" i="57"/>
  <c r="T50" i="55"/>
  <c r="T51" i="55"/>
  <c r="T57" i="55"/>
  <c r="T58" i="55"/>
  <c r="T64" i="55"/>
  <c r="T65" i="55"/>
  <c r="T6" i="57"/>
  <c r="T7" i="57"/>
  <c r="T179" i="55"/>
  <c r="T180" i="55"/>
  <c r="T8" i="57"/>
  <c r="T186" i="55"/>
  <c r="T187" i="55"/>
  <c r="T193" i="55"/>
  <c r="T194" i="55"/>
  <c r="T9" i="57"/>
  <c r="T10" i="57"/>
  <c r="T78" i="55"/>
  <c r="T79" i="55"/>
  <c r="T207" i="55"/>
  <c r="T208" i="55"/>
  <c r="T11" i="57"/>
  <c r="U92" i="55"/>
  <c r="U93" i="55"/>
  <c r="T12" i="57"/>
  <c r="U97" i="55"/>
  <c r="U98" i="55"/>
  <c r="T13" i="57"/>
  <c r="U111" i="55"/>
  <c r="U112" i="55"/>
  <c r="U230" i="55"/>
  <c r="U231" i="55"/>
  <c r="T14" i="57"/>
  <c r="U118" i="55"/>
  <c r="U119" i="55"/>
  <c r="U125" i="55"/>
  <c r="U126" i="55"/>
  <c r="U132" i="55"/>
  <c r="U133" i="55"/>
  <c r="U237" i="55"/>
  <c r="U238" i="55"/>
  <c r="U244" i="55"/>
  <c r="U245" i="55"/>
  <c r="T15" i="57"/>
  <c r="U153" i="55"/>
  <c r="U154" i="55"/>
  <c r="U258" i="55"/>
  <c r="U259" i="55"/>
  <c r="T16" i="57"/>
  <c r="U158" i="55"/>
  <c r="U159" i="55"/>
  <c r="U263" i="55"/>
  <c r="U264" i="55"/>
  <c r="T17" i="57"/>
  <c r="U279" i="55"/>
  <c r="U280" i="55"/>
  <c r="T18" i="57"/>
  <c r="T19" i="57"/>
  <c r="T20" i="57"/>
  <c r="T21" i="57"/>
  <c r="V38" i="55"/>
  <c r="V39" i="55"/>
  <c r="V40" i="55"/>
  <c r="V41" i="55"/>
  <c r="V42" i="55"/>
  <c r="V43" i="55"/>
  <c r="V44" i="55"/>
  <c r="U5" i="57"/>
  <c r="U50" i="55"/>
  <c r="U51" i="55"/>
  <c r="U57" i="55"/>
  <c r="U58" i="55"/>
  <c r="U64" i="55"/>
  <c r="U65" i="55"/>
  <c r="U6" i="57"/>
  <c r="U7" i="57"/>
  <c r="U179" i="55"/>
  <c r="U180" i="55"/>
  <c r="U8" i="57"/>
  <c r="U186" i="55"/>
  <c r="U187" i="55"/>
  <c r="U193" i="55"/>
  <c r="U194" i="55"/>
  <c r="U9" i="57"/>
  <c r="U10" i="57"/>
  <c r="U78" i="55"/>
  <c r="U79" i="55"/>
  <c r="U207" i="55"/>
  <c r="U208" i="55"/>
  <c r="U11" i="57"/>
  <c r="V92" i="55"/>
  <c r="V93" i="55"/>
  <c r="U12" i="57"/>
  <c r="V97" i="55"/>
  <c r="V98" i="55"/>
  <c r="U13" i="57"/>
  <c r="V111" i="55"/>
  <c r="V112" i="55"/>
  <c r="V230" i="55"/>
  <c r="V231" i="55"/>
  <c r="U14" i="57"/>
  <c r="V118" i="55"/>
  <c r="V119" i="55"/>
  <c r="V125" i="55"/>
  <c r="V126" i="55"/>
  <c r="V132" i="55"/>
  <c r="V133" i="55"/>
  <c r="V237" i="55"/>
  <c r="V238" i="55"/>
  <c r="V244" i="55"/>
  <c r="V245" i="55"/>
  <c r="U15" i="57"/>
  <c r="V153" i="55"/>
  <c r="V154" i="55"/>
  <c r="V258" i="55"/>
  <c r="V259" i="55"/>
  <c r="U16" i="57"/>
  <c r="V158" i="55"/>
  <c r="V159" i="55"/>
  <c r="V263" i="55"/>
  <c r="V264" i="55"/>
  <c r="U17" i="57"/>
  <c r="V279" i="55"/>
  <c r="V280" i="55"/>
  <c r="U18" i="57"/>
  <c r="U19" i="57"/>
  <c r="U20" i="57"/>
  <c r="U21" i="57"/>
  <c r="R22" i="57"/>
  <c r="K48" i="51"/>
  <c r="F22" i="70"/>
  <c r="V20" i="57"/>
  <c r="X38" i="55"/>
  <c r="X39" i="55"/>
  <c r="X40" i="55"/>
  <c r="X41" i="55"/>
  <c r="X42" i="55"/>
  <c r="X43" i="55"/>
  <c r="X44" i="55"/>
  <c r="W5" i="57"/>
  <c r="V50" i="55"/>
  <c r="V51" i="55"/>
  <c r="V57" i="55"/>
  <c r="V58" i="55"/>
  <c r="V64" i="55"/>
  <c r="V65" i="55"/>
  <c r="W6" i="57"/>
  <c r="W7" i="57"/>
  <c r="V179" i="55"/>
  <c r="V180" i="55"/>
  <c r="W8" i="57"/>
  <c r="V186" i="55"/>
  <c r="V187" i="55"/>
  <c r="V193" i="55"/>
  <c r="V194" i="55"/>
  <c r="W9" i="57"/>
  <c r="W10" i="57"/>
  <c r="V78" i="55"/>
  <c r="V79" i="55"/>
  <c r="V207" i="55"/>
  <c r="V208" i="55"/>
  <c r="W11" i="57"/>
  <c r="X92" i="55"/>
  <c r="X93" i="55"/>
  <c r="W12" i="57"/>
  <c r="X97" i="55"/>
  <c r="X98" i="55"/>
  <c r="W13" i="57"/>
  <c r="X111" i="55"/>
  <c r="X112" i="55"/>
  <c r="X230" i="55"/>
  <c r="X231" i="55"/>
  <c r="W14" i="57"/>
  <c r="X118" i="55"/>
  <c r="X119" i="55"/>
  <c r="X125" i="55"/>
  <c r="X126" i="55"/>
  <c r="X132" i="55"/>
  <c r="X133" i="55"/>
  <c r="X237" i="55"/>
  <c r="X238" i="55"/>
  <c r="X244" i="55"/>
  <c r="X245" i="55"/>
  <c r="W15" i="57"/>
  <c r="X153" i="55"/>
  <c r="X154" i="55"/>
  <c r="X258" i="55"/>
  <c r="X259" i="55"/>
  <c r="W16" i="57"/>
  <c r="X158" i="55"/>
  <c r="X159" i="55"/>
  <c r="X263" i="55"/>
  <c r="X264" i="55"/>
  <c r="L91" i="4"/>
  <c r="X277" i="55"/>
  <c r="L12" i="4"/>
  <c r="X278" i="55"/>
  <c r="X279" i="55"/>
  <c r="L150" i="4"/>
  <c r="X276" i="55"/>
  <c r="X280" i="55"/>
  <c r="W17" i="57"/>
  <c r="W18" i="57"/>
  <c r="W19" i="57"/>
  <c r="W20" i="57"/>
  <c r="W21" i="57"/>
  <c r="Y38" i="55"/>
  <c r="Y39" i="55"/>
  <c r="Y40" i="55"/>
  <c r="Y41" i="55"/>
  <c r="Y42" i="55"/>
  <c r="Y43" i="55"/>
  <c r="Y44" i="55"/>
  <c r="X5" i="57"/>
  <c r="X50" i="55"/>
  <c r="X51" i="55"/>
  <c r="X57" i="55"/>
  <c r="X58" i="55"/>
  <c r="X64" i="55"/>
  <c r="X65" i="55"/>
  <c r="X6" i="57"/>
  <c r="X7" i="57"/>
  <c r="X179" i="55"/>
  <c r="X180" i="55"/>
  <c r="X8" i="57"/>
  <c r="X186" i="55"/>
  <c r="X187" i="55"/>
  <c r="X193" i="55"/>
  <c r="X194" i="55"/>
  <c r="X9" i="57"/>
  <c r="X10" i="57"/>
  <c r="X78" i="55"/>
  <c r="X79" i="55"/>
  <c r="X207" i="55"/>
  <c r="X208" i="55"/>
  <c r="X11" i="57"/>
  <c r="Y92" i="55"/>
  <c r="Y93" i="55"/>
  <c r="X12" i="57"/>
  <c r="Y97" i="55"/>
  <c r="Y98" i="55"/>
  <c r="X13" i="57"/>
  <c r="Y111" i="55"/>
  <c r="Y112" i="55"/>
  <c r="Y230" i="55"/>
  <c r="Y231" i="55"/>
  <c r="X14" i="57"/>
  <c r="Y118" i="55"/>
  <c r="Y119" i="55"/>
  <c r="Y125" i="55"/>
  <c r="Y126" i="55"/>
  <c r="Y132" i="55"/>
  <c r="Y133" i="55"/>
  <c r="Y237" i="55"/>
  <c r="Y238" i="55"/>
  <c r="Y244" i="55"/>
  <c r="Y245" i="55"/>
  <c r="X15" i="57"/>
  <c r="Y153" i="55"/>
  <c r="Y154" i="55"/>
  <c r="Y258" i="55"/>
  <c r="Y259" i="55"/>
  <c r="X16" i="57"/>
  <c r="Y158" i="55"/>
  <c r="Y159" i="55"/>
  <c r="Y263" i="55"/>
  <c r="Y264" i="55"/>
  <c r="Y279" i="55"/>
  <c r="Y280" i="55"/>
  <c r="X17" i="57"/>
  <c r="X18" i="57"/>
  <c r="X19" i="57"/>
  <c r="X20" i="57"/>
  <c r="X21" i="57"/>
  <c r="Z38" i="55"/>
  <c r="Z39" i="55"/>
  <c r="Z40" i="55"/>
  <c r="Z41" i="55"/>
  <c r="Z42" i="55"/>
  <c r="Z43" i="55"/>
  <c r="Z44" i="55"/>
  <c r="Y5" i="57"/>
  <c r="Y50" i="55"/>
  <c r="Y51" i="55"/>
  <c r="Y57" i="55"/>
  <c r="Y58" i="55"/>
  <c r="Y64" i="55"/>
  <c r="Y65" i="55"/>
  <c r="Y6" i="57"/>
  <c r="Y7" i="57"/>
  <c r="Y179" i="55"/>
  <c r="Y180" i="55"/>
  <c r="Y8" i="57"/>
  <c r="Y186" i="55"/>
  <c r="Y187" i="55"/>
  <c r="Y193" i="55"/>
  <c r="Y194" i="55"/>
  <c r="Y9" i="57"/>
  <c r="Y10" i="57"/>
  <c r="Y78" i="55"/>
  <c r="Y79" i="55"/>
  <c r="Y207" i="55"/>
  <c r="Y208" i="55"/>
  <c r="Y11" i="57"/>
  <c r="Z92" i="55"/>
  <c r="Z93" i="55"/>
  <c r="Y12" i="57"/>
  <c r="Z97" i="55"/>
  <c r="Z98" i="55"/>
  <c r="Y13" i="57"/>
  <c r="Z111" i="55"/>
  <c r="Z112" i="55"/>
  <c r="Z230" i="55"/>
  <c r="Z231" i="55"/>
  <c r="Y14" i="57"/>
  <c r="Z118" i="55"/>
  <c r="Z119" i="55"/>
  <c r="Z125" i="55"/>
  <c r="Z126" i="55"/>
  <c r="Z132" i="55"/>
  <c r="Z133" i="55"/>
  <c r="Z237" i="55"/>
  <c r="Z238" i="55"/>
  <c r="Z244" i="55"/>
  <c r="Z245" i="55"/>
  <c r="Y15" i="57"/>
  <c r="Z153" i="55"/>
  <c r="Z154" i="55"/>
  <c r="Z258" i="55"/>
  <c r="Z259" i="55"/>
  <c r="Y16" i="57"/>
  <c r="Z158" i="55"/>
  <c r="Z159" i="55"/>
  <c r="Z263" i="55"/>
  <c r="Z264" i="55"/>
  <c r="Z279" i="55"/>
  <c r="Z280" i="55"/>
  <c r="Y17" i="57"/>
  <c r="Y18" i="57"/>
  <c r="Y19" i="57"/>
  <c r="Y20" i="57"/>
  <c r="Y21" i="57"/>
  <c r="AA38" i="55"/>
  <c r="AA39" i="55"/>
  <c r="AA40" i="55"/>
  <c r="AA41" i="55"/>
  <c r="AA42" i="55"/>
  <c r="AA43" i="55"/>
  <c r="AA44" i="55"/>
  <c r="Z5" i="57"/>
  <c r="Z50" i="55"/>
  <c r="Z51" i="55"/>
  <c r="Z57" i="55"/>
  <c r="Z58" i="55"/>
  <c r="Z64" i="55"/>
  <c r="Z65" i="55"/>
  <c r="Z6" i="57"/>
  <c r="Z7" i="57"/>
  <c r="Z179" i="55"/>
  <c r="Z180" i="55"/>
  <c r="Z8" i="57"/>
  <c r="Z186" i="55"/>
  <c r="Z187" i="55"/>
  <c r="Z193" i="55"/>
  <c r="Z194" i="55"/>
  <c r="Z9" i="57"/>
  <c r="Z10" i="57"/>
  <c r="Z78" i="55"/>
  <c r="Z79" i="55"/>
  <c r="Z207" i="55"/>
  <c r="Z208" i="55"/>
  <c r="Z11" i="57"/>
  <c r="AA92" i="55"/>
  <c r="AA93" i="55"/>
  <c r="Z12" i="57"/>
  <c r="AA97" i="55"/>
  <c r="AA98" i="55"/>
  <c r="Z13" i="57"/>
  <c r="AA111" i="55"/>
  <c r="AA112" i="55"/>
  <c r="AA230" i="55"/>
  <c r="AA231" i="55"/>
  <c r="Z14" i="57"/>
  <c r="AA118" i="55"/>
  <c r="AA119" i="55"/>
  <c r="AA125" i="55"/>
  <c r="AA126" i="55"/>
  <c r="AA132" i="55"/>
  <c r="AA133" i="55"/>
  <c r="AA237" i="55"/>
  <c r="AA238" i="55"/>
  <c r="AA244" i="55"/>
  <c r="AA245" i="55"/>
  <c r="Z15" i="57"/>
  <c r="AA153" i="55"/>
  <c r="AA154" i="55"/>
  <c r="AA258" i="55"/>
  <c r="AA259" i="55"/>
  <c r="Z16" i="57"/>
  <c r="AA158" i="55"/>
  <c r="AA159" i="55"/>
  <c r="AA263" i="55"/>
  <c r="AA264" i="55"/>
  <c r="AA279" i="55"/>
  <c r="AA280" i="55"/>
  <c r="Z17" i="57"/>
  <c r="Z18" i="57"/>
  <c r="Z19" i="57"/>
  <c r="Z20" i="57"/>
  <c r="Z21" i="57"/>
  <c r="W22" i="57"/>
  <c r="M48" i="51"/>
  <c r="G22" i="70"/>
  <c r="H22" i="70"/>
  <c r="C24" i="70"/>
  <c r="D24" i="70"/>
  <c r="E24" i="70"/>
  <c r="F24" i="70"/>
  <c r="G24" i="70"/>
  <c r="H24" i="70"/>
  <c r="AC5" i="52"/>
  <c r="AD5" i="52"/>
  <c r="AE5" i="52"/>
  <c r="AF5" i="52"/>
  <c r="AG5" i="52"/>
  <c r="AH5" i="52"/>
  <c r="I6" i="52"/>
  <c r="I7" i="52"/>
  <c r="I8" i="52"/>
  <c r="I9" i="52"/>
  <c r="I10" i="52"/>
  <c r="I11"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I42" i="52"/>
  <c r="I43" i="52"/>
  <c r="I44" i="52"/>
  <c r="I45" i="52"/>
  <c r="I46" i="52"/>
  <c r="I47" i="52"/>
  <c r="I48" i="52"/>
  <c r="I49" i="52"/>
  <c r="I50" i="52"/>
  <c r="J6" i="52"/>
  <c r="Q6" i="52"/>
  <c r="Q7" i="52"/>
  <c r="Q8" i="52"/>
  <c r="Q9" i="52"/>
  <c r="Q10" i="52"/>
  <c r="Q11" i="52"/>
  <c r="Q12" i="52"/>
  <c r="Q13" i="52"/>
  <c r="Q14" i="52"/>
  <c r="Q15" i="52"/>
  <c r="Q16" i="52"/>
  <c r="Q17" i="52"/>
  <c r="Q18" i="52"/>
  <c r="Q19" i="52"/>
  <c r="Q20" i="52"/>
  <c r="Q21" i="52"/>
  <c r="Q22" i="52"/>
  <c r="Q23" i="52"/>
  <c r="Q24" i="52"/>
  <c r="Q25" i="52"/>
  <c r="Q26" i="52"/>
  <c r="Q27" i="52"/>
  <c r="Q28" i="52"/>
  <c r="Q29" i="52"/>
  <c r="Q30" i="52"/>
  <c r="Q31" i="52"/>
  <c r="Q32" i="52"/>
  <c r="Q33" i="52"/>
  <c r="Q34" i="52"/>
  <c r="Q35" i="52"/>
  <c r="Q36" i="52"/>
  <c r="Q37" i="52"/>
  <c r="Q38" i="52"/>
  <c r="Q39" i="52"/>
  <c r="Q40" i="52"/>
  <c r="Q41" i="52"/>
  <c r="Q42" i="52"/>
  <c r="Q43" i="52"/>
  <c r="Q44" i="52"/>
  <c r="Q45" i="52"/>
  <c r="Q46" i="52"/>
  <c r="Q47" i="52"/>
  <c r="Q48" i="52"/>
  <c r="Q49" i="52"/>
  <c r="Q50" i="52"/>
  <c r="R6" i="52"/>
  <c r="S6" i="52"/>
  <c r="T6" i="52"/>
  <c r="T7" i="52"/>
  <c r="T8" i="52"/>
  <c r="T9" i="52"/>
  <c r="T10" i="52"/>
  <c r="T11" i="52"/>
  <c r="T12" i="52"/>
  <c r="T13" i="52"/>
  <c r="T14" i="52"/>
  <c r="T15" i="52"/>
  <c r="T16" i="52"/>
  <c r="T17" i="52"/>
  <c r="T18" i="52"/>
  <c r="T19" i="52"/>
  <c r="T20" i="52"/>
  <c r="T21" i="52"/>
  <c r="T22" i="52"/>
  <c r="T23" i="52"/>
  <c r="T24" i="52"/>
  <c r="T25" i="52"/>
  <c r="T26" i="52"/>
  <c r="T27" i="52"/>
  <c r="T28" i="52"/>
  <c r="T29" i="52"/>
  <c r="T30" i="52"/>
  <c r="T31" i="52"/>
  <c r="T32" i="52"/>
  <c r="T33" i="52"/>
  <c r="T34" i="52"/>
  <c r="T35" i="52"/>
  <c r="T36" i="52"/>
  <c r="T37" i="52"/>
  <c r="T38" i="52"/>
  <c r="T39" i="52"/>
  <c r="T40" i="52"/>
  <c r="T41" i="52"/>
  <c r="T42" i="52"/>
  <c r="T43" i="52"/>
  <c r="T44" i="52"/>
  <c r="T45" i="52"/>
  <c r="T46" i="52"/>
  <c r="T47" i="52"/>
  <c r="T48" i="52"/>
  <c r="T49" i="52"/>
  <c r="T50" i="52"/>
  <c r="U6" i="52"/>
  <c r="V6" i="52"/>
  <c r="AC6" i="52"/>
  <c r="AD6" i="52"/>
  <c r="AE6" i="52"/>
  <c r="AF6" i="52"/>
  <c r="AG6" i="52"/>
  <c r="AH6" i="52"/>
  <c r="AM6" i="52"/>
  <c r="AM19" i="52"/>
  <c r="AM22" i="52"/>
  <c r="AM33" i="52"/>
  <c r="AM41" i="52"/>
  <c r="AM49" i="52"/>
  <c r="AM50" i="52"/>
  <c r="AN6" i="52"/>
  <c r="AO6" i="52"/>
  <c r="K19" i="52"/>
  <c r="AO19" i="52"/>
  <c r="K22" i="52"/>
  <c r="AO22" i="52"/>
  <c r="K33" i="52"/>
  <c r="AO33" i="52"/>
  <c r="K41" i="52"/>
  <c r="AO41" i="52"/>
  <c r="K49" i="52"/>
  <c r="AO49" i="52"/>
  <c r="AO50" i="52"/>
  <c r="AP6" i="52"/>
  <c r="AQ6" i="52"/>
  <c r="AM7" i="52"/>
  <c r="AO7" i="52"/>
  <c r="AQ7" i="52"/>
  <c r="AM8" i="52"/>
  <c r="AO8" i="52"/>
  <c r="AQ8" i="52"/>
  <c r="AM9" i="52"/>
  <c r="AO9" i="52"/>
  <c r="AQ9" i="52"/>
  <c r="AM10" i="52"/>
  <c r="AO10" i="52"/>
  <c r="AQ10" i="52"/>
  <c r="AM11" i="52"/>
  <c r="AO11" i="52"/>
  <c r="AQ11" i="52"/>
  <c r="AM12" i="52"/>
  <c r="AO12" i="52"/>
  <c r="AQ12" i="52"/>
  <c r="AM13" i="52"/>
  <c r="AO13" i="52"/>
  <c r="AQ13" i="52"/>
  <c r="AM14" i="52"/>
  <c r="AO14" i="52"/>
  <c r="AQ14" i="52"/>
  <c r="AM15" i="52"/>
  <c r="AO15" i="52"/>
  <c r="AQ15" i="52"/>
  <c r="AM16" i="52"/>
  <c r="AO16" i="52"/>
  <c r="AQ16" i="52"/>
  <c r="AM17" i="52"/>
  <c r="AO17" i="52"/>
  <c r="AQ17" i="52"/>
  <c r="AM18" i="52"/>
  <c r="AO18" i="52"/>
  <c r="AQ18" i="52"/>
  <c r="AQ19" i="52"/>
  <c r="AM20" i="52"/>
  <c r="AO20" i="52"/>
  <c r="AQ20" i="52"/>
  <c r="AM21" i="52"/>
  <c r="AO21" i="52"/>
  <c r="AQ21" i="52"/>
  <c r="AQ22" i="52"/>
  <c r="AM23" i="52"/>
  <c r="AO23" i="52"/>
  <c r="AQ23" i="52"/>
  <c r="AM24" i="52"/>
  <c r="AO24" i="52"/>
  <c r="AQ24" i="52"/>
  <c r="AM25" i="52"/>
  <c r="AO25" i="52"/>
  <c r="AQ25" i="52"/>
  <c r="AM26" i="52"/>
  <c r="AO26" i="52"/>
  <c r="AQ26" i="52"/>
  <c r="AM27" i="52"/>
  <c r="AO27" i="52"/>
  <c r="AQ27" i="52"/>
  <c r="AM28" i="52"/>
  <c r="AO28" i="52"/>
  <c r="AQ28" i="52"/>
  <c r="AM29" i="52"/>
  <c r="AO29" i="52"/>
  <c r="AQ29" i="52"/>
  <c r="AM30" i="52"/>
  <c r="AO30" i="52"/>
  <c r="AQ30" i="52"/>
  <c r="AM31" i="52"/>
  <c r="AO31" i="52"/>
  <c r="AQ31" i="52"/>
  <c r="AM32" i="52"/>
  <c r="AO32" i="52"/>
  <c r="AQ32" i="52"/>
  <c r="AQ33" i="52"/>
  <c r="AM34" i="52"/>
  <c r="AO34" i="52"/>
  <c r="AQ34" i="52"/>
  <c r="AM35" i="52"/>
  <c r="AO35" i="52"/>
  <c r="AQ35" i="52"/>
  <c r="AM36" i="52"/>
  <c r="AO36" i="52"/>
  <c r="AQ36" i="52"/>
  <c r="AM37" i="52"/>
  <c r="AO37" i="52"/>
  <c r="AQ37" i="52"/>
  <c r="AM40" i="52"/>
  <c r="AO40" i="52"/>
  <c r="AQ40" i="52"/>
  <c r="AQ41" i="52"/>
  <c r="AM42" i="52"/>
  <c r="AO42" i="52"/>
  <c r="AQ42" i="52"/>
  <c r="AM43" i="52"/>
  <c r="AO43" i="52"/>
  <c r="AQ43" i="52"/>
  <c r="AM44" i="52"/>
  <c r="AO44" i="52"/>
  <c r="AQ44" i="52"/>
  <c r="AM45" i="52"/>
  <c r="AO45" i="52"/>
  <c r="AQ45" i="52"/>
  <c r="AM46" i="52"/>
  <c r="AO46" i="52"/>
  <c r="AQ46" i="52"/>
  <c r="AM47" i="52"/>
  <c r="AO47" i="52"/>
  <c r="AQ47" i="52"/>
  <c r="AM48" i="52"/>
  <c r="AO48" i="52"/>
  <c r="AQ48" i="52"/>
  <c r="AQ49" i="52"/>
  <c r="AQ50" i="52"/>
  <c r="AR6" i="52"/>
  <c r="J7" i="52"/>
  <c r="R7" i="52"/>
  <c r="S7" i="52"/>
  <c r="U7" i="52"/>
  <c r="V7" i="52"/>
  <c r="AC7" i="52"/>
  <c r="AD7" i="52"/>
  <c r="AE7" i="52"/>
  <c r="AF7" i="52"/>
  <c r="AG7" i="52"/>
  <c r="AH7" i="52"/>
  <c r="AN7" i="52"/>
  <c r="AP7" i="52"/>
  <c r="AR7" i="52"/>
  <c r="J8" i="52"/>
  <c r="R8" i="52"/>
  <c r="S8" i="52"/>
  <c r="U8" i="52"/>
  <c r="V8" i="52"/>
  <c r="AC8" i="52"/>
  <c r="AD8" i="52"/>
  <c r="AE8" i="52"/>
  <c r="AF8" i="52"/>
  <c r="AG8" i="52"/>
  <c r="AH8" i="52"/>
  <c r="AN8" i="52"/>
  <c r="AP8" i="52"/>
  <c r="AR8" i="52"/>
  <c r="J9" i="52"/>
  <c r="R9" i="52"/>
  <c r="S9" i="52"/>
  <c r="U9" i="52"/>
  <c r="V9" i="52"/>
  <c r="AC9" i="52"/>
  <c r="AD9" i="52"/>
  <c r="AE9" i="52"/>
  <c r="AF9" i="52"/>
  <c r="AG9" i="52"/>
  <c r="AH9" i="52"/>
  <c r="AN9" i="52"/>
  <c r="AP9" i="52"/>
  <c r="AR9" i="52"/>
  <c r="J10" i="52"/>
  <c r="R10" i="52"/>
  <c r="S10" i="52"/>
  <c r="U10" i="52"/>
  <c r="V10" i="52"/>
  <c r="AC10" i="52"/>
  <c r="AD10" i="52"/>
  <c r="AE10" i="52"/>
  <c r="AF10" i="52"/>
  <c r="AG10" i="52"/>
  <c r="AH10" i="52"/>
  <c r="AN10" i="52"/>
  <c r="AP10" i="52"/>
  <c r="AR10" i="52"/>
  <c r="J11" i="52"/>
  <c r="R11" i="52"/>
  <c r="S11" i="52"/>
  <c r="U11" i="52"/>
  <c r="V11" i="52"/>
  <c r="AC11" i="52"/>
  <c r="AD11" i="52"/>
  <c r="AE11" i="52"/>
  <c r="AF11" i="52"/>
  <c r="AG11" i="52"/>
  <c r="AH11" i="52"/>
  <c r="AN11" i="52"/>
  <c r="AP11" i="52"/>
  <c r="AR11" i="52"/>
  <c r="J12" i="52"/>
  <c r="R12" i="52"/>
  <c r="S12" i="52"/>
  <c r="U12" i="52"/>
  <c r="V12" i="52"/>
  <c r="AN12" i="52"/>
  <c r="AP12" i="52"/>
  <c r="AR12" i="52"/>
  <c r="J13" i="52"/>
  <c r="R13" i="52"/>
  <c r="S13" i="52"/>
  <c r="U13" i="52"/>
  <c r="V13" i="52"/>
  <c r="AC13" i="52"/>
  <c r="AD13" i="52"/>
  <c r="AE13" i="52"/>
  <c r="AF13" i="52"/>
  <c r="AG13" i="52"/>
  <c r="AH13" i="52"/>
  <c r="AN13" i="52"/>
  <c r="AP13" i="52"/>
  <c r="AR13" i="52"/>
  <c r="J14" i="52"/>
  <c r="R14" i="52"/>
  <c r="S14" i="52"/>
  <c r="U14" i="52"/>
  <c r="V14" i="52"/>
  <c r="AC14" i="52"/>
  <c r="AD14" i="52"/>
  <c r="AE14" i="52"/>
  <c r="AF14" i="52"/>
  <c r="AG14" i="52"/>
  <c r="AH14" i="52"/>
  <c r="AN14" i="52"/>
  <c r="AP14" i="52"/>
  <c r="AR14" i="52"/>
  <c r="J15" i="52"/>
  <c r="R15" i="52"/>
  <c r="S15" i="52"/>
  <c r="U15" i="52"/>
  <c r="V15" i="52"/>
  <c r="AC15" i="52"/>
  <c r="AD15" i="52"/>
  <c r="AE15" i="52"/>
  <c r="AF15" i="52"/>
  <c r="AG15" i="52"/>
  <c r="AH15" i="52"/>
  <c r="AN15" i="52"/>
  <c r="AP15" i="52"/>
  <c r="AR15" i="52"/>
  <c r="J16" i="52"/>
  <c r="R16" i="52"/>
  <c r="S16" i="52"/>
  <c r="U16" i="52"/>
  <c r="V16" i="52"/>
  <c r="AC16" i="52"/>
  <c r="AD16" i="52"/>
  <c r="AE16" i="52"/>
  <c r="AF16" i="52"/>
  <c r="AG16" i="52"/>
  <c r="AH16" i="52"/>
  <c r="AN16" i="52"/>
  <c r="AP16" i="52"/>
  <c r="AR16" i="52"/>
  <c r="J17" i="52"/>
  <c r="R17" i="52"/>
  <c r="S17" i="52"/>
  <c r="U17" i="52"/>
  <c r="V17" i="52"/>
  <c r="AC17" i="52"/>
  <c r="AD17" i="52"/>
  <c r="AE17" i="52"/>
  <c r="AF17" i="52"/>
  <c r="AG17" i="52"/>
  <c r="AH17" i="52"/>
  <c r="AN17" i="52"/>
  <c r="AP17" i="52"/>
  <c r="AR17" i="52"/>
  <c r="J18" i="52"/>
  <c r="R18" i="52"/>
  <c r="S18" i="52"/>
  <c r="U18" i="52"/>
  <c r="V18" i="52"/>
  <c r="AC18" i="52"/>
  <c r="AD18" i="52"/>
  <c r="AE18" i="52"/>
  <c r="AF18" i="52"/>
  <c r="AG18" i="52"/>
  <c r="AH18" i="52"/>
  <c r="AN18" i="52"/>
  <c r="AP18" i="52"/>
  <c r="AR18" i="52"/>
  <c r="B19" i="52"/>
  <c r="C19" i="52"/>
  <c r="J19" i="52"/>
  <c r="R19" i="52"/>
  <c r="S19" i="52"/>
  <c r="U19" i="52"/>
  <c r="V19" i="52"/>
  <c r="AC19" i="52"/>
  <c r="AD19" i="52"/>
  <c r="AE19" i="52"/>
  <c r="AF19" i="52"/>
  <c r="AG19" i="52"/>
  <c r="AH19" i="52"/>
  <c r="AL19" i="52"/>
  <c r="AN19" i="52"/>
  <c r="AP19" i="52"/>
  <c r="AR19" i="52"/>
  <c r="J20" i="52"/>
  <c r="R20" i="52"/>
  <c r="S20" i="52"/>
  <c r="U20" i="52"/>
  <c r="V20" i="52"/>
  <c r="AN20" i="52"/>
  <c r="AP20" i="52"/>
  <c r="AR20" i="52"/>
  <c r="J21" i="52"/>
  <c r="R21" i="52"/>
  <c r="S21" i="52"/>
  <c r="U21" i="52"/>
  <c r="V21" i="52"/>
  <c r="AN21" i="52"/>
  <c r="AP21" i="52"/>
  <c r="AR21" i="52"/>
  <c r="B22" i="52"/>
  <c r="C22" i="52"/>
  <c r="J22" i="52"/>
  <c r="R22" i="52"/>
  <c r="S22" i="52"/>
  <c r="U22" i="52"/>
  <c r="V22" i="52"/>
  <c r="AL22" i="52"/>
  <c r="AN22" i="52"/>
  <c r="AP22" i="52"/>
  <c r="AR22" i="52"/>
  <c r="J23" i="52"/>
  <c r="R23" i="52"/>
  <c r="S23" i="52"/>
  <c r="U23" i="52"/>
  <c r="V23" i="52"/>
  <c r="AN23" i="52"/>
  <c r="AP23" i="52"/>
  <c r="AR23" i="52"/>
  <c r="J24" i="52"/>
  <c r="R24" i="52"/>
  <c r="S24" i="52"/>
  <c r="U24" i="52"/>
  <c r="V24" i="52"/>
  <c r="AN24" i="52"/>
  <c r="AP24" i="52"/>
  <c r="AR24" i="52"/>
  <c r="J25" i="52"/>
  <c r="R25" i="52"/>
  <c r="S25" i="52"/>
  <c r="U25" i="52"/>
  <c r="V25" i="52"/>
  <c r="AN25" i="52"/>
  <c r="AP25" i="52"/>
  <c r="AR25" i="52"/>
  <c r="J26" i="52"/>
  <c r="R26" i="52"/>
  <c r="S26" i="52"/>
  <c r="U26" i="52"/>
  <c r="V26" i="52"/>
  <c r="AN26" i="52"/>
  <c r="AP26" i="52"/>
  <c r="AR26" i="52"/>
  <c r="J27" i="52"/>
  <c r="R27" i="52"/>
  <c r="S27" i="52"/>
  <c r="U27" i="52"/>
  <c r="V27" i="52"/>
  <c r="AN27" i="52"/>
  <c r="AP27" i="52"/>
  <c r="AR27" i="52"/>
  <c r="J28" i="52"/>
  <c r="R28" i="52"/>
  <c r="S28" i="52"/>
  <c r="U28" i="52"/>
  <c r="V28" i="52"/>
  <c r="AN28" i="52"/>
  <c r="AP28" i="52"/>
  <c r="AR28" i="52"/>
  <c r="J29" i="52"/>
  <c r="R29" i="52"/>
  <c r="S29" i="52"/>
  <c r="U29" i="52"/>
  <c r="V29" i="52"/>
  <c r="AN29" i="52"/>
  <c r="AP29" i="52"/>
  <c r="AR29" i="52"/>
  <c r="J30" i="52"/>
  <c r="R30" i="52"/>
  <c r="S30" i="52"/>
  <c r="U30" i="52"/>
  <c r="V30" i="52"/>
  <c r="AN30" i="52"/>
  <c r="AP30" i="52"/>
  <c r="AR30" i="52"/>
  <c r="J31" i="52"/>
  <c r="R31" i="52"/>
  <c r="S31" i="52"/>
  <c r="U31" i="52"/>
  <c r="V31" i="52"/>
  <c r="AN31" i="52"/>
  <c r="AP31" i="52"/>
  <c r="AR31" i="52"/>
  <c r="J32" i="52"/>
  <c r="R32" i="52"/>
  <c r="S32" i="52"/>
  <c r="U32" i="52"/>
  <c r="V32" i="52"/>
  <c r="AN32" i="52"/>
  <c r="AP32" i="52"/>
  <c r="AR32" i="52"/>
  <c r="B33" i="52"/>
  <c r="C33" i="52"/>
  <c r="J33" i="52"/>
  <c r="R33" i="52"/>
  <c r="S33" i="52"/>
  <c r="U33" i="52"/>
  <c r="V33" i="52"/>
  <c r="AL33" i="52"/>
  <c r="AN33" i="52"/>
  <c r="AP33" i="52"/>
  <c r="AR33" i="52"/>
  <c r="J34" i="52"/>
  <c r="R34" i="52"/>
  <c r="S34" i="52"/>
  <c r="U34" i="52"/>
  <c r="V34" i="52"/>
  <c r="AN34" i="52"/>
  <c r="AP34" i="52"/>
  <c r="AR34" i="52"/>
  <c r="J35" i="52"/>
  <c r="R35" i="52"/>
  <c r="S35" i="52"/>
  <c r="U35" i="52"/>
  <c r="V35" i="52"/>
  <c r="AN35" i="52"/>
  <c r="AP35" i="52"/>
  <c r="AR35" i="52"/>
  <c r="J36" i="52"/>
  <c r="R36" i="52"/>
  <c r="S36" i="52"/>
  <c r="U36" i="52"/>
  <c r="V36" i="52"/>
  <c r="AN36" i="52"/>
  <c r="AP36" i="52"/>
  <c r="AR36" i="52"/>
  <c r="J37" i="52"/>
  <c r="R37" i="52"/>
  <c r="S37" i="52"/>
  <c r="U37" i="52"/>
  <c r="V37" i="52"/>
  <c r="AN37" i="52"/>
  <c r="AP37" i="52"/>
  <c r="AR37" i="52"/>
  <c r="J38" i="52"/>
  <c r="R38" i="52"/>
  <c r="S38" i="52"/>
  <c r="U38" i="52"/>
  <c r="V38" i="52"/>
  <c r="J39" i="52"/>
  <c r="R39" i="52"/>
  <c r="S39" i="52"/>
  <c r="U39" i="52"/>
  <c r="V39" i="52"/>
  <c r="J40" i="52"/>
  <c r="R40" i="52"/>
  <c r="S40" i="52"/>
  <c r="U40" i="52"/>
  <c r="V40" i="52"/>
  <c r="AN40" i="52"/>
  <c r="AP40" i="52"/>
  <c r="AR40" i="52"/>
  <c r="B41" i="52"/>
  <c r="C41" i="52"/>
  <c r="J41" i="52"/>
  <c r="R41" i="52"/>
  <c r="S41" i="52"/>
  <c r="U41" i="52"/>
  <c r="V41" i="52"/>
  <c r="AL41" i="52"/>
  <c r="AN41" i="52"/>
  <c r="AP41" i="52"/>
  <c r="AR41" i="52"/>
  <c r="J42" i="52"/>
  <c r="R42" i="52"/>
  <c r="S42" i="52"/>
  <c r="U42" i="52"/>
  <c r="V42" i="52"/>
  <c r="AN42" i="52"/>
  <c r="AP42" i="52"/>
  <c r="AR42" i="52"/>
  <c r="J43" i="52"/>
  <c r="R43" i="52"/>
  <c r="S43" i="52"/>
  <c r="U43" i="52"/>
  <c r="V43" i="52"/>
  <c r="AN43" i="52"/>
  <c r="AP43" i="52"/>
  <c r="AR43" i="52"/>
  <c r="J44" i="52"/>
  <c r="R44" i="52"/>
  <c r="S44" i="52"/>
  <c r="U44" i="52"/>
  <c r="V44" i="52"/>
  <c r="AN44" i="52"/>
  <c r="AP44" i="52"/>
  <c r="AR44" i="52"/>
  <c r="J45" i="52"/>
  <c r="R45" i="52"/>
  <c r="S45" i="52"/>
  <c r="U45" i="52"/>
  <c r="V45" i="52"/>
  <c r="AN45" i="52"/>
  <c r="AP45" i="52"/>
  <c r="AR45" i="52"/>
  <c r="J46" i="52"/>
  <c r="R46" i="52"/>
  <c r="S46" i="52"/>
  <c r="U46" i="52"/>
  <c r="V46" i="52"/>
  <c r="AN46" i="52"/>
  <c r="AP46" i="52"/>
  <c r="AR46" i="52"/>
  <c r="J47" i="52"/>
  <c r="R47" i="52"/>
  <c r="S47" i="52"/>
  <c r="U47" i="52"/>
  <c r="V47" i="52"/>
  <c r="AN47" i="52"/>
  <c r="AP47" i="52"/>
  <c r="AR47" i="52"/>
  <c r="J48" i="52"/>
  <c r="R48" i="52"/>
  <c r="S48" i="52"/>
  <c r="U48" i="52"/>
  <c r="V48" i="52"/>
  <c r="AN48" i="52"/>
  <c r="AP48" i="52"/>
  <c r="AR48" i="52"/>
  <c r="B49" i="52"/>
  <c r="C49" i="52"/>
  <c r="J49" i="52"/>
  <c r="R49" i="52"/>
  <c r="S49" i="52"/>
  <c r="U49" i="52"/>
  <c r="V49" i="52"/>
  <c r="AL49" i="52"/>
  <c r="AN49" i="52"/>
  <c r="AP49" i="52"/>
  <c r="AR49" i="52"/>
  <c r="B50" i="52"/>
  <c r="C50" i="52"/>
  <c r="D50" i="52"/>
  <c r="E50" i="52"/>
  <c r="F50" i="52"/>
  <c r="G50" i="52"/>
  <c r="H50" i="52"/>
  <c r="J50" i="52"/>
  <c r="K50" i="52"/>
  <c r="L50" i="52"/>
  <c r="M50" i="52"/>
  <c r="N50" i="52"/>
  <c r="O50" i="52"/>
  <c r="P50" i="52"/>
  <c r="R50" i="52"/>
  <c r="S50" i="52"/>
  <c r="U50" i="52"/>
  <c r="V50" i="52"/>
  <c r="AL50" i="52"/>
  <c r="AN50" i="52"/>
  <c r="AP50" i="52"/>
  <c r="AR50" i="52"/>
  <c r="C51" i="52"/>
  <c r="E51" i="52"/>
  <c r="F51" i="52"/>
  <c r="G51" i="52"/>
  <c r="H51" i="52"/>
  <c r="K51" i="52"/>
  <c r="M51" i="52"/>
  <c r="N51" i="52"/>
  <c r="O51" i="52"/>
  <c r="P51" i="52"/>
  <c r="S51" i="52"/>
  <c r="D53" i="52"/>
  <c r="E53" i="52"/>
  <c r="F53" i="52"/>
  <c r="G53" i="52"/>
  <c r="H53" i="52"/>
  <c r="I53" i="52"/>
  <c r="E54" i="52"/>
  <c r="N5" i="4"/>
  <c r="N6" i="4"/>
  <c r="B7" i="4"/>
  <c r="N7" i="4"/>
  <c r="N8" i="4"/>
  <c r="N9" i="4"/>
  <c r="N10" i="4"/>
  <c r="B11" i="4"/>
  <c r="N11" i="4"/>
  <c r="B12" i="4"/>
  <c r="N12" i="4"/>
  <c r="N14" i="4"/>
  <c r="P14" i="4"/>
  <c r="Q14" i="4"/>
  <c r="R14" i="4"/>
  <c r="S14" i="4"/>
  <c r="N15" i="4"/>
  <c r="N16" i="4"/>
  <c r="N17" i="4"/>
  <c r="N18" i="4"/>
  <c r="B19" i="4"/>
  <c r="N19" i="4"/>
  <c r="N20" i="4"/>
  <c r="N21" i="4"/>
  <c r="N22" i="4"/>
  <c r="N23" i="4"/>
  <c r="B24" i="4"/>
  <c r="N24" i="4"/>
  <c r="N25" i="4"/>
  <c r="N26" i="4"/>
  <c r="N27" i="4"/>
  <c r="B28" i="4"/>
  <c r="N28" i="4"/>
  <c r="N29" i="4"/>
  <c r="N30" i="4"/>
  <c r="N31" i="4"/>
  <c r="N32" i="4"/>
  <c r="N33" i="4"/>
  <c r="N34" i="4"/>
  <c r="N35" i="4"/>
  <c r="N36" i="4"/>
  <c r="B37" i="4"/>
  <c r="N37" i="4"/>
  <c r="C40" i="4"/>
  <c r="C42" i="4"/>
  <c r="B38" i="4"/>
  <c r="N38" i="4"/>
  <c r="P38" i="4"/>
  <c r="Q38" i="4"/>
  <c r="R38" i="4"/>
  <c r="S38" i="4"/>
  <c r="N39" i="4"/>
  <c r="N40" i="4"/>
  <c r="P40" i="4"/>
  <c r="Q40" i="4"/>
  <c r="R40" i="4"/>
  <c r="S40" i="4"/>
  <c r="N41" i="4"/>
  <c r="N42" i="4"/>
  <c r="P42" i="4"/>
  <c r="Q42" i="4"/>
  <c r="R42" i="4"/>
  <c r="S42" i="4"/>
  <c r="N43" i="4"/>
  <c r="N44" i="4"/>
  <c r="N45" i="4"/>
  <c r="N46" i="4"/>
  <c r="N47" i="4"/>
  <c r="C51" i="4"/>
  <c r="B48" i="4"/>
  <c r="N48" i="4"/>
  <c r="P48" i="4"/>
  <c r="Q48" i="4"/>
  <c r="R48" i="4"/>
  <c r="S48" i="4"/>
  <c r="N49" i="4"/>
  <c r="N50" i="4"/>
  <c r="N51" i="4"/>
  <c r="P51" i="4"/>
  <c r="Q51" i="4"/>
  <c r="R51" i="4"/>
  <c r="S51" i="4"/>
  <c r="N52" i="4"/>
  <c r="N53" i="4"/>
  <c r="N54" i="4"/>
  <c r="N55" i="4"/>
  <c r="N56" i="4"/>
  <c r="C60" i="4"/>
  <c r="B57" i="4"/>
  <c r="N57" i="4"/>
  <c r="P57" i="4"/>
  <c r="Q57" i="4"/>
  <c r="R57" i="4"/>
  <c r="S57" i="4"/>
  <c r="N58" i="4"/>
  <c r="N59" i="4"/>
  <c r="N60" i="4"/>
  <c r="P60" i="4"/>
  <c r="Q60" i="4"/>
  <c r="R60" i="4"/>
  <c r="S60" i="4"/>
  <c r="N61" i="4"/>
  <c r="N62" i="4"/>
  <c r="N63" i="4"/>
  <c r="C67" i="4"/>
  <c r="B64" i="4"/>
  <c r="N64" i="4"/>
  <c r="P64" i="4"/>
  <c r="Q64" i="4"/>
  <c r="R64" i="4"/>
  <c r="S64" i="4"/>
  <c r="N65" i="4"/>
  <c r="N66" i="4"/>
  <c r="N67" i="4"/>
  <c r="P67" i="4"/>
  <c r="Q67" i="4"/>
  <c r="R67" i="4"/>
  <c r="S67" i="4"/>
  <c r="N68" i="4"/>
  <c r="N69" i="4"/>
  <c r="N70" i="4"/>
  <c r="N71" i="4"/>
  <c r="B72" i="4"/>
  <c r="N72" i="4"/>
  <c r="C73" i="4"/>
  <c r="N73" i="4"/>
  <c r="P73" i="4"/>
  <c r="Q73" i="4"/>
  <c r="R73" i="4"/>
  <c r="S73" i="4"/>
  <c r="B74" i="4"/>
  <c r="N74" i="4"/>
  <c r="N75" i="4"/>
  <c r="N76" i="4"/>
  <c r="B77" i="4"/>
  <c r="N77" i="4"/>
  <c r="B78" i="4"/>
  <c r="N78" i="4"/>
  <c r="B80" i="4"/>
  <c r="D80" i="4"/>
  <c r="F80" i="4"/>
  <c r="H80" i="4"/>
  <c r="J80" i="4"/>
  <c r="L80" i="4"/>
  <c r="N80" i="4"/>
  <c r="N84" i="4"/>
  <c r="N85" i="4"/>
  <c r="B86" i="4"/>
  <c r="N86" i="4"/>
  <c r="N87" i="4"/>
  <c r="N88" i="4"/>
  <c r="N89" i="4"/>
  <c r="B90" i="4"/>
  <c r="N90" i="4"/>
  <c r="B91" i="4"/>
  <c r="N91" i="4"/>
  <c r="N93" i="4"/>
  <c r="P93" i="4"/>
  <c r="Q93" i="4"/>
  <c r="R93" i="4"/>
  <c r="S93" i="4"/>
  <c r="N94" i="4"/>
  <c r="N95" i="4"/>
  <c r="N96" i="4"/>
  <c r="B97" i="4"/>
  <c r="N97" i="4"/>
  <c r="N98" i="4"/>
  <c r="N99" i="4"/>
  <c r="N100" i="4"/>
  <c r="N101" i="4"/>
  <c r="B102" i="4"/>
  <c r="N102" i="4"/>
  <c r="N103" i="4"/>
  <c r="N104" i="4"/>
  <c r="N105" i="4"/>
  <c r="B106" i="4"/>
  <c r="N106" i="4"/>
  <c r="N107" i="4"/>
  <c r="N108" i="4"/>
  <c r="N109" i="4"/>
  <c r="N110" i="4"/>
  <c r="N111" i="4"/>
  <c r="N112" i="4"/>
  <c r="B113" i="4"/>
  <c r="N113" i="4"/>
  <c r="C116" i="4"/>
  <c r="B114" i="4"/>
  <c r="N114" i="4"/>
  <c r="P114" i="4"/>
  <c r="Q114" i="4"/>
  <c r="R114" i="4"/>
  <c r="S114" i="4"/>
  <c r="N115" i="4"/>
  <c r="N116" i="4"/>
  <c r="P116" i="4"/>
  <c r="Q116" i="4"/>
  <c r="R116" i="4"/>
  <c r="S116" i="4"/>
  <c r="N117" i="4"/>
  <c r="N118" i="4"/>
  <c r="N119" i="4"/>
  <c r="N120" i="4"/>
  <c r="N121" i="4"/>
  <c r="C124" i="4"/>
  <c r="B122" i="4"/>
  <c r="N122" i="4"/>
  <c r="P122" i="4"/>
  <c r="Q122" i="4"/>
  <c r="R122" i="4"/>
  <c r="S122" i="4"/>
  <c r="N123" i="4"/>
  <c r="N124" i="4"/>
  <c r="P124" i="4"/>
  <c r="Q124" i="4"/>
  <c r="R124" i="4"/>
  <c r="S124" i="4"/>
  <c r="N125" i="4"/>
  <c r="N126" i="4"/>
  <c r="N127" i="4"/>
  <c r="N128" i="4"/>
  <c r="N129" i="4"/>
  <c r="N130" i="4"/>
  <c r="B131" i="4"/>
  <c r="N131" i="4"/>
  <c r="C132" i="4"/>
  <c r="N132" i="4"/>
  <c r="P132" i="4"/>
  <c r="Q132" i="4"/>
  <c r="R132" i="4"/>
  <c r="S132" i="4"/>
  <c r="B133" i="4"/>
  <c r="N133" i="4"/>
  <c r="N134" i="4"/>
  <c r="N135" i="4"/>
  <c r="B136" i="4"/>
  <c r="N136" i="4"/>
  <c r="B137" i="4"/>
  <c r="N137" i="4"/>
  <c r="D139" i="4"/>
  <c r="F139" i="4"/>
  <c r="H139" i="4"/>
  <c r="J139" i="4"/>
  <c r="L139" i="4"/>
  <c r="N139" i="4"/>
  <c r="N143" i="4"/>
  <c r="N144" i="4"/>
  <c r="B145" i="4"/>
  <c r="N145" i="4"/>
  <c r="N146" i="4"/>
  <c r="N147" i="4"/>
  <c r="N148" i="4"/>
  <c r="B149" i="4"/>
  <c r="N149" i="4"/>
  <c r="B150" i="4"/>
  <c r="N150" i="4"/>
  <c r="N152" i="4"/>
  <c r="P152" i="4"/>
  <c r="Q152" i="4"/>
  <c r="R152" i="4"/>
  <c r="S152" i="4"/>
  <c r="N153" i="4"/>
  <c r="N154" i="4"/>
  <c r="N155" i="4"/>
  <c r="N156" i="4"/>
  <c r="B157" i="4"/>
  <c r="N157" i="4"/>
  <c r="N158" i="4"/>
  <c r="N159" i="4"/>
  <c r="N160" i="4"/>
  <c r="N161" i="4"/>
  <c r="B162" i="4"/>
  <c r="N162" i="4"/>
  <c r="N163" i="4"/>
  <c r="N164" i="4"/>
  <c r="N165" i="4"/>
  <c r="B166" i="4"/>
  <c r="N166" i="4"/>
  <c r="N167" i="4"/>
  <c r="N168" i="4"/>
  <c r="N169" i="4"/>
  <c r="N170" i="4"/>
  <c r="N171" i="4"/>
  <c r="N172" i="4"/>
  <c r="B173" i="4"/>
  <c r="N173" i="4"/>
  <c r="C176" i="4"/>
  <c r="C180" i="4"/>
  <c r="B174" i="4"/>
  <c r="D174" i="4"/>
  <c r="F174" i="4"/>
  <c r="H174" i="4"/>
  <c r="J174" i="4"/>
  <c r="L174" i="4"/>
  <c r="N174" i="4"/>
  <c r="P174" i="4"/>
  <c r="Q174" i="4"/>
  <c r="R174" i="4"/>
  <c r="S174" i="4"/>
  <c r="N175" i="4"/>
  <c r="N176" i="4"/>
  <c r="P176" i="4"/>
  <c r="Q176" i="4"/>
  <c r="R176" i="4"/>
  <c r="S176" i="4"/>
  <c r="N177" i="4"/>
  <c r="N178" i="4"/>
  <c r="N179" i="4"/>
  <c r="N180" i="4"/>
  <c r="P180" i="4"/>
  <c r="Q180" i="4"/>
  <c r="R180" i="4"/>
  <c r="S180" i="4"/>
  <c r="B181" i="4"/>
  <c r="D181" i="4"/>
  <c r="F181" i="4"/>
  <c r="H181" i="4"/>
  <c r="J181" i="4"/>
  <c r="L181" i="4"/>
  <c r="N181" i="4"/>
  <c r="P181" i="4"/>
  <c r="Q181" i="4"/>
  <c r="R181" i="4"/>
  <c r="S181" i="4"/>
  <c r="N182" i="4"/>
  <c r="N183" i="4"/>
  <c r="N184" i="4"/>
  <c r="N185" i="4"/>
  <c r="B186" i="4"/>
  <c r="D186" i="4"/>
  <c r="F186" i="4"/>
  <c r="H186" i="4"/>
  <c r="J186" i="4"/>
  <c r="L186" i="4"/>
  <c r="N186" i="4"/>
  <c r="P186" i="4"/>
  <c r="Q186" i="4"/>
  <c r="R186" i="4"/>
  <c r="S186" i="4"/>
  <c r="N187" i="4"/>
  <c r="N188" i="4"/>
  <c r="N189" i="4"/>
  <c r="N190" i="4"/>
  <c r="N191" i="4"/>
  <c r="N192" i="4"/>
  <c r="N193" i="4"/>
  <c r="B194" i="4"/>
  <c r="N194" i="4"/>
  <c r="C195" i="4"/>
  <c r="N195" i="4"/>
  <c r="P195" i="4"/>
  <c r="Q195" i="4"/>
  <c r="R195" i="4"/>
  <c r="S195" i="4"/>
  <c r="B196" i="4"/>
  <c r="N196" i="4"/>
  <c r="N197" i="4"/>
  <c r="N198" i="4"/>
  <c r="B199" i="4"/>
  <c r="N199" i="4"/>
  <c r="B200" i="4"/>
  <c r="N200" i="4"/>
  <c r="D202" i="4"/>
  <c r="F202" i="4"/>
  <c r="H202" i="4"/>
  <c r="J202" i="4"/>
  <c r="L202" i="4"/>
  <c r="N202" i="4"/>
  <c r="G3" i="51"/>
  <c r="I3" i="51"/>
  <c r="K3" i="51"/>
  <c r="M3" i="51"/>
  <c r="F6" i="51"/>
  <c r="H6" i="51"/>
  <c r="J6" i="51"/>
  <c r="L6" i="51"/>
  <c r="N6" i="51"/>
  <c r="O6" i="51"/>
  <c r="O7" i="51"/>
  <c r="O8" i="51"/>
  <c r="P6" i="51"/>
  <c r="F7" i="51"/>
  <c r="H7" i="51"/>
  <c r="J7" i="51"/>
  <c r="L7" i="51"/>
  <c r="N7" i="51"/>
  <c r="P7" i="51"/>
  <c r="E20" i="51"/>
  <c r="F8" i="51"/>
  <c r="G20" i="51"/>
  <c r="H8" i="51"/>
  <c r="I20" i="51"/>
  <c r="J8" i="51"/>
  <c r="K20" i="51"/>
  <c r="L8" i="51"/>
  <c r="M20" i="51"/>
  <c r="N8" i="51"/>
  <c r="O13" i="51"/>
  <c r="O14" i="51"/>
  <c r="O15" i="51"/>
  <c r="O20" i="51"/>
  <c r="P8" i="51"/>
  <c r="D9" i="51"/>
  <c r="D66" i="55"/>
  <c r="E66" i="55"/>
  <c r="F66" i="55"/>
  <c r="G66" i="55"/>
  <c r="H66" i="55"/>
  <c r="E9" i="51"/>
  <c r="D67" i="55"/>
  <c r="E67" i="55"/>
  <c r="F67" i="55"/>
  <c r="G67" i="55"/>
  <c r="H67" i="55"/>
  <c r="D68" i="55"/>
  <c r="E68" i="55"/>
  <c r="F68" i="55"/>
  <c r="G68" i="55"/>
  <c r="H68" i="55"/>
  <c r="D69" i="55"/>
  <c r="E69" i="55"/>
  <c r="F69" i="55"/>
  <c r="G69" i="55"/>
  <c r="H69" i="55"/>
  <c r="D70" i="55"/>
  <c r="E70" i="55"/>
  <c r="F70" i="55"/>
  <c r="G70" i="55"/>
  <c r="H70" i="55"/>
  <c r="H71" i="55"/>
  <c r="E10" i="51"/>
  <c r="E11" i="51"/>
  <c r="F9" i="51"/>
  <c r="I66" i="55"/>
  <c r="J66" i="55"/>
  <c r="K66" i="55"/>
  <c r="L66" i="55"/>
  <c r="M66" i="55"/>
  <c r="G9" i="51"/>
  <c r="I67" i="55"/>
  <c r="J67" i="55"/>
  <c r="K67" i="55"/>
  <c r="L67" i="55"/>
  <c r="M67" i="55"/>
  <c r="I68" i="55"/>
  <c r="J68" i="55"/>
  <c r="K68" i="55"/>
  <c r="L68" i="55"/>
  <c r="M68" i="55"/>
  <c r="I69" i="55"/>
  <c r="J69" i="55"/>
  <c r="K69" i="55"/>
  <c r="L69" i="55"/>
  <c r="M69" i="55"/>
  <c r="I70" i="55"/>
  <c r="J70" i="55"/>
  <c r="K70" i="55"/>
  <c r="L70" i="55"/>
  <c r="M70" i="55"/>
  <c r="M71" i="55"/>
  <c r="G10" i="51"/>
  <c r="G11" i="51"/>
  <c r="H9" i="51"/>
  <c r="N66" i="55"/>
  <c r="O66" i="55"/>
  <c r="P66" i="55"/>
  <c r="Q66" i="55"/>
  <c r="R66" i="55"/>
  <c r="I9" i="51"/>
  <c r="N67" i="55"/>
  <c r="O67" i="55"/>
  <c r="P67" i="55"/>
  <c r="Q67" i="55"/>
  <c r="R67" i="55"/>
  <c r="N68" i="55"/>
  <c r="O68" i="55"/>
  <c r="P68" i="55"/>
  <c r="Q68" i="55"/>
  <c r="R68" i="55"/>
  <c r="N69" i="55"/>
  <c r="O69" i="55"/>
  <c r="P69" i="55"/>
  <c r="Q69" i="55"/>
  <c r="R69" i="55"/>
  <c r="N70" i="55"/>
  <c r="O70" i="55"/>
  <c r="P70" i="55"/>
  <c r="Q70" i="55"/>
  <c r="R70" i="55"/>
  <c r="R71" i="55"/>
  <c r="I10" i="51"/>
  <c r="I11" i="51"/>
  <c r="J9" i="51"/>
  <c r="S66" i="55"/>
  <c r="T66" i="55"/>
  <c r="U66" i="55"/>
  <c r="V66" i="55"/>
  <c r="W66" i="55"/>
  <c r="K9" i="51"/>
  <c r="S67" i="55"/>
  <c r="T67" i="55"/>
  <c r="U67" i="55"/>
  <c r="V67" i="55"/>
  <c r="W67" i="55"/>
  <c r="S68" i="55"/>
  <c r="T68" i="55"/>
  <c r="U68" i="55"/>
  <c r="V68" i="55"/>
  <c r="W68" i="55"/>
  <c r="S69" i="55"/>
  <c r="T69" i="55"/>
  <c r="U69" i="55"/>
  <c r="V69" i="55"/>
  <c r="W69" i="55"/>
  <c r="S70" i="55"/>
  <c r="T70" i="55"/>
  <c r="U70" i="55"/>
  <c r="V70" i="55"/>
  <c r="W70" i="55"/>
  <c r="W71" i="55"/>
  <c r="K10" i="51"/>
  <c r="K11" i="51"/>
  <c r="L9" i="51"/>
  <c r="X66" i="55"/>
  <c r="Y66" i="55"/>
  <c r="Z66" i="55"/>
  <c r="AA66" i="55"/>
  <c r="AB66" i="55"/>
  <c r="M9" i="51"/>
  <c r="X67" i="55"/>
  <c r="Y67" i="55"/>
  <c r="Z67" i="55"/>
  <c r="AA67" i="55"/>
  <c r="AB67" i="55"/>
  <c r="X68" i="55"/>
  <c r="Y68" i="55"/>
  <c r="Z68" i="55"/>
  <c r="AA68" i="55"/>
  <c r="AB68" i="55"/>
  <c r="X69" i="55"/>
  <c r="Y69" i="55"/>
  <c r="Z69" i="55"/>
  <c r="AA69" i="55"/>
  <c r="AB69" i="55"/>
  <c r="X70" i="55"/>
  <c r="Y70" i="55"/>
  <c r="Z70" i="55"/>
  <c r="AA70" i="55"/>
  <c r="AB70" i="55"/>
  <c r="AB71" i="55"/>
  <c r="M10" i="51"/>
  <c r="M11" i="51"/>
  <c r="N9" i="51"/>
  <c r="O9" i="51"/>
  <c r="O10" i="51"/>
  <c r="O11" i="51"/>
  <c r="P9" i="51"/>
  <c r="D10" i="51"/>
  <c r="F10" i="51"/>
  <c r="H10" i="51"/>
  <c r="J10" i="51"/>
  <c r="L10" i="51"/>
  <c r="N10" i="51"/>
  <c r="P10" i="51"/>
  <c r="D195" i="55"/>
  <c r="E195" i="55"/>
  <c r="F195" i="55"/>
  <c r="G195" i="55"/>
  <c r="H195" i="55"/>
  <c r="E16" i="51"/>
  <c r="D196" i="55"/>
  <c r="E196" i="55"/>
  <c r="F196" i="55"/>
  <c r="G196" i="55"/>
  <c r="H196" i="55"/>
  <c r="D197" i="55"/>
  <c r="E197" i="55"/>
  <c r="F197" i="55"/>
  <c r="G197" i="55"/>
  <c r="H197" i="55"/>
  <c r="D198" i="55"/>
  <c r="E198" i="55"/>
  <c r="F198" i="55"/>
  <c r="G198" i="55"/>
  <c r="H198" i="55"/>
  <c r="D199" i="55"/>
  <c r="E199" i="55"/>
  <c r="F199" i="55"/>
  <c r="G199" i="55"/>
  <c r="H199" i="55"/>
  <c r="H200" i="55"/>
  <c r="E17" i="51"/>
  <c r="E18" i="51"/>
  <c r="E21" i="51"/>
  <c r="F11" i="51"/>
  <c r="I195" i="55"/>
  <c r="J195" i="55"/>
  <c r="K195" i="55"/>
  <c r="L195" i="55"/>
  <c r="M195" i="55"/>
  <c r="G16" i="51"/>
  <c r="I196" i="55"/>
  <c r="J196" i="55"/>
  <c r="K196" i="55"/>
  <c r="L196" i="55"/>
  <c r="M196" i="55"/>
  <c r="I197" i="55"/>
  <c r="J197" i="55"/>
  <c r="K197" i="55"/>
  <c r="L197" i="55"/>
  <c r="M197" i="55"/>
  <c r="I198" i="55"/>
  <c r="J198" i="55"/>
  <c r="K198" i="55"/>
  <c r="L198" i="55"/>
  <c r="M198" i="55"/>
  <c r="I199" i="55"/>
  <c r="J199" i="55"/>
  <c r="K199" i="55"/>
  <c r="L199" i="55"/>
  <c r="M199" i="55"/>
  <c r="M200" i="55"/>
  <c r="G17" i="51"/>
  <c r="G18" i="51"/>
  <c r="G21" i="51"/>
  <c r="H11" i="51"/>
  <c r="N195" i="55"/>
  <c r="O195" i="55"/>
  <c r="P195" i="55"/>
  <c r="Q195" i="55"/>
  <c r="R195" i="55"/>
  <c r="I16" i="51"/>
  <c r="N196" i="55"/>
  <c r="O196" i="55"/>
  <c r="P196" i="55"/>
  <c r="Q196" i="55"/>
  <c r="R196" i="55"/>
  <c r="N197" i="55"/>
  <c r="O197" i="55"/>
  <c r="P197" i="55"/>
  <c r="Q197" i="55"/>
  <c r="R197" i="55"/>
  <c r="N198" i="55"/>
  <c r="O198" i="55"/>
  <c r="P198" i="55"/>
  <c r="Q198" i="55"/>
  <c r="R198" i="55"/>
  <c r="N199" i="55"/>
  <c r="O199" i="55"/>
  <c r="P199" i="55"/>
  <c r="Q199" i="55"/>
  <c r="R199" i="55"/>
  <c r="R200" i="55"/>
  <c r="I17" i="51"/>
  <c r="I18" i="51"/>
  <c r="I21" i="51"/>
  <c r="J11" i="51"/>
  <c r="S195" i="55"/>
  <c r="T195" i="55"/>
  <c r="U195" i="55"/>
  <c r="V195" i="55"/>
  <c r="W195" i="55"/>
  <c r="K16" i="51"/>
  <c r="S196" i="55"/>
  <c r="T196" i="55"/>
  <c r="U196" i="55"/>
  <c r="V196" i="55"/>
  <c r="W196" i="55"/>
  <c r="S197" i="55"/>
  <c r="T197" i="55"/>
  <c r="U197" i="55"/>
  <c r="V197" i="55"/>
  <c r="W197" i="55"/>
  <c r="S198" i="55"/>
  <c r="T198" i="55"/>
  <c r="U198" i="55"/>
  <c r="V198" i="55"/>
  <c r="W198" i="55"/>
  <c r="S199" i="55"/>
  <c r="T199" i="55"/>
  <c r="U199" i="55"/>
  <c r="V199" i="55"/>
  <c r="W199" i="55"/>
  <c r="W200" i="55"/>
  <c r="K17" i="51"/>
  <c r="K18" i="51"/>
  <c r="K21" i="51"/>
  <c r="L11" i="51"/>
  <c r="X195" i="55"/>
  <c r="Y195" i="55"/>
  <c r="Z195" i="55"/>
  <c r="AA195" i="55"/>
  <c r="AB195" i="55"/>
  <c r="M16" i="51"/>
  <c r="X196" i="55"/>
  <c r="Y196" i="55"/>
  <c r="Z196" i="55"/>
  <c r="AA196" i="55"/>
  <c r="AB196" i="55"/>
  <c r="X197" i="55"/>
  <c r="Y197" i="55"/>
  <c r="Z197" i="55"/>
  <c r="AA197" i="55"/>
  <c r="AB197" i="55"/>
  <c r="X198" i="55"/>
  <c r="Y198" i="55"/>
  <c r="Z198" i="55"/>
  <c r="AA198" i="55"/>
  <c r="AB198" i="55"/>
  <c r="X199" i="55"/>
  <c r="Y199" i="55"/>
  <c r="Z199" i="55"/>
  <c r="AA199" i="55"/>
  <c r="AB199" i="55"/>
  <c r="AB200" i="55"/>
  <c r="M17" i="51"/>
  <c r="M18" i="51"/>
  <c r="M21" i="51"/>
  <c r="N11" i="51"/>
  <c r="O16" i="51"/>
  <c r="O17" i="51"/>
  <c r="O18" i="51"/>
  <c r="O21" i="51"/>
  <c r="P11" i="51"/>
  <c r="E12" i="51"/>
  <c r="G12" i="51"/>
  <c r="H12" i="51"/>
  <c r="I12" i="51"/>
  <c r="J12" i="51"/>
  <c r="K12" i="51"/>
  <c r="L12" i="51"/>
  <c r="M12" i="51"/>
  <c r="N12" i="51"/>
  <c r="D13" i="51"/>
  <c r="F13" i="51"/>
  <c r="H13" i="51"/>
  <c r="J13" i="51"/>
  <c r="L13" i="51"/>
  <c r="N13" i="51"/>
  <c r="P13" i="51"/>
  <c r="D14" i="51"/>
  <c r="F14" i="51"/>
  <c r="H14" i="51"/>
  <c r="J14" i="51"/>
  <c r="L14" i="51"/>
  <c r="N14" i="51"/>
  <c r="P14" i="51"/>
  <c r="F15" i="51"/>
  <c r="H15" i="51"/>
  <c r="J15" i="51"/>
  <c r="L15" i="51"/>
  <c r="N15" i="51"/>
  <c r="P15" i="51"/>
  <c r="D16" i="51"/>
  <c r="F16" i="51"/>
  <c r="H16" i="51"/>
  <c r="J16" i="51"/>
  <c r="L16" i="51"/>
  <c r="N16" i="51"/>
  <c r="P16" i="51"/>
  <c r="D17" i="51"/>
  <c r="F17" i="51"/>
  <c r="H17" i="51"/>
  <c r="J17" i="51"/>
  <c r="L17" i="51"/>
  <c r="N17" i="51"/>
  <c r="P17" i="51"/>
  <c r="F18" i="51"/>
  <c r="H18" i="51"/>
  <c r="J18" i="51"/>
  <c r="L18" i="51"/>
  <c r="N18" i="51"/>
  <c r="P18" i="51"/>
  <c r="E19" i="51"/>
  <c r="G19" i="51"/>
  <c r="H19" i="51"/>
  <c r="I19" i="51"/>
  <c r="J19" i="51"/>
  <c r="K19" i="51"/>
  <c r="L19" i="51"/>
  <c r="M19" i="51"/>
  <c r="N19" i="51"/>
  <c r="F20" i="51"/>
  <c r="H20" i="51"/>
  <c r="J20" i="51"/>
  <c r="L20" i="51"/>
  <c r="N20" i="51"/>
  <c r="P20" i="51"/>
  <c r="H21" i="51"/>
  <c r="J21" i="51"/>
  <c r="L21" i="51"/>
  <c r="N21" i="51"/>
  <c r="P21" i="51"/>
  <c r="E22" i="51"/>
  <c r="G22" i="51"/>
  <c r="I22" i="51"/>
  <c r="K22" i="51"/>
  <c r="M22" i="51"/>
  <c r="E32" i="51"/>
  <c r="F24" i="51"/>
  <c r="G32" i="51"/>
  <c r="H24" i="51"/>
  <c r="I32" i="51"/>
  <c r="J24" i="51"/>
  <c r="K32" i="51"/>
  <c r="L24" i="51"/>
  <c r="M32" i="51"/>
  <c r="N24" i="51"/>
  <c r="O24" i="51"/>
  <c r="O25" i="51"/>
  <c r="O26" i="51"/>
  <c r="O27" i="51"/>
  <c r="O28" i="51"/>
  <c r="O29" i="51"/>
  <c r="O30" i="51"/>
  <c r="O31" i="51"/>
  <c r="O32" i="51"/>
  <c r="P24" i="51"/>
  <c r="F25" i="51"/>
  <c r="H25" i="51"/>
  <c r="J25" i="51"/>
  <c r="L25" i="51"/>
  <c r="N25" i="51"/>
  <c r="P25" i="51"/>
  <c r="F26" i="51"/>
  <c r="H26" i="51"/>
  <c r="J26" i="51"/>
  <c r="L26" i="51"/>
  <c r="N26" i="51"/>
  <c r="P26" i="51"/>
  <c r="F27" i="51"/>
  <c r="H27" i="51"/>
  <c r="J27" i="51"/>
  <c r="L27" i="51"/>
  <c r="N27" i="51"/>
  <c r="P27" i="51"/>
  <c r="F28" i="51"/>
  <c r="H28" i="51"/>
  <c r="J28" i="51"/>
  <c r="L28" i="51"/>
  <c r="N28" i="51"/>
  <c r="P28" i="51"/>
  <c r="F29" i="51"/>
  <c r="H29" i="51"/>
  <c r="J29" i="51"/>
  <c r="L29" i="51"/>
  <c r="N29" i="51"/>
  <c r="P29" i="51"/>
  <c r="F30" i="51"/>
  <c r="H30" i="51"/>
  <c r="J30" i="51"/>
  <c r="L30" i="51"/>
  <c r="N30" i="51"/>
  <c r="P30" i="51"/>
  <c r="F31" i="51"/>
  <c r="H31" i="51"/>
  <c r="J31" i="51"/>
  <c r="L31" i="51"/>
  <c r="N31" i="51"/>
  <c r="P31" i="51"/>
  <c r="E39" i="51"/>
  <c r="F32" i="51"/>
  <c r="G39" i="51"/>
  <c r="H32" i="51"/>
  <c r="I39" i="51"/>
  <c r="J32" i="51"/>
  <c r="K39" i="51"/>
  <c r="L32" i="51"/>
  <c r="M39" i="51"/>
  <c r="N32" i="51"/>
  <c r="O33" i="51"/>
  <c r="O34" i="51"/>
  <c r="O35" i="51"/>
  <c r="O36" i="51"/>
  <c r="O37" i="51"/>
  <c r="O38" i="51"/>
  <c r="O39" i="51"/>
  <c r="P32" i="51"/>
  <c r="F33" i="51"/>
  <c r="H33" i="51"/>
  <c r="J33" i="51"/>
  <c r="L33" i="51"/>
  <c r="N33" i="51"/>
  <c r="P33" i="51"/>
  <c r="F34" i="51"/>
  <c r="H34" i="51"/>
  <c r="J34" i="51"/>
  <c r="L34" i="51"/>
  <c r="N34" i="51"/>
  <c r="P34" i="51"/>
  <c r="F35" i="51"/>
  <c r="H35" i="51"/>
  <c r="J35" i="51"/>
  <c r="L35" i="51"/>
  <c r="N35" i="51"/>
  <c r="P35" i="51"/>
  <c r="F36" i="51"/>
  <c r="H36" i="51"/>
  <c r="J36" i="51"/>
  <c r="L36" i="51"/>
  <c r="N36" i="51"/>
  <c r="P36" i="51"/>
  <c r="F37" i="51"/>
  <c r="H37" i="51"/>
  <c r="J37" i="51"/>
  <c r="L37" i="51"/>
  <c r="N37" i="51"/>
  <c r="P37" i="51"/>
  <c r="F38" i="51"/>
  <c r="H38" i="51"/>
  <c r="J38" i="51"/>
  <c r="L38" i="51"/>
  <c r="N38" i="51"/>
  <c r="P38" i="51"/>
  <c r="H39" i="51"/>
  <c r="J39" i="51"/>
  <c r="L39" i="51"/>
  <c r="N39" i="51"/>
  <c r="P39" i="51"/>
  <c r="E41" i="51"/>
  <c r="F41" i="51"/>
  <c r="G41" i="51"/>
  <c r="H41" i="51"/>
  <c r="I41" i="51"/>
  <c r="J41" i="51"/>
  <c r="K41" i="51"/>
  <c r="L41" i="51"/>
  <c r="M41" i="51"/>
  <c r="N41" i="51"/>
  <c r="O41" i="51"/>
  <c r="P41" i="51"/>
  <c r="F43" i="51"/>
  <c r="E43" i="51"/>
  <c r="H43" i="51"/>
  <c r="G43" i="51"/>
  <c r="J43" i="51"/>
  <c r="I43" i="51"/>
  <c r="L43" i="51"/>
  <c r="K43" i="51"/>
  <c r="N43" i="51"/>
  <c r="M43" i="51"/>
  <c r="O43" i="51"/>
  <c r="P43" i="51"/>
  <c r="E45" i="51"/>
  <c r="F45" i="51"/>
  <c r="G45" i="51"/>
  <c r="H45" i="51"/>
  <c r="I45" i="51"/>
  <c r="J45" i="51"/>
  <c r="K45" i="51"/>
  <c r="L45" i="51"/>
  <c r="M45" i="51"/>
  <c r="N45" i="51"/>
  <c r="O45" i="51"/>
  <c r="P45" i="51"/>
  <c r="E46" i="51"/>
  <c r="G46" i="51"/>
  <c r="I46" i="51"/>
  <c r="K46" i="51"/>
  <c r="M46" i="51"/>
  <c r="F48" i="51"/>
  <c r="H48" i="51"/>
  <c r="J48" i="51"/>
  <c r="L48" i="51"/>
  <c r="N48" i="51"/>
  <c r="F3" i="65"/>
  <c r="H3" i="65"/>
  <c r="J3" i="65"/>
  <c r="L3" i="65"/>
  <c r="D6" i="65"/>
  <c r="D11" i="65"/>
  <c r="D16" i="65"/>
  <c r="E6" i="65"/>
  <c r="F6" i="65"/>
  <c r="F11" i="65"/>
  <c r="F16" i="65"/>
  <c r="G6" i="65"/>
  <c r="H6" i="65"/>
  <c r="H11" i="65"/>
  <c r="H16" i="65"/>
  <c r="I6" i="65"/>
  <c r="J6" i="65"/>
  <c r="J11" i="65"/>
  <c r="J16" i="65"/>
  <c r="K6" i="65"/>
  <c r="L6" i="65"/>
  <c r="L11" i="65"/>
  <c r="L16" i="65"/>
  <c r="M6" i="65"/>
  <c r="N6" i="65"/>
  <c r="N16" i="65"/>
  <c r="O6" i="65"/>
  <c r="D7" i="65"/>
  <c r="D8" i="65"/>
  <c r="D9" i="65"/>
  <c r="D10" i="65"/>
  <c r="D12" i="65"/>
  <c r="D13" i="65"/>
  <c r="D14" i="65"/>
  <c r="D15" i="65"/>
  <c r="D17" i="65"/>
  <c r="E7" i="65"/>
  <c r="F7" i="65"/>
  <c r="F8" i="65"/>
  <c r="F9" i="65"/>
  <c r="F10" i="65"/>
  <c r="F12" i="65"/>
  <c r="F13" i="65"/>
  <c r="F14" i="65"/>
  <c r="F15" i="65"/>
  <c r="F17" i="65"/>
  <c r="G7" i="65"/>
  <c r="H7" i="65"/>
  <c r="H8" i="65"/>
  <c r="H9" i="65"/>
  <c r="H10" i="65"/>
  <c r="H12" i="65"/>
  <c r="H13" i="65"/>
  <c r="H14" i="65"/>
  <c r="H15" i="65"/>
  <c r="H17" i="65"/>
  <c r="I7" i="65"/>
  <c r="J7" i="65"/>
  <c r="J8" i="65"/>
  <c r="J9" i="65"/>
  <c r="J10" i="65"/>
  <c r="J12" i="65"/>
  <c r="J13" i="65"/>
  <c r="J14" i="65"/>
  <c r="J15" i="65"/>
  <c r="J17" i="65"/>
  <c r="K7" i="65"/>
  <c r="L7" i="65"/>
  <c r="L8" i="65"/>
  <c r="L9" i="65"/>
  <c r="L10" i="65"/>
  <c r="L12" i="65"/>
  <c r="L13" i="65"/>
  <c r="L14" i="65"/>
  <c r="L15" i="65"/>
  <c r="L17" i="65"/>
  <c r="M7" i="65"/>
  <c r="N7" i="65"/>
  <c r="N17" i="65"/>
  <c r="O7" i="65"/>
  <c r="E8" i="65"/>
  <c r="G8" i="65"/>
  <c r="I8" i="65"/>
  <c r="K8" i="65"/>
  <c r="M8" i="65"/>
  <c r="N8" i="65"/>
  <c r="O8" i="65"/>
  <c r="E9" i="65"/>
  <c r="G9" i="65"/>
  <c r="I9" i="65"/>
  <c r="K9" i="65"/>
  <c r="M9" i="65"/>
  <c r="N9" i="65"/>
  <c r="O9" i="65"/>
  <c r="E10" i="65"/>
  <c r="G10" i="65"/>
  <c r="I10" i="65"/>
  <c r="K10" i="65"/>
  <c r="M10" i="65"/>
  <c r="N10" i="65"/>
  <c r="O10" i="65"/>
  <c r="E11" i="65"/>
  <c r="G11" i="65"/>
  <c r="I11" i="65"/>
  <c r="K11" i="65"/>
  <c r="M11" i="65"/>
  <c r="N11" i="65"/>
  <c r="O11" i="65"/>
  <c r="E12" i="65"/>
  <c r="G12" i="65"/>
  <c r="I12" i="65"/>
  <c r="K12" i="65"/>
  <c r="M12" i="65"/>
  <c r="N12" i="65"/>
  <c r="O12" i="65"/>
  <c r="E13" i="65"/>
  <c r="G13" i="65"/>
  <c r="I13" i="65"/>
  <c r="K13" i="65"/>
  <c r="M13" i="65"/>
  <c r="N13" i="65"/>
  <c r="O13" i="65"/>
  <c r="E14" i="65"/>
  <c r="G14" i="65"/>
  <c r="I14" i="65"/>
  <c r="K14" i="65"/>
  <c r="M14" i="65"/>
  <c r="N14" i="65"/>
  <c r="O14" i="65"/>
  <c r="E15" i="65"/>
  <c r="G15" i="65"/>
  <c r="I15" i="65"/>
  <c r="K15" i="65"/>
  <c r="M15" i="65"/>
  <c r="N15" i="65"/>
  <c r="O15" i="65"/>
  <c r="E16" i="65"/>
  <c r="G16" i="65"/>
  <c r="I16" i="65"/>
  <c r="K16" i="65"/>
  <c r="M16" i="65"/>
  <c r="O16" i="65"/>
  <c r="O17" i="65"/>
  <c r="D19" i="65"/>
  <c r="D20" i="65"/>
  <c r="D21" i="65"/>
  <c r="D22" i="65"/>
  <c r="D23" i="65"/>
  <c r="D24" i="65"/>
  <c r="D25" i="65"/>
  <c r="D26" i="65"/>
  <c r="D27" i="65"/>
  <c r="D28" i="65"/>
  <c r="E19" i="65"/>
  <c r="F19" i="65"/>
  <c r="F20" i="65"/>
  <c r="F21" i="65"/>
  <c r="F22" i="65"/>
  <c r="F23" i="65"/>
  <c r="F24" i="65"/>
  <c r="F25" i="65"/>
  <c r="F26" i="65"/>
  <c r="F27" i="65"/>
  <c r="F28" i="65"/>
  <c r="G19" i="65"/>
  <c r="H19" i="65"/>
  <c r="H20" i="65"/>
  <c r="H21" i="65"/>
  <c r="H22" i="65"/>
  <c r="H23" i="65"/>
  <c r="H24" i="65"/>
  <c r="H25" i="65"/>
  <c r="H26" i="65"/>
  <c r="H27" i="65"/>
  <c r="H28" i="65"/>
  <c r="I19" i="65"/>
  <c r="J19" i="65"/>
  <c r="J20" i="65"/>
  <c r="J21" i="65"/>
  <c r="J22" i="65"/>
  <c r="J23" i="65"/>
  <c r="J24" i="65"/>
  <c r="J25" i="65"/>
  <c r="J26" i="65"/>
  <c r="J27" i="65"/>
  <c r="J28" i="65"/>
  <c r="K19" i="65"/>
  <c r="L19" i="65"/>
  <c r="L20" i="65"/>
  <c r="L21" i="65"/>
  <c r="L22" i="65"/>
  <c r="L23" i="65"/>
  <c r="L24" i="65"/>
  <c r="L25" i="65"/>
  <c r="L26" i="65"/>
  <c r="L27" i="65"/>
  <c r="L28" i="65"/>
  <c r="M19" i="65"/>
  <c r="N19" i="65"/>
  <c r="N20" i="65"/>
  <c r="N21" i="65"/>
  <c r="N22" i="65"/>
  <c r="N23" i="65"/>
  <c r="N24" i="65"/>
  <c r="N25" i="65"/>
  <c r="N26" i="65"/>
  <c r="N27" i="65"/>
  <c r="N28" i="65"/>
  <c r="O19" i="65"/>
  <c r="E20" i="65"/>
  <c r="G20" i="65"/>
  <c r="I20" i="65"/>
  <c r="K20" i="65"/>
  <c r="M20" i="65"/>
  <c r="O20" i="65"/>
  <c r="E21" i="65"/>
  <c r="G21" i="65"/>
  <c r="I21" i="65"/>
  <c r="K21" i="65"/>
  <c r="M21" i="65"/>
  <c r="O21" i="65"/>
  <c r="E22" i="65"/>
  <c r="G22" i="65"/>
  <c r="I22" i="65"/>
  <c r="K22" i="65"/>
  <c r="M22" i="65"/>
  <c r="O22" i="65"/>
  <c r="E23" i="65"/>
  <c r="G23" i="65"/>
  <c r="I23" i="65"/>
  <c r="K23" i="65"/>
  <c r="M23" i="65"/>
  <c r="O23" i="65"/>
  <c r="E24" i="65"/>
  <c r="G24" i="65"/>
  <c r="I24" i="65"/>
  <c r="K24" i="65"/>
  <c r="M24" i="65"/>
  <c r="O24" i="65"/>
  <c r="E25" i="65"/>
  <c r="G25" i="65"/>
  <c r="I25" i="65"/>
  <c r="K25" i="65"/>
  <c r="M25" i="65"/>
  <c r="O25" i="65"/>
  <c r="E26" i="65"/>
  <c r="G26" i="65"/>
  <c r="I26" i="65"/>
  <c r="K26" i="65"/>
  <c r="M26" i="65"/>
  <c r="O26" i="65"/>
  <c r="E27" i="65"/>
  <c r="G27" i="65"/>
  <c r="I27" i="65"/>
  <c r="K27" i="65"/>
  <c r="M27" i="65"/>
  <c r="O27" i="65"/>
  <c r="E28" i="65"/>
  <c r="G28" i="65"/>
  <c r="I28" i="65"/>
  <c r="K28" i="65"/>
  <c r="M28" i="65"/>
  <c r="O28" i="65"/>
  <c r="D30" i="65"/>
  <c r="E30" i="65"/>
  <c r="F30" i="65"/>
  <c r="G30" i="65"/>
  <c r="H30" i="65"/>
  <c r="I30" i="65"/>
  <c r="J30" i="65"/>
  <c r="K30" i="65"/>
  <c r="L30" i="65"/>
  <c r="M30" i="65"/>
  <c r="N30" i="65"/>
  <c r="O30" i="65"/>
  <c r="E32" i="65"/>
  <c r="D32" i="65"/>
  <c r="G32" i="65"/>
  <c r="F32" i="65"/>
  <c r="I32" i="65"/>
  <c r="H32" i="65"/>
  <c r="K32" i="65"/>
  <c r="J32" i="65"/>
  <c r="M32" i="65"/>
  <c r="L32" i="65"/>
  <c r="N32" i="65"/>
  <c r="O32" i="65"/>
  <c r="D34" i="65"/>
  <c r="E34" i="65"/>
  <c r="F34" i="65"/>
  <c r="G34" i="65"/>
  <c r="H34" i="65"/>
  <c r="I34" i="65"/>
  <c r="J34" i="65"/>
  <c r="K34" i="65"/>
  <c r="L34" i="65"/>
  <c r="M34" i="65"/>
  <c r="N34" i="65"/>
  <c r="O34" i="65"/>
  <c r="D35" i="65"/>
  <c r="E35" i="65"/>
  <c r="F35" i="65"/>
  <c r="G35" i="65"/>
  <c r="H35" i="65"/>
  <c r="I35" i="65"/>
  <c r="J35" i="65"/>
  <c r="K35" i="65"/>
  <c r="L35" i="65"/>
  <c r="M35" i="65"/>
  <c r="C28" i="57"/>
  <c r="C33" i="57"/>
  <c r="C35" i="57"/>
  <c r="C36" i="57"/>
  <c r="C37" i="57"/>
  <c r="C38" i="57"/>
  <c r="C39" i="57"/>
  <c r="C40" i="57"/>
  <c r="C41" i="57"/>
  <c r="C42" i="57"/>
  <c r="C43" i="57"/>
  <c r="C44" i="57"/>
  <c r="D28" i="57"/>
  <c r="D29" i="57"/>
  <c r="D30" i="57"/>
  <c r="D31" i="57"/>
  <c r="D32" i="57"/>
  <c r="D33" i="57"/>
  <c r="D34" i="57"/>
  <c r="D35" i="57"/>
  <c r="D36" i="57"/>
  <c r="D37" i="57"/>
  <c r="D38" i="57"/>
  <c r="D39" i="57"/>
  <c r="D40" i="57"/>
  <c r="D41" i="57"/>
  <c r="D42" i="57"/>
  <c r="D43" i="57"/>
  <c r="D44" i="57"/>
  <c r="E28" i="57"/>
  <c r="E29" i="57"/>
  <c r="E30" i="57"/>
  <c r="E31" i="57"/>
  <c r="E32" i="57"/>
  <c r="E33" i="57"/>
  <c r="E34" i="57"/>
  <c r="E35" i="57"/>
  <c r="E36" i="57"/>
  <c r="E37" i="57"/>
  <c r="E38" i="57"/>
  <c r="E39" i="57"/>
  <c r="E40" i="57"/>
  <c r="E41" i="57"/>
  <c r="E42" i="57"/>
  <c r="E43" i="57"/>
  <c r="E44" i="57"/>
  <c r="F28" i="57"/>
  <c r="F29" i="57"/>
  <c r="F30" i="57"/>
  <c r="F31" i="57"/>
  <c r="F32" i="57"/>
  <c r="F33" i="57"/>
  <c r="F34" i="57"/>
  <c r="F35" i="57"/>
  <c r="F36" i="57"/>
  <c r="F37" i="57"/>
  <c r="F38" i="57"/>
  <c r="F39" i="57"/>
  <c r="F40" i="57"/>
  <c r="F41" i="57"/>
  <c r="F42" i="57"/>
  <c r="F43" i="57"/>
  <c r="F44" i="57"/>
  <c r="C45" i="57"/>
  <c r="D37" i="65"/>
  <c r="E37" i="65"/>
  <c r="G43" i="57"/>
  <c r="H28" i="57"/>
  <c r="H29" i="57"/>
  <c r="H30" i="57"/>
  <c r="H31" i="57"/>
  <c r="H32" i="57"/>
  <c r="H33" i="57"/>
  <c r="H34" i="57"/>
  <c r="H35" i="57"/>
  <c r="H36" i="57"/>
  <c r="H37" i="57"/>
  <c r="H38" i="57"/>
  <c r="H39" i="57"/>
  <c r="H40" i="57"/>
  <c r="H41" i="57"/>
  <c r="H42" i="57"/>
  <c r="H43" i="57"/>
  <c r="H44" i="57"/>
  <c r="I28" i="57"/>
  <c r="I29" i="57"/>
  <c r="I30" i="57"/>
  <c r="I31" i="57"/>
  <c r="I32" i="57"/>
  <c r="I33" i="57"/>
  <c r="I34" i="57"/>
  <c r="I35" i="57"/>
  <c r="I36" i="57"/>
  <c r="I37" i="57"/>
  <c r="I38" i="57"/>
  <c r="I39" i="57"/>
  <c r="I40" i="57"/>
  <c r="I41" i="57"/>
  <c r="I42" i="57"/>
  <c r="I43" i="57"/>
  <c r="I44" i="57"/>
  <c r="J28" i="57"/>
  <c r="J29" i="57"/>
  <c r="J30" i="57"/>
  <c r="J31" i="57"/>
  <c r="J32" i="57"/>
  <c r="J33" i="57"/>
  <c r="J34" i="57"/>
  <c r="J35" i="57"/>
  <c r="J36" i="57"/>
  <c r="J37" i="57"/>
  <c r="J38" i="57"/>
  <c r="J39" i="57"/>
  <c r="J40" i="57"/>
  <c r="J41" i="57"/>
  <c r="J42" i="57"/>
  <c r="J43" i="57"/>
  <c r="J44" i="57"/>
  <c r="K28" i="57"/>
  <c r="K29" i="57"/>
  <c r="K30" i="57"/>
  <c r="K31" i="57"/>
  <c r="K32" i="57"/>
  <c r="K33" i="57"/>
  <c r="K34" i="57"/>
  <c r="K35" i="57"/>
  <c r="K36" i="57"/>
  <c r="K37" i="57"/>
  <c r="K38" i="57"/>
  <c r="K39" i="57"/>
  <c r="K40" i="57"/>
  <c r="K41" i="57"/>
  <c r="K42" i="57"/>
  <c r="K43" i="57"/>
  <c r="K44" i="57"/>
  <c r="H45" i="57"/>
  <c r="F37" i="65"/>
  <c r="G37" i="65"/>
  <c r="L43" i="57"/>
  <c r="M28" i="57"/>
  <c r="M29" i="57"/>
  <c r="M30" i="57"/>
  <c r="M31" i="57"/>
  <c r="M32" i="57"/>
  <c r="M33" i="57"/>
  <c r="M34" i="57"/>
  <c r="M35" i="57"/>
  <c r="M36" i="57"/>
  <c r="M37" i="57"/>
  <c r="M38" i="57"/>
  <c r="M39" i="57"/>
  <c r="M40" i="57"/>
  <c r="M41" i="57"/>
  <c r="M42" i="57"/>
  <c r="M43" i="57"/>
  <c r="M44" i="57"/>
  <c r="N28" i="57"/>
  <c r="N29" i="57"/>
  <c r="N30" i="57"/>
  <c r="N31" i="57"/>
  <c r="N32" i="57"/>
  <c r="N33" i="57"/>
  <c r="N34" i="57"/>
  <c r="N35" i="57"/>
  <c r="N36" i="57"/>
  <c r="N37" i="57"/>
  <c r="N38" i="57"/>
  <c r="N39" i="57"/>
  <c r="N40" i="57"/>
  <c r="N41" i="57"/>
  <c r="N42" i="57"/>
  <c r="N43" i="57"/>
  <c r="N44" i="57"/>
  <c r="O28" i="57"/>
  <c r="O29" i="57"/>
  <c r="O30" i="57"/>
  <c r="O31" i="57"/>
  <c r="O32" i="57"/>
  <c r="O33" i="57"/>
  <c r="O34" i="57"/>
  <c r="O35" i="57"/>
  <c r="O36" i="57"/>
  <c r="O37" i="57"/>
  <c r="O38" i="57"/>
  <c r="O39" i="57"/>
  <c r="O40" i="57"/>
  <c r="O41" i="57"/>
  <c r="O42" i="57"/>
  <c r="O43" i="57"/>
  <c r="O44" i="57"/>
  <c r="P28" i="57"/>
  <c r="P29" i="57"/>
  <c r="P30" i="57"/>
  <c r="P31" i="57"/>
  <c r="P32" i="57"/>
  <c r="P33" i="57"/>
  <c r="P34" i="57"/>
  <c r="P35" i="57"/>
  <c r="P36" i="57"/>
  <c r="P37" i="57"/>
  <c r="P38" i="57"/>
  <c r="P39" i="57"/>
  <c r="P40" i="57"/>
  <c r="P41" i="57"/>
  <c r="P42" i="57"/>
  <c r="P43" i="57"/>
  <c r="P44" i="57"/>
  <c r="M45" i="57"/>
  <c r="H37" i="65"/>
  <c r="I37" i="65"/>
  <c r="Q43" i="57"/>
  <c r="R28" i="57"/>
  <c r="R29" i="57"/>
  <c r="R30" i="57"/>
  <c r="R31" i="57"/>
  <c r="R32" i="57"/>
  <c r="R33" i="57"/>
  <c r="R34" i="57"/>
  <c r="R35" i="57"/>
  <c r="R36" i="57"/>
  <c r="R37" i="57"/>
  <c r="R38" i="57"/>
  <c r="R39" i="57"/>
  <c r="R40" i="57"/>
  <c r="R41" i="57"/>
  <c r="R42" i="57"/>
  <c r="R43" i="57"/>
  <c r="R44" i="57"/>
  <c r="S28" i="57"/>
  <c r="S29" i="57"/>
  <c r="S30" i="57"/>
  <c r="S31" i="57"/>
  <c r="S32" i="57"/>
  <c r="S33" i="57"/>
  <c r="S34" i="57"/>
  <c r="S35" i="57"/>
  <c r="S36" i="57"/>
  <c r="S37" i="57"/>
  <c r="S38" i="57"/>
  <c r="S39" i="57"/>
  <c r="S40" i="57"/>
  <c r="S41" i="57"/>
  <c r="S42" i="57"/>
  <c r="S43" i="57"/>
  <c r="S44" i="57"/>
  <c r="T28" i="57"/>
  <c r="T29" i="57"/>
  <c r="T30" i="57"/>
  <c r="T31" i="57"/>
  <c r="T32" i="57"/>
  <c r="T33" i="57"/>
  <c r="T34" i="57"/>
  <c r="T35" i="57"/>
  <c r="T36" i="57"/>
  <c r="T37" i="57"/>
  <c r="T38" i="57"/>
  <c r="T39" i="57"/>
  <c r="T40" i="57"/>
  <c r="T41" i="57"/>
  <c r="T42" i="57"/>
  <c r="T43" i="57"/>
  <c r="T44" i="57"/>
  <c r="U28" i="57"/>
  <c r="U29" i="57"/>
  <c r="U30" i="57"/>
  <c r="U31" i="57"/>
  <c r="U32" i="57"/>
  <c r="U33" i="57"/>
  <c r="U34" i="57"/>
  <c r="U35" i="57"/>
  <c r="U36" i="57"/>
  <c r="U37" i="57"/>
  <c r="U38" i="57"/>
  <c r="U39" i="57"/>
  <c r="U40" i="57"/>
  <c r="U41" i="57"/>
  <c r="U42" i="57"/>
  <c r="U43" i="57"/>
  <c r="U44" i="57"/>
  <c r="R45" i="57"/>
  <c r="J37" i="65"/>
  <c r="K37" i="65"/>
  <c r="V43" i="57"/>
  <c r="W28" i="57"/>
  <c r="W29" i="57"/>
  <c r="W30" i="57"/>
  <c r="W31" i="57"/>
  <c r="W32" i="57"/>
  <c r="W33" i="57"/>
  <c r="W34" i="57"/>
  <c r="W35" i="57"/>
  <c r="W36" i="57"/>
  <c r="W37" i="57"/>
  <c r="W38" i="57"/>
  <c r="W39" i="57"/>
  <c r="W40" i="57"/>
  <c r="W41" i="57"/>
  <c r="W42" i="57"/>
  <c r="W43" i="57"/>
  <c r="W44" i="57"/>
  <c r="X28" i="57"/>
  <c r="X29" i="57"/>
  <c r="X30" i="57"/>
  <c r="X31" i="57"/>
  <c r="X32" i="57"/>
  <c r="X33" i="57"/>
  <c r="X34" i="57"/>
  <c r="X35" i="57"/>
  <c r="X36" i="57"/>
  <c r="X37" i="57"/>
  <c r="X38" i="57"/>
  <c r="X39" i="57"/>
  <c r="X40" i="57"/>
  <c r="X41" i="57"/>
  <c r="X42" i="57"/>
  <c r="X43" i="57"/>
  <c r="X44" i="57"/>
  <c r="Y28" i="57"/>
  <c r="Y29" i="57"/>
  <c r="Y30" i="57"/>
  <c r="Y31" i="57"/>
  <c r="Y32" i="57"/>
  <c r="Y33" i="57"/>
  <c r="Y34" i="57"/>
  <c r="Y35" i="57"/>
  <c r="Y36" i="57"/>
  <c r="Y37" i="57"/>
  <c r="Y38" i="57"/>
  <c r="Y39" i="57"/>
  <c r="Y40" i="57"/>
  <c r="Y41" i="57"/>
  <c r="Y42" i="57"/>
  <c r="Y43" i="57"/>
  <c r="Y44" i="57"/>
  <c r="Z28" i="57"/>
  <c r="Z29" i="57"/>
  <c r="Z30" i="57"/>
  <c r="Z31" i="57"/>
  <c r="Z32" i="57"/>
  <c r="Z33" i="57"/>
  <c r="Z34" i="57"/>
  <c r="Z35" i="57"/>
  <c r="Z36" i="57"/>
  <c r="Z37" i="57"/>
  <c r="Z38" i="57"/>
  <c r="Z39" i="57"/>
  <c r="Z40" i="57"/>
  <c r="Z41" i="57"/>
  <c r="Z42" i="57"/>
  <c r="Z43" i="57"/>
  <c r="Z44" i="57"/>
  <c r="W45" i="57"/>
  <c r="L37" i="65"/>
  <c r="M37" i="65"/>
  <c r="F3" i="69"/>
  <c r="H3" i="69"/>
  <c r="J3" i="69"/>
  <c r="L3" i="69"/>
  <c r="D6" i="69"/>
  <c r="D11" i="69"/>
  <c r="D16" i="69"/>
  <c r="E6" i="69"/>
  <c r="F6" i="69"/>
  <c r="F11" i="69"/>
  <c r="F16" i="69"/>
  <c r="G6" i="69"/>
  <c r="H6" i="69"/>
  <c r="H11" i="69"/>
  <c r="H16" i="69"/>
  <c r="I6" i="69"/>
  <c r="J6" i="69"/>
  <c r="J11" i="69"/>
  <c r="J16" i="69"/>
  <c r="K6" i="69"/>
  <c r="L6" i="69"/>
  <c r="L11" i="69"/>
  <c r="L16" i="69"/>
  <c r="M6" i="69"/>
  <c r="N6" i="69"/>
  <c r="N16" i="69"/>
  <c r="O6" i="69"/>
  <c r="D7" i="69"/>
  <c r="D8" i="69"/>
  <c r="D9" i="69"/>
  <c r="D10" i="69"/>
  <c r="D12" i="69"/>
  <c r="D13" i="69"/>
  <c r="D14" i="69"/>
  <c r="D15" i="69"/>
  <c r="D17" i="69"/>
  <c r="E7" i="69"/>
  <c r="F7" i="69"/>
  <c r="F8" i="69"/>
  <c r="F9" i="69"/>
  <c r="F10" i="69"/>
  <c r="F12" i="69"/>
  <c r="F13" i="69"/>
  <c r="F14" i="69"/>
  <c r="F15" i="69"/>
  <c r="F17" i="69"/>
  <c r="G7" i="69"/>
  <c r="H7" i="69"/>
  <c r="H8" i="69"/>
  <c r="H9" i="69"/>
  <c r="H10" i="69"/>
  <c r="H12" i="69"/>
  <c r="H13" i="69"/>
  <c r="H14" i="69"/>
  <c r="H15" i="69"/>
  <c r="H17" i="69"/>
  <c r="I7" i="69"/>
  <c r="J7" i="69"/>
  <c r="J8" i="69"/>
  <c r="J9" i="69"/>
  <c r="J10" i="69"/>
  <c r="J12" i="69"/>
  <c r="J13" i="69"/>
  <c r="J14" i="69"/>
  <c r="J15" i="69"/>
  <c r="J17" i="69"/>
  <c r="K7" i="69"/>
  <c r="L7" i="69"/>
  <c r="L8" i="69"/>
  <c r="L9" i="69"/>
  <c r="L10" i="69"/>
  <c r="L12" i="69"/>
  <c r="L13" i="69"/>
  <c r="L14" i="69"/>
  <c r="L15" i="69"/>
  <c r="L17" i="69"/>
  <c r="M7" i="69"/>
  <c r="N7" i="69"/>
  <c r="N17" i="69"/>
  <c r="O7" i="69"/>
  <c r="E8" i="69"/>
  <c r="G8" i="69"/>
  <c r="I8" i="69"/>
  <c r="K8" i="69"/>
  <c r="M8" i="69"/>
  <c r="N8" i="69"/>
  <c r="O8" i="69"/>
  <c r="E9" i="69"/>
  <c r="G9" i="69"/>
  <c r="I9" i="69"/>
  <c r="K9" i="69"/>
  <c r="M9" i="69"/>
  <c r="N9" i="69"/>
  <c r="O9" i="69"/>
  <c r="E10" i="69"/>
  <c r="G10" i="69"/>
  <c r="I10" i="69"/>
  <c r="K10" i="69"/>
  <c r="M10" i="69"/>
  <c r="N10" i="69"/>
  <c r="O10" i="69"/>
  <c r="E11" i="69"/>
  <c r="G11" i="69"/>
  <c r="I11" i="69"/>
  <c r="K11" i="69"/>
  <c r="M11" i="69"/>
  <c r="N11" i="69"/>
  <c r="O11" i="69"/>
  <c r="E12" i="69"/>
  <c r="G12" i="69"/>
  <c r="I12" i="69"/>
  <c r="K12" i="69"/>
  <c r="M12" i="69"/>
  <c r="N12" i="69"/>
  <c r="O12" i="69"/>
  <c r="E13" i="69"/>
  <c r="G13" i="69"/>
  <c r="I13" i="69"/>
  <c r="K13" i="69"/>
  <c r="M13" i="69"/>
  <c r="N13" i="69"/>
  <c r="O13" i="69"/>
  <c r="E14" i="69"/>
  <c r="G14" i="69"/>
  <c r="I14" i="69"/>
  <c r="K14" i="69"/>
  <c r="M14" i="69"/>
  <c r="N14" i="69"/>
  <c r="O14" i="69"/>
  <c r="E15" i="69"/>
  <c r="G15" i="69"/>
  <c r="I15" i="69"/>
  <c r="K15" i="69"/>
  <c r="M15" i="69"/>
  <c r="N15" i="69"/>
  <c r="O15" i="69"/>
  <c r="E16" i="69"/>
  <c r="G16" i="69"/>
  <c r="I16" i="69"/>
  <c r="K16" i="69"/>
  <c r="M16" i="69"/>
  <c r="O16" i="69"/>
  <c r="O17" i="69"/>
  <c r="D19" i="69"/>
  <c r="D20" i="69"/>
  <c r="D21" i="69"/>
  <c r="D22" i="69"/>
  <c r="D23" i="69"/>
  <c r="D24" i="69"/>
  <c r="D25" i="69"/>
  <c r="D26" i="69"/>
  <c r="H158" i="55"/>
  <c r="H263" i="55"/>
  <c r="D27" i="69"/>
  <c r="D28" i="69"/>
  <c r="E19" i="69"/>
  <c r="F19" i="69"/>
  <c r="F20" i="69"/>
  <c r="F21" i="69"/>
  <c r="F22" i="69"/>
  <c r="F23" i="69"/>
  <c r="F24" i="69"/>
  <c r="F25" i="69"/>
  <c r="F26" i="69"/>
  <c r="M158" i="55"/>
  <c r="M263" i="55"/>
  <c r="F27" i="69"/>
  <c r="F28" i="69"/>
  <c r="G19" i="69"/>
  <c r="H19" i="69"/>
  <c r="H20" i="69"/>
  <c r="H21" i="69"/>
  <c r="H22" i="69"/>
  <c r="H23" i="69"/>
  <c r="H24" i="69"/>
  <c r="H25" i="69"/>
  <c r="H26" i="69"/>
  <c r="R158" i="55"/>
  <c r="R263" i="55"/>
  <c r="H27" i="69"/>
  <c r="H28" i="69"/>
  <c r="I19" i="69"/>
  <c r="J19" i="69"/>
  <c r="J20" i="69"/>
  <c r="J21" i="69"/>
  <c r="J22" i="69"/>
  <c r="J23" i="69"/>
  <c r="J24" i="69"/>
  <c r="J25" i="69"/>
  <c r="J26" i="69"/>
  <c r="W158" i="55"/>
  <c r="W263" i="55"/>
  <c r="J27" i="69"/>
  <c r="J28" i="69"/>
  <c r="K19" i="69"/>
  <c r="L19" i="69"/>
  <c r="L20" i="69"/>
  <c r="L21" i="69"/>
  <c r="L22" i="69"/>
  <c r="L23" i="69"/>
  <c r="L24" i="69"/>
  <c r="L25" i="69"/>
  <c r="L26" i="69"/>
  <c r="AB158" i="55"/>
  <c r="AB263" i="55"/>
  <c r="L27" i="69"/>
  <c r="L28" i="69"/>
  <c r="M19" i="69"/>
  <c r="N19" i="69"/>
  <c r="N20" i="69"/>
  <c r="N21" i="69"/>
  <c r="N22" i="69"/>
  <c r="N23" i="69"/>
  <c r="N24" i="69"/>
  <c r="N25" i="69"/>
  <c r="N26" i="69"/>
  <c r="N27" i="69"/>
  <c r="N28" i="69"/>
  <c r="O19" i="69"/>
  <c r="E20" i="69"/>
  <c r="G20" i="69"/>
  <c r="I20" i="69"/>
  <c r="K20" i="69"/>
  <c r="M20" i="69"/>
  <c r="O20" i="69"/>
  <c r="E21" i="69"/>
  <c r="G21" i="69"/>
  <c r="I21" i="69"/>
  <c r="K21" i="69"/>
  <c r="M21" i="69"/>
  <c r="O21" i="69"/>
  <c r="E22" i="69"/>
  <c r="G22" i="69"/>
  <c r="I22" i="69"/>
  <c r="K22" i="69"/>
  <c r="M22" i="69"/>
  <c r="O22" i="69"/>
  <c r="E23" i="69"/>
  <c r="G23" i="69"/>
  <c r="I23" i="69"/>
  <c r="K23" i="69"/>
  <c r="M23" i="69"/>
  <c r="O23" i="69"/>
  <c r="E24" i="69"/>
  <c r="G24" i="69"/>
  <c r="I24" i="69"/>
  <c r="K24" i="69"/>
  <c r="M24" i="69"/>
  <c r="O24" i="69"/>
  <c r="E25" i="69"/>
  <c r="G25" i="69"/>
  <c r="I25" i="69"/>
  <c r="K25" i="69"/>
  <c r="M25" i="69"/>
  <c r="O25" i="69"/>
  <c r="E26" i="69"/>
  <c r="G26" i="69"/>
  <c r="I26" i="69"/>
  <c r="K26" i="69"/>
  <c r="M26" i="69"/>
  <c r="O26" i="69"/>
  <c r="E27" i="69"/>
  <c r="G27" i="69"/>
  <c r="I27" i="69"/>
  <c r="K27" i="69"/>
  <c r="M27" i="69"/>
  <c r="O27" i="69"/>
  <c r="E28" i="69"/>
  <c r="G28" i="69"/>
  <c r="I28" i="69"/>
  <c r="K28" i="69"/>
  <c r="M28" i="69"/>
  <c r="O28" i="69"/>
  <c r="D30" i="69"/>
  <c r="E30" i="69"/>
  <c r="F30" i="69"/>
  <c r="G30" i="69"/>
  <c r="H30" i="69"/>
  <c r="I30" i="69"/>
  <c r="J30" i="69"/>
  <c r="K30" i="69"/>
  <c r="L30" i="69"/>
  <c r="M30" i="69"/>
  <c r="N30" i="69"/>
  <c r="O30" i="69"/>
  <c r="E32" i="69"/>
  <c r="D32" i="69"/>
  <c r="G32" i="69"/>
  <c r="F32" i="69"/>
  <c r="I32" i="69"/>
  <c r="H32" i="69"/>
  <c r="K32" i="69"/>
  <c r="J32" i="69"/>
  <c r="M32" i="69"/>
  <c r="L32" i="69"/>
  <c r="N32" i="69"/>
  <c r="O32" i="69"/>
  <c r="D34" i="69"/>
  <c r="E34" i="69"/>
  <c r="F34" i="69"/>
  <c r="G34" i="69"/>
  <c r="H34" i="69"/>
  <c r="I34" i="69"/>
  <c r="J34" i="69"/>
  <c r="K34" i="69"/>
  <c r="L34" i="69"/>
  <c r="M34" i="69"/>
  <c r="N34" i="69"/>
  <c r="O34" i="69"/>
  <c r="D35" i="69"/>
  <c r="F35" i="69"/>
  <c r="H35" i="69"/>
  <c r="J35" i="69"/>
  <c r="L35" i="69"/>
  <c r="C51" i="57"/>
  <c r="C56" i="57"/>
  <c r="C58" i="57"/>
  <c r="C59" i="57"/>
  <c r="C60" i="57"/>
  <c r="C61" i="57"/>
  <c r="C62" i="57"/>
  <c r="C63" i="57"/>
  <c r="C64" i="57"/>
  <c r="C65" i="57"/>
  <c r="C66" i="57"/>
  <c r="C67" i="57"/>
  <c r="D51" i="57"/>
  <c r="D52" i="57"/>
  <c r="D53" i="57"/>
  <c r="D54" i="57"/>
  <c r="D55" i="57"/>
  <c r="D56" i="57"/>
  <c r="D57" i="57"/>
  <c r="D58" i="57"/>
  <c r="D59" i="57"/>
  <c r="D60" i="57"/>
  <c r="D61" i="57"/>
  <c r="D62" i="57"/>
  <c r="D63" i="57"/>
  <c r="D64" i="57"/>
  <c r="D65" i="57"/>
  <c r="D66" i="57"/>
  <c r="D67" i="57"/>
  <c r="E51" i="57"/>
  <c r="E52" i="57"/>
  <c r="E53" i="57"/>
  <c r="E54" i="57"/>
  <c r="E55" i="57"/>
  <c r="E56" i="57"/>
  <c r="E57" i="57"/>
  <c r="E58" i="57"/>
  <c r="E59" i="57"/>
  <c r="E60" i="57"/>
  <c r="E61" i="57"/>
  <c r="E62" i="57"/>
  <c r="E63" i="57"/>
  <c r="E64" i="57"/>
  <c r="E65" i="57"/>
  <c r="E66" i="57"/>
  <c r="E67" i="57"/>
  <c r="F51" i="57"/>
  <c r="F52" i="57"/>
  <c r="F53" i="57"/>
  <c r="F54" i="57"/>
  <c r="F55" i="57"/>
  <c r="F56" i="57"/>
  <c r="F57" i="57"/>
  <c r="F58" i="57"/>
  <c r="F59" i="57"/>
  <c r="F60" i="57"/>
  <c r="F61" i="57"/>
  <c r="F62" i="57"/>
  <c r="F63" i="57"/>
  <c r="F64" i="57"/>
  <c r="F65" i="57"/>
  <c r="F66" i="57"/>
  <c r="F67" i="57"/>
  <c r="C68" i="57"/>
  <c r="D37" i="69"/>
  <c r="E37" i="69"/>
  <c r="G66" i="57"/>
  <c r="H51" i="57"/>
  <c r="H52" i="57"/>
  <c r="H53" i="57"/>
  <c r="H54" i="57"/>
  <c r="H55" i="57"/>
  <c r="H56" i="57"/>
  <c r="H57" i="57"/>
  <c r="H58" i="57"/>
  <c r="H59" i="57"/>
  <c r="H60" i="57"/>
  <c r="H61" i="57"/>
  <c r="H62" i="57"/>
  <c r="H63" i="57"/>
  <c r="H64" i="57"/>
  <c r="H65" i="57"/>
  <c r="H66" i="57"/>
  <c r="H67" i="57"/>
  <c r="I51" i="57"/>
  <c r="I52" i="57"/>
  <c r="I53" i="57"/>
  <c r="I54" i="57"/>
  <c r="I55" i="57"/>
  <c r="I56" i="57"/>
  <c r="I57" i="57"/>
  <c r="I58" i="57"/>
  <c r="I59" i="57"/>
  <c r="I60" i="57"/>
  <c r="I61" i="57"/>
  <c r="I62" i="57"/>
  <c r="I63" i="57"/>
  <c r="I64" i="57"/>
  <c r="I65" i="57"/>
  <c r="I66" i="57"/>
  <c r="I67" i="57"/>
  <c r="J51" i="57"/>
  <c r="J52" i="57"/>
  <c r="J53" i="57"/>
  <c r="J54" i="57"/>
  <c r="J55" i="57"/>
  <c r="J56" i="57"/>
  <c r="J57" i="57"/>
  <c r="J58" i="57"/>
  <c r="J59" i="57"/>
  <c r="J60" i="57"/>
  <c r="J61" i="57"/>
  <c r="J62" i="57"/>
  <c r="J63" i="57"/>
  <c r="J64" i="57"/>
  <c r="J65" i="57"/>
  <c r="J66" i="57"/>
  <c r="J67" i="57"/>
  <c r="K51" i="57"/>
  <c r="K52" i="57"/>
  <c r="K53" i="57"/>
  <c r="K54" i="57"/>
  <c r="K55" i="57"/>
  <c r="K56" i="57"/>
  <c r="K57" i="57"/>
  <c r="K58" i="57"/>
  <c r="K59" i="57"/>
  <c r="K60" i="57"/>
  <c r="K61" i="57"/>
  <c r="K62" i="57"/>
  <c r="K63" i="57"/>
  <c r="K64" i="57"/>
  <c r="K65" i="57"/>
  <c r="K66" i="57"/>
  <c r="K67" i="57"/>
  <c r="H68" i="57"/>
  <c r="F37" i="69"/>
  <c r="G37" i="69"/>
  <c r="L66" i="57"/>
  <c r="M51" i="57"/>
  <c r="M52" i="57"/>
  <c r="M53" i="57"/>
  <c r="M54" i="57"/>
  <c r="M55" i="57"/>
  <c r="M56" i="57"/>
  <c r="M57" i="57"/>
  <c r="M58" i="57"/>
  <c r="M59" i="57"/>
  <c r="M60" i="57"/>
  <c r="M61" i="57"/>
  <c r="M62" i="57"/>
  <c r="M63" i="57"/>
  <c r="M64" i="57"/>
  <c r="M65" i="57"/>
  <c r="M66" i="57"/>
  <c r="M67" i="57"/>
  <c r="N51" i="57"/>
  <c r="N52" i="57"/>
  <c r="N53" i="57"/>
  <c r="N54" i="57"/>
  <c r="N55" i="57"/>
  <c r="N56" i="57"/>
  <c r="N57" i="57"/>
  <c r="N58" i="57"/>
  <c r="N59" i="57"/>
  <c r="N60" i="57"/>
  <c r="N61" i="57"/>
  <c r="N62" i="57"/>
  <c r="N63" i="57"/>
  <c r="N64" i="57"/>
  <c r="N65" i="57"/>
  <c r="N66" i="57"/>
  <c r="N67" i="57"/>
  <c r="O51" i="57"/>
  <c r="O52" i="57"/>
  <c r="O53" i="57"/>
  <c r="O54" i="57"/>
  <c r="O55" i="57"/>
  <c r="O56" i="57"/>
  <c r="O57" i="57"/>
  <c r="O58" i="57"/>
  <c r="O59" i="57"/>
  <c r="O60" i="57"/>
  <c r="O61" i="57"/>
  <c r="O62" i="57"/>
  <c r="O63" i="57"/>
  <c r="O64" i="57"/>
  <c r="O65" i="57"/>
  <c r="O66" i="57"/>
  <c r="O67" i="57"/>
  <c r="P51" i="57"/>
  <c r="P52" i="57"/>
  <c r="P53" i="57"/>
  <c r="P54" i="57"/>
  <c r="P55" i="57"/>
  <c r="P56" i="57"/>
  <c r="P57" i="57"/>
  <c r="P58" i="57"/>
  <c r="P59" i="57"/>
  <c r="P60" i="57"/>
  <c r="P61" i="57"/>
  <c r="P62" i="57"/>
  <c r="P63" i="57"/>
  <c r="P64" i="57"/>
  <c r="P65" i="57"/>
  <c r="P66" i="57"/>
  <c r="P67" i="57"/>
  <c r="M68" i="57"/>
  <c r="H37" i="69"/>
  <c r="I37" i="69"/>
  <c r="Q66" i="57"/>
  <c r="R51" i="57"/>
  <c r="R52" i="57"/>
  <c r="R53" i="57"/>
  <c r="R54" i="57"/>
  <c r="R55" i="57"/>
  <c r="R56" i="57"/>
  <c r="R57" i="57"/>
  <c r="R58" i="57"/>
  <c r="R59" i="57"/>
  <c r="R60" i="57"/>
  <c r="R61" i="57"/>
  <c r="R62" i="57"/>
  <c r="R63" i="57"/>
  <c r="R64" i="57"/>
  <c r="R65" i="57"/>
  <c r="R66" i="57"/>
  <c r="R67" i="57"/>
  <c r="S51" i="57"/>
  <c r="S52" i="57"/>
  <c r="S53" i="57"/>
  <c r="S54" i="57"/>
  <c r="S55" i="57"/>
  <c r="S56" i="57"/>
  <c r="S57" i="57"/>
  <c r="S58" i="57"/>
  <c r="S59" i="57"/>
  <c r="S60" i="57"/>
  <c r="S61" i="57"/>
  <c r="S62" i="57"/>
  <c r="S63" i="57"/>
  <c r="S64" i="57"/>
  <c r="S65" i="57"/>
  <c r="S66" i="57"/>
  <c r="S67" i="57"/>
  <c r="T51" i="57"/>
  <c r="T52" i="57"/>
  <c r="T53" i="57"/>
  <c r="T54" i="57"/>
  <c r="T55" i="57"/>
  <c r="T56" i="57"/>
  <c r="T57" i="57"/>
  <c r="T58" i="57"/>
  <c r="T59" i="57"/>
  <c r="T60" i="57"/>
  <c r="T61" i="57"/>
  <c r="T62" i="57"/>
  <c r="T63" i="57"/>
  <c r="T64" i="57"/>
  <c r="T65" i="57"/>
  <c r="T66" i="57"/>
  <c r="T67" i="57"/>
  <c r="U51" i="57"/>
  <c r="U52" i="57"/>
  <c r="U53" i="57"/>
  <c r="U54" i="57"/>
  <c r="U55" i="57"/>
  <c r="U56" i="57"/>
  <c r="U57" i="57"/>
  <c r="U58" i="57"/>
  <c r="U59" i="57"/>
  <c r="U60" i="57"/>
  <c r="U61" i="57"/>
  <c r="U62" i="57"/>
  <c r="U63" i="57"/>
  <c r="U64" i="57"/>
  <c r="U65" i="57"/>
  <c r="U66" i="57"/>
  <c r="U67" i="57"/>
  <c r="R68" i="57"/>
  <c r="J37" i="69"/>
  <c r="K37" i="69"/>
  <c r="V66" i="57"/>
  <c r="W51" i="57"/>
  <c r="W52" i="57"/>
  <c r="W53" i="57"/>
  <c r="W54" i="57"/>
  <c r="W55" i="57"/>
  <c r="W56" i="57"/>
  <c r="W57" i="57"/>
  <c r="W58" i="57"/>
  <c r="W59" i="57"/>
  <c r="W60" i="57"/>
  <c r="W61" i="57"/>
  <c r="W62" i="57"/>
  <c r="W63" i="57"/>
  <c r="W64" i="57"/>
  <c r="W65" i="57"/>
  <c r="W66" i="57"/>
  <c r="W67" i="57"/>
  <c r="X51" i="57"/>
  <c r="X52" i="57"/>
  <c r="X53" i="57"/>
  <c r="X54" i="57"/>
  <c r="X55" i="57"/>
  <c r="X56" i="57"/>
  <c r="X57" i="57"/>
  <c r="X58" i="57"/>
  <c r="X59" i="57"/>
  <c r="X60" i="57"/>
  <c r="X61" i="57"/>
  <c r="X62" i="57"/>
  <c r="X63" i="57"/>
  <c r="X64" i="57"/>
  <c r="X65" i="57"/>
  <c r="X66" i="57"/>
  <c r="X67" i="57"/>
  <c r="Y51" i="57"/>
  <c r="Y52" i="57"/>
  <c r="Y53" i="57"/>
  <c r="Y54" i="57"/>
  <c r="Y55" i="57"/>
  <c r="Y56" i="57"/>
  <c r="Y57" i="57"/>
  <c r="Y58" i="57"/>
  <c r="Y59" i="57"/>
  <c r="Y60" i="57"/>
  <c r="Y61" i="57"/>
  <c r="Y62" i="57"/>
  <c r="Y63" i="57"/>
  <c r="Y64" i="57"/>
  <c r="Y65" i="57"/>
  <c r="Y66" i="57"/>
  <c r="Y67" i="57"/>
  <c r="Z51" i="57"/>
  <c r="Z52" i="57"/>
  <c r="Z53" i="57"/>
  <c r="Z54" i="57"/>
  <c r="Z55" i="57"/>
  <c r="Z56" i="57"/>
  <c r="Z57" i="57"/>
  <c r="Z58" i="57"/>
  <c r="Z59" i="57"/>
  <c r="Z60" i="57"/>
  <c r="Z61" i="57"/>
  <c r="Z62" i="57"/>
  <c r="Z63" i="57"/>
  <c r="Z64" i="57"/>
  <c r="Z65" i="57"/>
  <c r="Z66" i="57"/>
  <c r="Z67" i="57"/>
  <c r="W68" i="57"/>
  <c r="L37" i="69"/>
  <c r="M37" i="69"/>
  <c r="AC3" i="55"/>
  <c r="AC4" i="55"/>
  <c r="AC5" i="55"/>
  <c r="AC6" i="55"/>
  <c r="AC7" i="55"/>
  <c r="D8" i="55"/>
  <c r="E8" i="55"/>
  <c r="F8" i="55"/>
  <c r="G8" i="55"/>
  <c r="I8" i="55"/>
  <c r="J8" i="55"/>
  <c r="K8" i="55"/>
  <c r="L8" i="55"/>
  <c r="N8" i="55"/>
  <c r="O8" i="55"/>
  <c r="P8" i="55"/>
  <c r="Q8" i="55"/>
  <c r="S8" i="55"/>
  <c r="T8" i="55"/>
  <c r="U8" i="55"/>
  <c r="V8" i="55"/>
  <c r="X8" i="55"/>
  <c r="Y8" i="55"/>
  <c r="Z8" i="55"/>
  <c r="AA8" i="55"/>
  <c r="AC8" i="55"/>
  <c r="D9" i="55"/>
  <c r="E9" i="55"/>
  <c r="F9" i="55"/>
  <c r="G9" i="55"/>
  <c r="H9" i="55"/>
  <c r="I9" i="55"/>
  <c r="J9" i="55"/>
  <c r="K9" i="55"/>
  <c r="L9" i="55"/>
  <c r="M9" i="55"/>
  <c r="N9" i="55"/>
  <c r="O9" i="55"/>
  <c r="P9" i="55"/>
  <c r="Q9" i="55"/>
  <c r="R9" i="55"/>
  <c r="S9" i="55"/>
  <c r="T9" i="55"/>
  <c r="U9" i="55"/>
  <c r="V9" i="55"/>
  <c r="W9" i="55"/>
  <c r="X9" i="55"/>
  <c r="Y9" i="55"/>
  <c r="Z9" i="55"/>
  <c r="AA9" i="55"/>
  <c r="AB9" i="55"/>
  <c r="AC9" i="55"/>
  <c r="C10" i="55"/>
  <c r="AA10" i="55"/>
  <c r="AB10" i="55"/>
  <c r="AC10" i="55"/>
  <c r="C11" i="55"/>
  <c r="AA11" i="55"/>
  <c r="AB11" i="55"/>
  <c r="AC11" i="55"/>
  <c r="C12" i="55"/>
  <c r="AA12" i="55"/>
  <c r="AB12" i="55"/>
  <c r="AC12" i="55"/>
  <c r="C13" i="55"/>
  <c r="AA13" i="55"/>
  <c r="AB13" i="55"/>
  <c r="AC13" i="55"/>
  <c r="C14" i="55"/>
  <c r="AA14" i="55"/>
  <c r="AB14" i="55"/>
  <c r="AC14" i="55"/>
  <c r="D15" i="55"/>
  <c r="E15" i="55"/>
  <c r="F15" i="55"/>
  <c r="G15" i="55"/>
  <c r="H15" i="55"/>
  <c r="I15" i="55"/>
  <c r="J15" i="55"/>
  <c r="K15" i="55"/>
  <c r="L15" i="55"/>
  <c r="M15" i="55"/>
  <c r="N15" i="55"/>
  <c r="O15" i="55"/>
  <c r="P15" i="55"/>
  <c r="Q15" i="55"/>
  <c r="R15" i="55"/>
  <c r="S15" i="55"/>
  <c r="T15" i="55"/>
  <c r="U15" i="55"/>
  <c r="V15" i="55"/>
  <c r="W15" i="55"/>
  <c r="X15" i="55"/>
  <c r="Y15" i="55"/>
  <c r="Z15" i="55"/>
  <c r="AA15" i="55"/>
  <c r="AB15" i="55"/>
  <c r="AC15" i="55"/>
  <c r="D16" i="55"/>
  <c r="E16" i="55"/>
  <c r="F16" i="55"/>
  <c r="G16" i="55"/>
  <c r="H16" i="55"/>
  <c r="I16" i="55"/>
  <c r="J16" i="55"/>
  <c r="K16" i="55"/>
  <c r="L16" i="55"/>
  <c r="M16" i="55"/>
  <c r="N16" i="55"/>
  <c r="O16" i="55"/>
  <c r="P16" i="55"/>
  <c r="Q16" i="55"/>
  <c r="R16" i="55"/>
  <c r="S16" i="55"/>
  <c r="T16" i="55"/>
  <c r="U16" i="55"/>
  <c r="V16" i="55"/>
  <c r="W16" i="55"/>
  <c r="X16" i="55"/>
  <c r="Y16" i="55"/>
  <c r="Z16" i="55"/>
  <c r="AA16" i="55"/>
  <c r="AB16" i="55"/>
  <c r="AC16" i="55"/>
  <c r="C17" i="55"/>
  <c r="H17" i="55"/>
  <c r="M17" i="55"/>
  <c r="R17" i="55"/>
  <c r="W17" i="55"/>
  <c r="AB17" i="55"/>
  <c r="AC17" i="55"/>
  <c r="C18" i="55"/>
  <c r="H18" i="55"/>
  <c r="M18" i="55"/>
  <c r="R18" i="55"/>
  <c r="W18" i="55"/>
  <c r="AB18" i="55"/>
  <c r="AC18" i="55"/>
  <c r="C19" i="55"/>
  <c r="H19" i="55"/>
  <c r="M19" i="55"/>
  <c r="R19" i="55"/>
  <c r="W19" i="55"/>
  <c r="AB19" i="55"/>
  <c r="AC19" i="55"/>
  <c r="C20" i="55"/>
  <c r="H20" i="55"/>
  <c r="M20" i="55"/>
  <c r="R20" i="55"/>
  <c r="W20" i="55"/>
  <c r="AB20" i="55"/>
  <c r="AC20" i="55"/>
  <c r="C21" i="55"/>
  <c r="H21" i="55"/>
  <c r="M21" i="55"/>
  <c r="R21" i="55"/>
  <c r="W21" i="55"/>
  <c r="AB21" i="55"/>
  <c r="AC21" i="55"/>
  <c r="D22" i="55"/>
  <c r="E22" i="55"/>
  <c r="F22" i="55"/>
  <c r="G22" i="55"/>
  <c r="H22" i="55"/>
  <c r="I22" i="55"/>
  <c r="J22" i="55"/>
  <c r="K22" i="55"/>
  <c r="L22" i="55"/>
  <c r="M22" i="55"/>
  <c r="N22" i="55"/>
  <c r="O22" i="55"/>
  <c r="P22" i="55"/>
  <c r="Q22" i="55"/>
  <c r="R22" i="55"/>
  <c r="S22" i="55"/>
  <c r="T22" i="55"/>
  <c r="U22" i="55"/>
  <c r="V22" i="55"/>
  <c r="W22" i="55"/>
  <c r="X22" i="55"/>
  <c r="Y22" i="55"/>
  <c r="Z22" i="55"/>
  <c r="AA22" i="55"/>
  <c r="AB22" i="55"/>
  <c r="AC22" i="55"/>
  <c r="D23" i="55"/>
  <c r="E23" i="55"/>
  <c r="F23" i="55"/>
  <c r="G23" i="55"/>
  <c r="H23" i="55"/>
  <c r="I23" i="55"/>
  <c r="J23" i="55"/>
  <c r="K23" i="55"/>
  <c r="L23" i="55"/>
  <c r="M23" i="55"/>
  <c r="N23" i="55"/>
  <c r="O23" i="55"/>
  <c r="P23" i="55"/>
  <c r="Q23" i="55"/>
  <c r="R23" i="55"/>
  <c r="S23" i="55"/>
  <c r="T23" i="55"/>
  <c r="U23" i="55"/>
  <c r="V23" i="55"/>
  <c r="W23" i="55"/>
  <c r="X23" i="55"/>
  <c r="Y23" i="55"/>
  <c r="Z23" i="55"/>
  <c r="AA23" i="55"/>
  <c r="AB23" i="55"/>
  <c r="AC23" i="55"/>
  <c r="C24" i="55"/>
  <c r="H24" i="55"/>
  <c r="M24" i="55"/>
  <c r="R24" i="55"/>
  <c r="W24" i="55"/>
  <c r="AB24" i="55"/>
  <c r="AC24" i="55"/>
  <c r="C25" i="55"/>
  <c r="H25" i="55"/>
  <c r="M25" i="55"/>
  <c r="R25" i="55"/>
  <c r="W25" i="55"/>
  <c r="AB25" i="55"/>
  <c r="AC25" i="55"/>
  <c r="C26" i="55"/>
  <c r="H26" i="55"/>
  <c r="M26" i="55"/>
  <c r="R26" i="55"/>
  <c r="W26" i="55"/>
  <c r="AB26" i="55"/>
  <c r="AC26" i="55"/>
  <c r="C27" i="55"/>
  <c r="H27" i="55"/>
  <c r="M27" i="55"/>
  <c r="R27" i="55"/>
  <c r="W27" i="55"/>
  <c r="AB27" i="55"/>
  <c r="AC27" i="55"/>
  <c r="C28" i="55"/>
  <c r="H28" i="55"/>
  <c r="M28" i="55"/>
  <c r="R28" i="55"/>
  <c r="W28" i="55"/>
  <c r="AB28" i="55"/>
  <c r="AC28" i="55"/>
  <c r="D29" i="55"/>
  <c r="E29" i="55"/>
  <c r="F29" i="55"/>
  <c r="G29" i="55"/>
  <c r="H29" i="55"/>
  <c r="I29" i="55"/>
  <c r="J29" i="55"/>
  <c r="K29" i="55"/>
  <c r="L29" i="55"/>
  <c r="M29" i="55"/>
  <c r="N29" i="55"/>
  <c r="O29" i="55"/>
  <c r="P29" i="55"/>
  <c r="Q29" i="55"/>
  <c r="R29" i="55"/>
  <c r="S29" i="55"/>
  <c r="T29" i="55"/>
  <c r="U29" i="55"/>
  <c r="V29" i="55"/>
  <c r="W29" i="55"/>
  <c r="X29" i="55"/>
  <c r="Y29" i="55"/>
  <c r="Z29" i="55"/>
  <c r="AA29" i="55"/>
  <c r="AB29" i="55"/>
  <c r="AC29" i="55"/>
  <c r="D30" i="55"/>
  <c r="E30" i="55"/>
  <c r="F30" i="55"/>
  <c r="G30" i="55"/>
  <c r="H30" i="55"/>
  <c r="I30" i="55"/>
  <c r="J30" i="55"/>
  <c r="K30" i="55"/>
  <c r="L30" i="55"/>
  <c r="M30" i="55"/>
  <c r="N30" i="55"/>
  <c r="O30" i="55"/>
  <c r="P30" i="55"/>
  <c r="Q30" i="55"/>
  <c r="R30" i="55"/>
  <c r="S30" i="55"/>
  <c r="T30" i="55"/>
  <c r="U30" i="55"/>
  <c r="V30" i="55"/>
  <c r="W30" i="55"/>
  <c r="X30" i="55"/>
  <c r="Y30" i="55"/>
  <c r="Z30" i="55"/>
  <c r="AA30" i="55"/>
  <c r="AB30" i="55"/>
  <c r="AC30" i="55"/>
  <c r="C31" i="55"/>
  <c r="H31" i="55"/>
  <c r="M31" i="55"/>
  <c r="R31" i="55"/>
  <c r="W31" i="55"/>
  <c r="AB31" i="55"/>
  <c r="AC31" i="55"/>
  <c r="C32" i="55"/>
  <c r="H32" i="55"/>
  <c r="M32" i="55"/>
  <c r="R32" i="55"/>
  <c r="W32" i="55"/>
  <c r="AB32" i="55"/>
  <c r="AC32" i="55"/>
  <c r="C33" i="55"/>
  <c r="H33" i="55"/>
  <c r="M33" i="55"/>
  <c r="R33" i="55"/>
  <c r="W33" i="55"/>
  <c r="AB33" i="55"/>
  <c r="AC33" i="55"/>
  <c r="C34" i="55"/>
  <c r="H34" i="55"/>
  <c r="M34" i="55"/>
  <c r="R34" i="55"/>
  <c r="W34" i="55"/>
  <c r="AB34" i="55"/>
  <c r="AC34" i="55"/>
  <c r="C35" i="55"/>
  <c r="H35" i="55"/>
  <c r="M35" i="55"/>
  <c r="R35" i="55"/>
  <c r="W35" i="55"/>
  <c r="AB35" i="55"/>
  <c r="AC35" i="55"/>
  <c r="D36" i="55"/>
  <c r="E36" i="55"/>
  <c r="F36" i="55"/>
  <c r="G36" i="55"/>
  <c r="H36" i="55"/>
  <c r="I36" i="55"/>
  <c r="J36" i="55"/>
  <c r="K36" i="55"/>
  <c r="L36" i="55"/>
  <c r="M36" i="55"/>
  <c r="N36" i="55"/>
  <c r="O36" i="55"/>
  <c r="P36" i="55"/>
  <c r="Q36" i="55"/>
  <c r="R36" i="55"/>
  <c r="S36" i="55"/>
  <c r="T36" i="55"/>
  <c r="U36" i="55"/>
  <c r="V36" i="55"/>
  <c r="W36" i="55"/>
  <c r="X36" i="55"/>
  <c r="Y36" i="55"/>
  <c r="Z36" i="55"/>
  <c r="AA36" i="55"/>
  <c r="AB36" i="55"/>
  <c r="AC36" i="55"/>
  <c r="D37" i="55"/>
  <c r="E37" i="55"/>
  <c r="F37" i="55"/>
  <c r="G37" i="55"/>
  <c r="H37" i="55"/>
  <c r="I37" i="55"/>
  <c r="J37" i="55"/>
  <c r="K37" i="55"/>
  <c r="L37" i="55"/>
  <c r="M37" i="55"/>
  <c r="N37" i="55"/>
  <c r="O37" i="55"/>
  <c r="P37" i="55"/>
  <c r="Q37" i="55"/>
  <c r="R37" i="55"/>
  <c r="S37" i="55"/>
  <c r="T37" i="55"/>
  <c r="U37" i="55"/>
  <c r="V37" i="55"/>
  <c r="W37" i="55"/>
  <c r="X37" i="55"/>
  <c r="Y37" i="55"/>
  <c r="Z37" i="55"/>
  <c r="AA37" i="55"/>
  <c r="AB37" i="55"/>
  <c r="AC37" i="55"/>
  <c r="C38" i="55"/>
  <c r="H38" i="55"/>
  <c r="M38" i="55"/>
  <c r="R38" i="55"/>
  <c r="W38" i="55"/>
  <c r="AB38" i="55"/>
  <c r="AC38" i="55"/>
  <c r="C39" i="55"/>
  <c r="H39" i="55"/>
  <c r="M39" i="55"/>
  <c r="R39" i="55"/>
  <c r="W39" i="55"/>
  <c r="AB39" i="55"/>
  <c r="AC39" i="55"/>
  <c r="C40" i="55"/>
  <c r="H40" i="55"/>
  <c r="M40" i="55"/>
  <c r="R40" i="55"/>
  <c r="W40" i="55"/>
  <c r="AB40" i="55"/>
  <c r="AC40" i="55"/>
  <c r="C41" i="55"/>
  <c r="H41" i="55"/>
  <c r="M41" i="55"/>
  <c r="R41" i="55"/>
  <c r="W41" i="55"/>
  <c r="AB41" i="55"/>
  <c r="AC41" i="55"/>
  <c r="C42" i="55"/>
  <c r="H42" i="55"/>
  <c r="M42" i="55"/>
  <c r="R42" i="55"/>
  <c r="W42" i="55"/>
  <c r="AB42" i="55"/>
  <c r="AC42" i="55"/>
  <c r="H43" i="55"/>
  <c r="M43" i="55"/>
  <c r="R43" i="55"/>
  <c r="W43" i="55"/>
  <c r="AB43" i="55"/>
  <c r="AC43" i="55"/>
  <c r="H44" i="55"/>
  <c r="M44" i="55"/>
  <c r="R44" i="55"/>
  <c r="W44" i="55"/>
  <c r="AB44" i="55"/>
  <c r="AC44" i="55"/>
  <c r="C45" i="55"/>
  <c r="AC45" i="55"/>
  <c r="C46" i="55"/>
  <c r="AC46" i="55"/>
  <c r="C47" i="55"/>
  <c r="AC47" i="55"/>
  <c r="C48" i="55"/>
  <c r="AC48" i="55"/>
  <c r="C49" i="55"/>
  <c r="AC49" i="55"/>
  <c r="AA50" i="55"/>
  <c r="AC50" i="55"/>
  <c r="AA51" i="55"/>
  <c r="AC51" i="55"/>
  <c r="C52" i="55"/>
  <c r="AC52" i="55"/>
  <c r="C53" i="55"/>
  <c r="AC53" i="55"/>
  <c r="C54" i="55"/>
  <c r="AC54" i="55"/>
  <c r="C55" i="55"/>
  <c r="AC55" i="55"/>
  <c r="C56" i="55"/>
  <c r="AC56" i="55"/>
  <c r="AA57" i="55"/>
  <c r="AC57" i="55"/>
  <c r="AA58" i="55"/>
  <c r="AC58" i="55"/>
  <c r="C59" i="55"/>
  <c r="AC59" i="55"/>
  <c r="C60" i="55"/>
  <c r="AC60" i="55"/>
  <c r="C61" i="55"/>
  <c r="AC61" i="55"/>
  <c r="C62" i="55"/>
  <c r="AC62" i="55"/>
  <c r="C63" i="55"/>
  <c r="AC63" i="55"/>
  <c r="AA64" i="55"/>
  <c r="AC64" i="55"/>
  <c r="AA65" i="55"/>
  <c r="AC65" i="55"/>
  <c r="C66" i="55"/>
  <c r="AC66" i="55"/>
  <c r="C67" i="55"/>
  <c r="AC67" i="55"/>
  <c r="C68" i="55"/>
  <c r="AC68" i="55"/>
  <c r="C69" i="55"/>
  <c r="AC69" i="55"/>
  <c r="C70" i="55"/>
  <c r="AC70" i="55"/>
  <c r="D71" i="55"/>
  <c r="E71" i="55"/>
  <c r="F71" i="55"/>
  <c r="G71" i="55"/>
  <c r="I71" i="55"/>
  <c r="J71" i="55"/>
  <c r="K71" i="55"/>
  <c r="L71" i="55"/>
  <c r="N71" i="55"/>
  <c r="O71" i="55"/>
  <c r="P71" i="55"/>
  <c r="Q71" i="55"/>
  <c r="S71" i="55"/>
  <c r="T71" i="55"/>
  <c r="U71" i="55"/>
  <c r="V71" i="55"/>
  <c r="X71" i="55"/>
  <c r="Y71" i="55"/>
  <c r="Z71" i="55"/>
  <c r="AA71" i="55"/>
  <c r="AC71" i="55"/>
  <c r="D72" i="55"/>
  <c r="E72" i="55"/>
  <c r="F72" i="55"/>
  <c r="G72" i="55"/>
  <c r="H72" i="55"/>
  <c r="I72" i="55"/>
  <c r="J72" i="55"/>
  <c r="K72" i="55"/>
  <c r="L72" i="55"/>
  <c r="M72" i="55"/>
  <c r="N72" i="55"/>
  <c r="O72" i="55"/>
  <c r="P72" i="55"/>
  <c r="Q72" i="55"/>
  <c r="R72" i="55"/>
  <c r="S72" i="55"/>
  <c r="T72" i="55"/>
  <c r="U72" i="55"/>
  <c r="V72" i="55"/>
  <c r="W72" i="55"/>
  <c r="X72" i="55"/>
  <c r="Y72" i="55"/>
  <c r="Z72" i="55"/>
  <c r="AA72" i="55"/>
  <c r="AB72" i="55"/>
  <c r="AC72" i="55"/>
  <c r="C73" i="55"/>
  <c r="AC73" i="55"/>
  <c r="C74" i="55"/>
  <c r="AC74" i="55"/>
  <c r="C75" i="55"/>
  <c r="AC75" i="55"/>
  <c r="C76" i="55"/>
  <c r="AC76" i="55"/>
  <c r="C77" i="55"/>
  <c r="AC77" i="55"/>
  <c r="AA78" i="55"/>
  <c r="AC78" i="55"/>
  <c r="AA79" i="55"/>
  <c r="AC79" i="55"/>
  <c r="C80" i="55"/>
  <c r="H80" i="55"/>
  <c r="M80" i="55"/>
  <c r="R80" i="55"/>
  <c r="W80" i="55"/>
  <c r="AB80" i="55"/>
  <c r="AC80" i="55"/>
  <c r="C81" i="55"/>
  <c r="H81" i="55"/>
  <c r="M81" i="55"/>
  <c r="R81" i="55"/>
  <c r="W81" i="55"/>
  <c r="AB81" i="55"/>
  <c r="AC81" i="55"/>
  <c r="C82" i="55"/>
  <c r="H82" i="55"/>
  <c r="M82" i="55"/>
  <c r="R82" i="55"/>
  <c r="W82" i="55"/>
  <c r="AB82" i="55"/>
  <c r="AC82" i="55"/>
  <c r="C83" i="55"/>
  <c r="H83" i="55"/>
  <c r="M83" i="55"/>
  <c r="R83" i="55"/>
  <c r="W83" i="55"/>
  <c r="AB83" i="55"/>
  <c r="AC83" i="55"/>
  <c r="C84" i="55"/>
  <c r="H84" i="55"/>
  <c r="M84" i="55"/>
  <c r="R84" i="55"/>
  <c r="W84" i="55"/>
  <c r="AB84" i="55"/>
  <c r="AC84" i="55"/>
  <c r="D85" i="55"/>
  <c r="E85" i="55"/>
  <c r="F85" i="55"/>
  <c r="G85" i="55"/>
  <c r="H85" i="55"/>
  <c r="I85" i="55"/>
  <c r="J85" i="55"/>
  <c r="K85" i="55"/>
  <c r="L85" i="55"/>
  <c r="M85" i="55"/>
  <c r="N85" i="55"/>
  <c r="O85" i="55"/>
  <c r="P85" i="55"/>
  <c r="Q85" i="55"/>
  <c r="R85" i="55"/>
  <c r="S85" i="55"/>
  <c r="T85" i="55"/>
  <c r="U85" i="55"/>
  <c r="V85" i="55"/>
  <c r="W85" i="55"/>
  <c r="X85" i="55"/>
  <c r="Y85" i="55"/>
  <c r="Z85" i="55"/>
  <c r="AA85" i="55"/>
  <c r="AB85" i="55"/>
  <c r="AC85" i="55"/>
  <c r="D86" i="55"/>
  <c r="E86" i="55"/>
  <c r="F86" i="55"/>
  <c r="G86" i="55"/>
  <c r="H86" i="55"/>
  <c r="I86" i="55"/>
  <c r="J86" i="55"/>
  <c r="K86" i="55"/>
  <c r="L86" i="55"/>
  <c r="M86" i="55"/>
  <c r="N86" i="55"/>
  <c r="O86" i="55"/>
  <c r="P86" i="55"/>
  <c r="Q86" i="55"/>
  <c r="R86" i="55"/>
  <c r="S86" i="55"/>
  <c r="T86" i="55"/>
  <c r="U86" i="55"/>
  <c r="V86" i="55"/>
  <c r="W86" i="55"/>
  <c r="X86" i="55"/>
  <c r="Y86" i="55"/>
  <c r="Z86" i="55"/>
  <c r="AA86" i="55"/>
  <c r="AB86" i="55"/>
  <c r="AC86" i="55"/>
  <c r="D87" i="55"/>
  <c r="E87" i="55"/>
  <c r="F87" i="55"/>
  <c r="G87" i="55"/>
  <c r="H87" i="55"/>
  <c r="I87" i="55"/>
  <c r="J87" i="55"/>
  <c r="K87" i="55"/>
  <c r="L87" i="55"/>
  <c r="M87" i="55"/>
  <c r="N87" i="55"/>
  <c r="O87" i="55"/>
  <c r="P87" i="55"/>
  <c r="Q87" i="55"/>
  <c r="R87" i="55"/>
  <c r="S87" i="55"/>
  <c r="T87" i="55"/>
  <c r="U87" i="55"/>
  <c r="V87" i="55"/>
  <c r="W87" i="55"/>
  <c r="X87" i="55"/>
  <c r="Y87" i="55"/>
  <c r="Z87" i="55"/>
  <c r="AA87" i="55"/>
  <c r="AB87" i="55"/>
  <c r="AC87" i="55"/>
  <c r="D88" i="55"/>
  <c r="E88" i="55"/>
  <c r="F88" i="55"/>
  <c r="G88" i="55"/>
  <c r="H88" i="55"/>
  <c r="I88" i="55"/>
  <c r="J88" i="55"/>
  <c r="K88" i="55"/>
  <c r="L88" i="55"/>
  <c r="M88" i="55"/>
  <c r="N88" i="55"/>
  <c r="O88" i="55"/>
  <c r="P88" i="55"/>
  <c r="Q88" i="55"/>
  <c r="R88" i="55"/>
  <c r="S88" i="55"/>
  <c r="T88" i="55"/>
  <c r="U88" i="55"/>
  <c r="V88" i="55"/>
  <c r="W88" i="55"/>
  <c r="X88" i="55"/>
  <c r="Y88" i="55"/>
  <c r="Z88" i="55"/>
  <c r="AA88" i="55"/>
  <c r="AB88" i="55"/>
  <c r="AC88" i="55"/>
  <c r="C89" i="55"/>
  <c r="AC89" i="55"/>
  <c r="C90" i="55"/>
  <c r="AC90" i="55"/>
  <c r="AC91" i="55"/>
  <c r="AC92" i="55"/>
  <c r="AC93" i="55"/>
  <c r="AC209" i="55"/>
  <c r="AC210" i="55"/>
  <c r="AC211" i="55"/>
  <c r="AC212" i="55"/>
  <c r="AC213" i="55"/>
  <c r="AC214" i="55"/>
  <c r="AC215" i="55"/>
  <c r="AD93" i="55"/>
  <c r="C94" i="55"/>
  <c r="AC94" i="55"/>
  <c r="C95" i="55"/>
  <c r="AC95" i="55"/>
  <c r="AC96" i="55"/>
  <c r="AC97" i="55"/>
  <c r="AC98" i="55"/>
  <c r="C99" i="55"/>
  <c r="AB99" i="55"/>
  <c r="AC99" i="55"/>
  <c r="C100" i="55"/>
  <c r="AB100" i="55"/>
  <c r="AC100" i="55"/>
  <c r="C101" i="55"/>
  <c r="AB101" i="55"/>
  <c r="AC101" i="55"/>
  <c r="C102" i="55"/>
  <c r="AB102" i="55"/>
  <c r="AC102" i="55"/>
  <c r="C103" i="55"/>
  <c r="AB103" i="55"/>
  <c r="AC103" i="55"/>
  <c r="D104" i="55"/>
  <c r="E104" i="55"/>
  <c r="F104" i="55"/>
  <c r="G104" i="55"/>
  <c r="H104" i="55"/>
  <c r="I104" i="55"/>
  <c r="J104" i="55"/>
  <c r="K104" i="55"/>
  <c r="L104" i="55"/>
  <c r="M104" i="55"/>
  <c r="N104" i="55"/>
  <c r="O104" i="55"/>
  <c r="P104" i="55"/>
  <c r="Q104" i="55"/>
  <c r="R104" i="55"/>
  <c r="S104" i="55"/>
  <c r="T104" i="55"/>
  <c r="U104" i="55"/>
  <c r="V104" i="55"/>
  <c r="W104" i="55"/>
  <c r="X104" i="55"/>
  <c r="Y104" i="55"/>
  <c r="Z104" i="55"/>
  <c r="AA104" i="55"/>
  <c r="AB104" i="55"/>
  <c r="AC104" i="55"/>
  <c r="D105" i="55"/>
  <c r="E105" i="55"/>
  <c r="F105" i="55"/>
  <c r="G105" i="55"/>
  <c r="H105" i="55"/>
  <c r="I105" i="55"/>
  <c r="J105" i="55"/>
  <c r="K105" i="55"/>
  <c r="L105" i="55"/>
  <c r="M105" i="55"/>
  <c r="N105" i="55"/>
  <c r="O105" i="55"/>
  <c r="P105" i="55"/>
  <c r="Q105" i="55"/>
  <c r="R105" i="55"/>
  <c r="S105" i="55"/>
  <c r="T105" i="55"/>
  <c r="U105" i="55"/>
  <c r="V105" i="55"/>
  <c r="W105" i="55"/>
  <c r="X105" i="55"/>
  <c r="Y105" i="55"/>
  <c r="Z105" i="55"/>
  <c r="AA105" i="55"/>
  <c r="AB105" i="55"/>
  <c r="AC105" i="55"/>
  <c r="C106" i="55"/>
  <c r="AC106" i="55"/>
  <c r="C107" i="55"/>
  <c r="AC107" i="55"/>
  <c r="C108" i="55"/>
  <c r="AC108" i="55"/>
  <c r="C109" i="55"/>
  <c r="AC109" i="55"/>
  <c r="C110" i="55"/>
  <c r="AC110" i="55"/>
  <c r="AC111" i="55"/>
  <c r="AC112" i="55"/>
  <c r="C113" i="55"/>
  <c r="AC113" i="55"/>
  <c r="C114" i="55"/>
  <c r="AC114" i="55"/>
  <c r="C115" i="55"/>
  <c r="AC115" i="55"/>
  <c r="C116" i="55"/>
  <c r="AC116" i="55"/>
  <c r="C117" i="55"/>
  <c r="AC117" i="55"/>
  <c r="AC118" i="55"/>
  <c r="AC119" i="55"/>
  <c r="C120" i="55"/>
  <c r="AC120" i="55"/>
  <c r="C121" i="55"/>
  <c r="AC121" i="55"/>
  <c r="C122" i="55"/>
  <c r="AC122" i="55"/>
  <c r="C123" i="55"/>
  <c r="AC123" i="55"/>
  <c r="C124" i="55"/>
  <c r="AC124" i="55"/>
  <c r="AC125" i="55"/>
  <c r="AC126" i="55"/>
  <c r="C127" i="55"/>
  <c r="AC127" i="55"/>
  <c r="C128" i="55"/>
  <c r="AC128" i="55"/>
  <c r="C129" i="55"/>
  <c r="AC129" i="55"/>
  <c r="C130" i="55"/>
  <c r="AC130" i="55"/>
  <c r="C131" i="55"/>
  <c r="AC131" i="55"/>
  <c r="AC132" i="55"/>
  <c r="AC133" i="55"/>
  <c r="C134" i="55"/>
  <c r="AC134" i="55"/>
  <c r="C135" i="55"/>
  <c r="AC135" i="55"/>
  <c r="C136" i="55"/>
  <c r="AC136" i="55"/>
  <c r="C137" i="55"/>
  <c r="AC137" i="55"/>
  <c r="C138" i="55"/>
  <c r="AC138" i="55"/>
  <c r="D139" i="55"/>
  <c r="E139" i="55"/>
  <c r="F139" i="55"/>
  <c r="G139" i="55"/>
  <c r="I139" i="55"/>
  <c r="J139" i="55"/>
  <c r="K139" i="55"/>
  <c r="L139" i="55"/>
  <c r="N139" i="55"/>
  <c r="O139" i="55"/>
  <c r="P139" i="55"/>
  <c r="Q139" i="55"/>
  <c r="S139" i="55"/>
  <c r="T139" i="55"/>
  <c r="U139" i="55"/>
  <c r="V139" i="55"/>
  <c r="X139" i="55"/>
  <c r="Y139" i="55"/>
  <c r="Z139" i="55"/>
  <c r="AA139" i="55"/>
  <c r="AC139" i="55"/>
  <c r="D140" i="55"/>
  <c r="E140" i="55"/>
  <c r="F140" i="55"/>
  <c r="G140" i="55"/>
  <c r="I140" i="55"/>
  <c r="J140" i="55"/>
  <c r="K140" i="55"/>
  <c r="L140" i="55"/>
  <c r="N140" i="55"/>
  <c r="O140" i="55"/>
  <c r="P140" i="55"/>
  <c r="Q140" i="55"/>
  <c r="S140" i="55"/>
  <c r="T140" i="55"/>
  <c r="U140" i="55"/>
  <c r="V140" i="55"/>
  <c r="X140" i="55"/>
  <c r="Y140" i="55"/>
  <c r="Z140" i="55"/>
  <c r="AA140" i="55"/>
  <c r="AC140" i="55"/>
  <c r="C141" i="55"/>
  <c r="AC141" i="55"/>
  <c r="C142" i="55"/>
  <c r="AC142" i="55"/>
  <c r="C143" i="55"/>
  <c r="AC143" i="55"/>
  <c r="C144" i="55"/>
  <c r="AC144" i="55"/>
  <c r="C145" i="55"/>
  <c r="AC145" i="55"/>
  <c r="D146" i="55"/>
  <c r="E146" i="55"/>
  <c r="F146" i="55"/>
  <c r="G146" i="55"/>
  <c r="I146" i="55"/>
  <c r="J146" i="55"/>
  <c r="K146" i="55"/>
  <c r="L146" i="55"/>
  <c r="N146" i="55"/>
  <c r="O146" i="55"/>
  <c r="P146" i="55"/>
  <c r="Q146" i="55"/>
  <c r="S146" i="55"/>
  <c r="T146" i="55"/>
  <c r="U146" i="55"/>
  <c r="V146" i="55"/>
  <c r="X146" i="55"/>
  <c r="Y146" i="55"/>
  <c r="Z146" i="55"/>
  <c r="AA146" i="55"/>
  <c r="AC146" i="55"/>
  <c r="D147" i="55"/>
  <c r="E147" i="55"/>
  <c r="F147" i="55"/>
  <c r="G147" i="55"/>
  <c r="I147" i="55"/>
  <c r="J147" i="55"/>
  <c r="K147" i="55"/>
  <c r="L147" i="55"/>
  <c r="N147" i="55"/>
  <c r="O147" i="55"/>
  <c r="P147" i="55"/>
  <c r="Q147" i="55"/>
  <c r="S147" i="55"/>
  <c r="T147" i="55"/>
  <c r="U147" i="55"/>
  <c r="V147" i="55"/>
  <c r="X147" i="55"/>
  <c r="Y147" i="55"/>
  <c r="Z147" i="55"/>
  <c r="AA147" i="55"/>
  <c r="AC147" i="55"/>
  <c r="C148" i="55"/>
  <c r="AC148" i="55"/>
  <c r="C149" i="55"/>
  <c r="AC149" i="55"/>
  <c r="C150" i="55"/>
  <c r="AC150" i="55"/>
  <c r="C151" i="55"/>
  <c r="AC151" i="55"/>
  <c r="C152" i="55"/>
  <c r="AC152" i="55"/>
  <c r="AC153" i="55"/>
  <c r="AC154" i="55"/>
  <c r="C155" i="55"/>
  <c r="AC155" i="55"/>
  <c r="C156" i="55"/>
  <c r="AC156" i="55"/>
  <c r="AC157" i="55"/>
  <c r="AC158" i="55"/>
  <c r="H159" i="55"/>
  <c r="M159" i="55"/>
  <c r="R159" i="55"/>
  <c r="W159" i="55"/>
  <c r="AB159" i="55"/>
  <c r="AC159" i="55"/>
  <c r="C160" i="55"/>
  <c r="AC160" i="55"/>
  <c r="C161" i="55"/>
  <c r="AC161" i="55"/>
  <c r="C162" i="55"/>
  <c r="AC162" i="55"/>
  <c r="C163" i="55"/>
  <c r="AC163" i="55"/>
  <c r="C164" i="55"/>
  <c r="AC164" i="55"/>
  <c r="D165" i="55"/>
  <c r="E165" i="55"/>
  <c r="F165" i="55"/>
  <c r="G165" i="55"/>
  <c r="I165" i="55"/>
  <c r="J165" i="55"/>
  <c r="K165" i="55"/>
  <c r="L165" i="55"/>
  <c r="N165" i="55"/>
  <c r="O165" i="55"/>
  <c r="P165" i="55"/>
  <c r="Q165" i="55"/>
  <c r="S165" i="55"/>
  <c r="T165" i="55"/>
  <c r="U165" i="55"/>
  <c r="V165" i="55"/>
  <c r="X165" i="55"/>
  <c r="Y165" i="55"/>
  <c r="Z165" i="55"/>
  <c r="AA165" i="55"/>
  <c r="AC165" i="55"/>
  <c r="D166" i="55"/>
  <c r="E166" i="55"/>
  <c r="F166" i="55"/>
  <c r="G166" i="55"/>
  <c r="H166" i="55"/>
  <c r="I166" i="55"/>
  <c r="J166" i="55"/>
  <c r="K166" i="55"/>
  <c r="L166" i="55"/>
  <c r="M166" i="55"/>
  <c r="N166" i="55"/>
  <c r="O166" i="55"/>
  <c r="P166" i="55"/>
  <c r="Q166" i="55"/>
  <c r="R166" i="55"/>
  <c r="S166" i="55"/>
  <c r="T166" i="55"/>
  <c r="U166" i="55"/>
  <c r="V166" i="55"/>
  <c r="W166" i="55"/>
  <c r="X166" i="55"/>
  <c r="Y166" i="55"/>
  <c r="Z166" i="55"/>
  <c r="AA166" i="55"/>
  <c r="AB166" i="55"/>
  <c r="AC166" i="55"/>
  <c r="C167" i="55"/>
  <c r="AA167" i="55"/>
  <c r="AB167" i="55"/>
  <c r="AC167" i="55"/>
  <c r="C168" i="55"/>
  <c r="AA168" i="55"/>
  <c r="AB168" i="55"/>
  <c r="AC168" i="55"/>
  <c r="C169" i="55"/>
  <c r="AA169" i="55"/>
  <c r="AB169" i="55"/>
  <c r="AC169" i="55"/>
  <c r="C170" i="55"/>
  <c r="AA170" i="55"/>
  <c r="AB170" i="55"/>
  <c r="AC170" i="55"/>
  <c r="C171" i="55"/>
  <c r="AA171" i="55"/>
  <c r="AB171" i="55"/>
  <c r="AC171" i="55"/>
  <c r="D172" i="55"/>
  <c r="E172" i="55"/>
  <c r="F172" i="55"/>
  <c r="G172" i="55"/>
  <c r="H172" i="55"/>
  <c r="I172" i="55"/>
  <c r="J172" i="55"/>
  <c r="K172" i="55"/>
  <c r="L172" i="55"/>
  <c r="M172" i="55"/>
  <c r="N172" i="55"/>
  <c r="O172" i="55"/>
  <c r="P172" i="55"/>
  <c r="Q172" i="55"/>
  <c r="R172" i="55"/>
  <c r="S172" i="55"/>
  <c r="T172" i="55"/>
  <c r="U172" i="55"/>
  <c r="V172" i="55"/>
  <c r="W172" i="55"/>
  <c r="X172" i="55"/>
  <c r="Y172" i="55"/>
  <c r="Z172" i="55"/>
  <c r="AA172" i="55"/>
  <c r="AB172" i="55"/>
  <c r="AC172" i="55"/>
  <c r="D173" i="55"/>
  <c r="E173" i="55"/>
  <c r="F173" i="55"/>
  <c r="G173" i="55"/>
  <c r="H173" i="55"/>
  <c r="I173" i="55"/>
  <c r="J173" i="55"/>
  <c r="K173" i="55"/>
  <c r="L173" i="55"/>
  <c r="M173" i="55"/>
  <c r="N173" i="55"/>
  <c r="O173" i="55"/>
  <c r="P173" i="55"/>
  <c r="Q173" i="55"/>
  <c r="R173" i="55"/>
  <c r="S173" i="55"/>
  <c r="T173" i="55"/>
  <c r="U173" i="55"/>
  <c r="V173" i="55"/>
  <c r="W173" i="55"/>
  <c r="X173" i="55"/>
  <c r="Y173" i="55"/>
  <c r="Z173" i="55"/>
  <c r="AA173" i="55"/>
  <c r="AB173" i="55"/>
  <c r="AC173" i="55"/>
  <c r="C174" i="55"/>
  <c r="AC174" i="55"/>
  <c r="C175" i="55"/>
  <c r="AC175" i="55"/>
  <c r="C176" i="55"/>
  <c r="AC176" i="55"/>
  <c r="C177" i="55"/>
  <c r="AC177" i="55"/>
  <c r="C178" i="55"/>
  <c r="AC178" i="55"/>
  <c r="AA179" i="55"/>
  <c r="AC179" i="55"/>
  <c r="AA180" i="55"/>
  <c r="AC180" i="55"/>
  <c r="C181" i="55"/>
  <c r="AC181" i="55"/>
  <c r="C182" i="55"/>
  <c r="AC182" i="55"/>
  <c r="C183" i="55"/>
  <c r="AC183" i="55"/>
  <c r="C184" i="55"/>
  <c r="AC184" i="55"/>
  <c r="C185" i="55"/>
  <c r="AC185" i="55"/>
  <c r="AA186" i="55"/>
  <c r="AC186" i="55"/>
  <c r="AA187" i="55"/>
  <c r="AC187" i="55"/>
  <c r="C188" i="55"/>
  <c r="AC188" i="55"/>
  <c r="C189" i="55"/>
  <c r="AC189" i="55"/>
  <c r="C190" i="55"/>
  <c r="AC190" i="55"/>
  <c r="C191" i="55"/>
  <c r="AC191" i="55"/>
  <c r="C192" i="55"/>
  <c r="AC192" i="55"/>
  <c r="AA193" i="55"/>
  <c r="AC193" i="55"/>
  <c r="AA194" i="55"/>
  <c r="AC194" i="55"/>
  <c r="C195" i="55"/>
  <c r="AC195" i="55"/>
  <c r="C196" i="55"/>
  <c r="AC196" i="55"/>
  <c r="C197" i="55"/>
  <c r="AC197" i="55"/>
  <c r="C198" i="55"/>
  <c r="AC198" i="55"/>
  <c r="C199" i="55"/>
  <c r="AC199" i="55"/>
  <c r="D200" i="55"/>
  <c r="E200" i="55"/>
  <c r="F200" i="55"/>
  <c r="G200" i="55"/>
  <c r="I200" i="55"/>
  <c r="J200" i="55"/>
  <c r="K200" i="55"/>
  <c r="L200" i="55"/>
  <c r="N200" i="55"/>
  <c r="O200" i="55"/>
  <c r="P200" i="55"/>
  <c r="Q200" i="55"/>
  <c r="S200" i="55"/>
  <c r="T200" i="55"/>
  <c r="U200" i="55"/>
  <c r="V200" i="55"/>
  <c r="X200" i="55"/>
  <c r="Y200" i="55"/>
  <c r="Z200" i="55"/>
  <c r="AA200" i="55"/>
  <c r="AC200" i="55"/>
  <c r="D201" i="55"/>
  <c r="E201" i="55"/>
  <c r="F201" i="55"/>
  <c r="G201" i="55"/>
  <c r="H201" i="55"/>
  <c r="I201" i="55"/>
  <c r="J201" i="55"/>
  <c r="K201" i="55"/>
  <c r="L201" i="55"/>
  <c r="M201" i="55"/>
  <c r="N201" i="55"/>
  <c r="O201" i="55"/>
  <c r="P201" i="55"/>
  <c r="Q201" i="55"/>
  <c r="R201" i="55"/>
  <c r="S201" i="55"/>
  <c r="T201" i="55"/>
  <c r="U201" i="55"/>
  <c r="V201" i="55"/>
  <c r="W201" i="55"/>
  <c r="X201" i="55"/>
  <c r="Y201" i="55"/>
  <c r="Z201" i="55"/>
  <c r="AA201" i="55"/>
  <c r="AB201" i="55"/>
  <c r="AC201" i="55"/>
  <c r="C202" i="55"/>
  <c r="AC202" i="55"/>
  <c r="C203" i="55"/>
  <c r="AC203" i="55"/>
  <c r="C204" i="55"/>
  <c r="AC204" i="55"/>
  <c r="C205" i="55"/>
  <c r="AC205" i="55"/>
  <c r="C206" i="55"/>
  <c r="AC206" i="55"/>
  <c r="AA207" i="55"/>
  <c r="AC207" i="55"/>
  <c r="AA208" i="55"/>
  <c r="AC208" i="55"/>
  <c r="C209" i="55"/>
  <c r="C210" i="55"/>
  <c r="C211" i="55"/>
  <c r="C212" i="55"/>
  <c r="C213" i="55"/>
  <c r="H216" i="55"/>
  <c r="M216" i="55"/>
  <c r="R216" i="55"/>
  <c r="W216" i="55"/>
  <c r="AB216" i="55"/>
  <c r="AC216" i="55"/>
  <c r="AC217" i="55"/>
  <c r="C218" i="55"/>
  <c r="D218" i="55"/>
  <c r="E218" i="55"/>
  <c r="F218" i="55"/>
  <c r="G218" i="55"/>
  <c r="H218" i="55"/>
  <c r="I218" i="55"/>
  <c r="J218" i="55"/>
  <c r="K218" i="55"/>
  <c r="L218" i="55"/>
  <c r="M218" i="55"/>
  <c r="N218" i="55"/>
  <c r="O218" i="55"/>
  <c r="P218" i="55"/>
  <c r="Q218" i="55"/>
  <c r="R218" i="55"/>
  <c r="S218" i="55"/>
  <c r="T218" i="55"/>
  <c r="U218" i="55"/>
  <c r="V218" i="55"/>
  <c r="W218" i="55"/>
  <c r="X218" i="55"/>
  <c r="Y218" i="55"/>
  <c r="Z218" i="55"/>
  <c r="AA218" i="55"/>
  <c r="AB218" i="55"/>
  <c r="AC218" i="55"/>
  <c r="C219" i="55"/>
  <c r="D219" i="55"/>
  <c r="E219" i="55"/>
  <c r="F219" i="55"/>
  <c r="G219" i="55"/>
  <c r="H219" i="55"/>
  <c r="I219" i="55"/>
  <c r="J219" i="55"/>
  <c r="K219" i="55"/>
  <c r="L219" i="55"/>
  <c r="M219" i="55"/>
  <c r="N219" i="55"/>
  <c r="O219" i="55"/>
  <c r="P219" i="55"/>
  <c r="Q219" i="55"/>
  <c r="R219" i="55"/>
  <c r="S219" i="55"/>
  <c r="T219" i="55"/>
  <c r="U219" i="55"/>
  <c r="V219" i="55"/>
  <c r="W219" i="55"/>
  <c r="X219" i="55"/>
  <c r="Y219" i="55"/>
  <c r="Z219" i="55"/>
  <c r="AA219" i="55"/>
  <c r="AB219" i="55"/>
  <c r="AC219" i="55"/>
  <c r="C220" i="55"/>
  <c r="D220" i="55"/>
  <c r="E220" i="55"/>
  <c r="F220" i="55"/>
  <c r="G220" i="55"/>
  <c r="H220" i="55"/>
  <c r="I220" i="55"/>
  <c r="J220" i="55"/>
  <c r="K220" i="55"/>
  <c r="L220" i="55"/>
  <c r="M220" i="55"/>
  <c r="N220" i="55"/>
  <c r="O220" i="55"/>
  <c r="P220" i="55"/>
  <c r="Q220" i="55"/>
  <c r="R220" i="55"/>
  <c r="S220" i="55"/>
  <c r="T220" i="55"/>
  <c r="U220" i="55"/>
  <c r="V220" i="55"/>
  <c r="W220" i="55"/>
  <c r="X220" i="55"/>
  <c r="Y220" i="55"/>
  <c r="Z220" i="55"/>
  <c r="AA220" i="55"/>
  <c r="AB220" i="55"/>
  <c r="AC220" i="55"/>
  <c r="C221" i="55"/>
  <c r="D221" i="55"/>
  <c r="E221" i="55"/>
  <c r="F221" i="55"/>
  <c r="G221" i="55"/>
  <c r="H221" i="55"/>
  <c r="I221" i="55"/>
  <c r="J221" i="55"/>
  <c r="K221" i="55"/>
  <c r="L221" i="55"/>
  <c r="M221" i="55"/>
  <c r="N221" i="55"/>
  <c r="O221" i="55"/>
  <c r="P221" i="55"/>
  <c r="Q221" i="55"/>
  <c r="R221" i="55"/>
  <c r="S221" i="55"/>
  <c r="T221" i="55"/>
  <c r="U221" i="55"/>
  <c r="V221" i="55"/>
  <c r="W221" i="55"/>
  <c r="X221" i="55"/>
  <c r="Y221" i="55"/>
  <c r="Z221" i="55"/>
  <c r="AA221" i="55"/>
  <c r="AB221" i="55"/>
  <c r="AC221" i="55"/>
  <c r="C222" i="55"/>
  <c r="D222" i="55"/>
  <c r="E222" i="55"/>
  <c r="F222" i="55"/>
  <c r="G222" i="55"/>
  <c r="H222" i="55"/>
  <c r="I222" i="55"/>
  <c r="J222" i="55"/>
  <c r="K222" i="55"/>
  <c r="L222" i="55"/>
  <c r="M222" i="55"/>
  <c r="N222" i="55"/>
  <c r="O222" i="55"/>
  <c r="P222" i="55"/>
  <c r="Q222" i="55"/>
  <c r="R222" i="55"/>
  <c r="S222" i="55"/>
  <c r="T222" i="55"/>
  <c r="U222" i="55"/>
  <c r="V222" i="55"/>
  <c r="W222" i="55"/>
  <c r="X222" i="55"/>
  <c r="Y222" i="55"/>
  <c r="Z222" i="55"/>
  <c r="AA222" i="55"/>
  <c r="AB222" i="55"/>
  <c r="AC222" i="55"/>
  <c r="D223" i="55"/>
  <c r="E223" i="55"/>
  <c r="F223" i="55"/>
  <c r="G223" i="55"/>
  <c r="H223" i="55"/>
  <c r="I223" i="55"/>
  <c r="J223" i="55"/>
  <c r="K223" i="55"/>
  <c r="L223" i="55"/>
  <c r="M223" i="55"/>
  <c r="N223" i="55"/>
  <c r="O223" i="55"/>
  <c r="P223" i="55"/>
  <c r="Q223" i="55"/>
  <c r="R223" i="55"/>
  <c r="S223" i="55"/>
  <c r="T223" i="55"/>
  <c r="U223" i="55"/>
  <c r="V223" i="55"/>
  <c r="W223" i="55"/>
  <c r="X223" i="55"/>
  <c r="Y223" i="55"/>
  <c r="Z223" i="55"/>
  <c r="AA223" i="55"/>
  <c r="AB223" i="55"/>
  <c r="AC223" i="55"/>
  <c r="D224" i="55"/>
  <c r="E224" i="55"/>
  <c r="F224" i="55"/>
  <c r="G224" i="55"/>
  <c r="H224" i="55"/>
  <c r="I224" i="55"/>
  <c r="J224" i="55"/>
  <c r="K224" i="55"/>
  <c r="L224" i="55"/>
  <c r="M224" i="55"/>
  <c r="N224" i="55"/>
  <c r="O224" i="55"/>
  <c r="P224" i="55"/>
  <c r="Q224" i="55"/>
  <c r="R224" i="55"/>
  <c r="S224" i="55"/>
  <c r="T224" i="55"/>
  <c r="U224" i="55"/>
  <c r="V224" i="55"/>
  <c r="W224" i="55"/>
  <c r="X224" i="55"/>
  <c r="Y224" i="55"/>
  <c r="Z224" i="55"/>
  <c r="AA224" i="55"/>
  <c r="AB224" i="55"/>
  <c r="AC224" i="55"/>
  <c r="C225" i="55"/>
  <c r="AC225" i="55"/>
  <c r="C226" i="55"/>
  <c r="AC226" i="55"/>
  <c r="C227" i="55"/>
  <c r="AC227" i="55"/>
  <c r="C228" i="55"/>
  <c r="AC228" i="55"/>
  <c r="C229" i="55"/>
  <c r="AC229" i="55"/>
  <c r="AC230" i="55"/>
  <c r="AC231" i="55"/>
  <c r="C232" i="55"/>
  <c r="AC232" i="55"/>
  <c r="C233" i="55"/>
  <c r="AC233" i="55"/>
  <c r="C234" i="55"/>
  <c r="AC234" i="55"/>
  <c r="C235" i="55"/>
  <c r="AC235" i="55"/>
  <c r="C236" i="55"/>
  <c r="AC236" i="55"/>
  <c r="AC237" i="55"/>
  <c r="AC238" i="55"/>
  <c r="C239" i="55"/>
  <c r="AC239" i="55"/>
  <c r="C240" i="55"/>
  <c r="AC240" i="55"/>
  <c r="C241" i="55"/>
  <c r="AC241" i="55"/>
  <c r="C242" i="55"/>
  <c r="AC242" i="55"/>
  <c r="C243" i="55"/>
  <c r="AC243" i="55"/>
  <c r="AC244" i="55"/>
  <c r="AC245" i="55"/>
  <c r="C246" i="55"/>
  <c r="AC246" i="55"/>
  <c r="C247" i="55"/>
  <c r="AC247" i="55"/>
  <c r="C248" i="55"/>
  <c r="AC248" i="55"/>
  <c r="C249" i="55"/>
  <c r="AC249" i="55"/>
  <c r="C250" i="55"/>
  <c r="AC250" i="55"/>
  <c r="D251" i="55"/>
  <c r="E251" i="55"/>
  <c r="F251" i="55"/>
  <c r="G251" i="55"/>
  <c r="I251" i="55"/>
  <c r="J251" i="55"/>
  <c r="K251" i="55"/>
  <c r="L251" i="55"/>
  <c r="N251" i="55"/>
  <c r="O251" i="55"/>
  <c r="P251" i="55"/>
  <c r="Q251" i="55"/>
  <c r="S251" i="55"/>
  <c r="T251" i="55"/>
  <c r="U251" i="55"/>
  <c r="V251" i="55"/>
  <c r="X251" i="55"/>
  <c r="Y251" i="55"/>
  <c r="Z251" i="55"/>
  <c r="AA251" i="55"/>
  <c r="AC251" i="55"/>
  <c r="D252" i="55"/>
  <c r="E252" i="55"/>
  <c r="F252" i="55"/>
  <c r="G252" i="55"/>
  <c r="I252" i="55"/>
  <c r="J252" i="55"/>
  <c r="K252" i="55"/>
  <c r="L252" i="55"/>
  <c r="N252" i="55"/>
  <c r="O252" i="55"/>
  <c r="P252" i="55"/>
  <c r="Q252" i="55"/>
  <c r="S252" i="55"/>
  <c r="T252" i="55"/>
  <c r="U252" i="55"/>
  <c r="V252" i="55"/>
  <c r="X252" i="55"/>
  <c r="Y252" i="55"/>
  <c r="Z252" i="55"/>
  <c r="AA252" i="55"/>
  <c r="AC252" i="55"/>
  <c r="C253" i="55"/>
  <c r="AC253" i="55"/>
  <c r="C254" i="55"/>
  <c r="AC254" i="55"/>
  <c r="C255" i="55"/>
  <c r="AC255" i="55"/>
  <c r="C256" i="55"/>
  <c r="AC256" i="55"/>
  <c r="C257" i="55"/>
  <c r="AC257" i="55"/>
  <c r="AC258" i="55"/>
  <c r="AC259" i="55"/>
  <c r="C260" i="55"/>
  <c r="AC260" i="55"/>
  <c r="C261" i="55"/>
  <c r="AC261" i="55"/>
  <c r="AC262" i="55"/>
  <c r="AC263" i="55"/>
  <c r="H264" i="55"/>
  <c r="M264" i="55"/>
  <c r="R264" i="55"/>
  <c r="W264" i="55"/>
  <c r="AB264" i="55"/>
  <c r="AC264" i="55"/>
  <c r="C266" i="55"/>
  <c r="D266" i="55"/>
  <c r="E266" i="55"/>
  <c r="F266" i="55"/>
  <c r="G266" i="55"/>
  <c r="H266" i="55"/>
  <c r="I266" i="55"/>
  <c r="J266" i="55"/>
  <c r="K266" i="55"/>
  <c r="L266" i="55"/>
  <c r="M266" i="55"/>
  <c r="N266" i="55"/>
  <c r="O266" i="55"/>
  <c r="P266" i="55"/>
  <c r="Q266" i="55"/>
  <c r="R266" i="55"/>
  <c r="S266" i="55"/>
  <c r="T266" i="55"/>
  <c r="U266" i="55"/>
  <c r="V266" i="55"/>
  <c r="W266" i="55"/>
  <c r="X266" i="55"/>
  <c r="Y266" i="55"/>
  <c r="Z266" i="55"/>
  <c r="AA266" i="55"/>
  <c r="AB266" i="55"/>
  <c r="AC266" i="55"/>
  <c r="C267" i="55"/>
  <c r="D267" i="55"/>
  <c r="E267" i="55"/>
  <c r="F267" i="55"/>
  <c r="G267" i="55"/>
  <c r="H267" i="55"/>
  <c r="I267" i="55"/>
  <c r="J267" i="55"/>
  <c r="K267" i="55"/>
  <c r="L267" i="55"/>
  <c r="M267" i="55"/>
  <c r="N267" i="55"/>
  <c r="O267" i="55"/>
  <c r="P267" i="55"/>
  <c r="Q267" i="55"/>
  <c r="R267" i="55"/>
  <c r="S267" i="55"/>
  <c r="T267" i="55"/>
  <c r="U267" i="55"/>
  <c r="V267" i="55"/>
  <c r="W267" i="55"/>
  <c r="X267" i="55"/>
  <c r="Y267" i="55"/>
  <c r="Z267" i="55"/>
  <c r="AA267" i="55"/>
  <c r="AB267" i="55"/>
  <c r="AC267" i="55"/>
  <c r="D268" i="55"/>
  <c r="E268" i="55"/>
  <c r="F268" i="55"/>
  <c r="G268" i="55"/>
  <c r="H268" i="55"/>
  <c r="I268" i="55"/>
  <c r="J268" i="55"/>
  <c r="K268" i="55"/>
  <c r="L268" i="55"/>
  <c r="M268" i="55"/>
  <c r="N268" i="55"/>
  <c r="O268" i="55"/>
  <c r="P268" i="55"/>
  <c r="Q268" i="55"/>
  <c r="R268" i="55"/>
  <c r="S268" i="55"/>
  <c r="T268" i="55"/>
  <c r="U268" i="55"/>
  <c r="V268" i="55"/>
  <c r="W268" i="55"/>
  <c r="X268" i="55"/>
  <c r="Y268" i="55"/>
  <c r="Z268" i="55"/>
  <c r="AA268" i="55"/>
  <c r="AB268" i="55"/>
  <c r="AC268" i="55"/>
  <c r="D269" i="55"/>
  <c r="E269" i="55"/>
  <c r="F269" i="55"/>
  <c r="G269" i="55"/>
  <c r="H269" i="55"/>
  <c r="I269" i="55"/>
  <c r="J269" i="55"/>
  <c r="K269" i="55"/>
  <c r="L269" i="55"/>
  <c r="M269" i="55"/>
  <c r="N269" i="55"/>
  <c r="O269" i="55"/>
  <c r="P269" i="55"/>
  <c r="Q269" i="55"/>
  <c r="R269" i="55"/>
  <c r="S269" i="55"/>
  <c r="T269" i="55"/>
  <c r="U269" i="55"/>
  <c r="V269" i="55"/>
  <c r="W269" i="55"/>
  <c r="X269" i="55"/>
  <c r="Y269" i="55"/>
  <c r="Z269" i="55"/>
  <c r="AA269" i="55"/>
  <c r="AB269" i="55"/>
  <c r="AC269" i="55"/>
  <c r="D270" i="55"/>
  <c r="E270" i="55"/>
  <c r="F270" i="55"/>
  <c r="G270" i="55"/>
  <c r="H270" i="55"/>
  <c r="I270" i="55"/>
  <c r="J270" i="55"/>
  <c r="K270" i="55"/>
  <c r="L270" i="55"/>
  <c r="M270" i="55"/>
  <c r="N270" i="55"/>
  <c r="O270" i="55"/>
  <c r="P270" i="55"/>
  <c r="Q270" i="55"/>
  <c r="R270" i="55"/>
  <c r="S270" i="55"/>
  <c r="T270" i="55"/>
  <c r="U270" i="55"/>
  <c r="V270" i="55"/>
  <c r="W270" i="55"/>
  <c r="X270" i="55"/>
  <c r="Y270" i="55"/>
  <c r="Z270" i="55"/>
  <c r="AA270" i="55"/>
  <c r="AB270" i="55"/>
  <c r="AC270" i="55"/>
  <c r="AC272" i="55"/>
  <c r="AC273" i="55"/>
  <c r="D274" i="55"/>
  <c r="E274" i="55"/>
  <c r="F274" i="55"/>
  <c r="G274" i="55"/>
  <c r="H274" i="55"/>
  <c r="I274" i="55"/>
  <c r="J274" i="55"/>
  <c r="K274" i="55"/>
  <c r="L274" i="55"/>
  <c r="M274" i="55"/>
  <c r="N274" i="55"/>
  <c r="O274" i="55"/>
  <c r="P274" i="55"/>
  <c r="Q274" i="55"/>
  <c r="R274" i="55"/>
  <c r="S274" i="55"/>
  <c r="T274" i="55"/>
  <c r="U274" i="55"/>
  <c r="V274" i="55"/>
  <c r="W274" i="55"/>
  <c r="X274" i="55"/>
  <c r="Y274" i="55"/>
  <c r="Z274" i="55"/>
  <c r="AA274" i="55"/>
  <c r="AB274" i="55"/>
  <c r="AC274" i="55"/>
  <c r="H276" i="55"/>
  <c r="M276" i="55"/>
  <c r="R276" i="55"/>
  <c r="W276" i="55"/>
  <c r="AB276" i="55"/>
  <c r="AC276" i="55"/>
  <c r="H277" i="55"/>
  <c r="M277" i="55"/>
  <c r="R277" i="55"/>
  <c r="W277" i="55"/>
  <c r="AB277" i="55"/>
  <c r="AC277" i="55"/>
  <c r="H278" i="55"/>
  <c r="M278" i="55"/>
  <c r="R278" i="55"/>
  <c r="W278" i="55"/>
  <c r="AB278" i="55"/>
  <c r="AC278" i="55"/>
  <c r="H279" i="55"/>
  <c r="M279" i="55"/>
  <c r="R279" i="55"/>
  <c r="W279" i="55"/>
  <c r="AB279" i="55"/>
  <c r="AC279" i="55"/>
  <c r="H280" i="55"/>
  <c r="M280" i="55"/>
  <c r="R280" i="55"/>
  <c r="W280" i="55"/>
  <c r="AB280" i="55"/>
  <c r="AC280" i="55"/>
  <c r="AC282" i="55"/>
  <c r="AC283" i="55"/>
  <c r="AC284" i="55"/>
  <c r="D285" i="55"/>
  <c r="E285" i="55"/>
  <c r="F285" i="55"/>
  <c r="G285" i="55"/>
  <c r="I285" i="55"/>
  <c r="J285" i="55"/>
  <c r="K285" i="55"/>
  <c r="L285" i="55"/>
  <c r="N285" i="55"/>
  <c r="O285" i="55"/>
  <c r="P285" i="55"/>
  <c r="Q285" i="55"/>
  <c r="S285" i="55"/>
  <c r="T285" i="55"/>
  <c r="U285" i="55"/>
  <c r="V285" i="55"/>
  <c r="X285" i="55"/>
  <c r="Y285" i="55"/>
  <c r="Z285" i="55"/>
  <c r="AA285" i="55"/>
  <c r="AC285" i="55"/>
  <c r="D286" i="55"/>
  <c r="E286" i="55"/>
  <c r="F286" i="55"/>
  <c r="G286" i="55"/>
  <c r="H286" i="55"/>
  <c r="I286" i="55"/>
  <c r="J286" i="55"/>
  <c r="K286" i="55"/>
  <c r="L286" i="55"/>
  <c r="M286" i="55"/>
  <c r="N286" i="55"/>
  <c r="O286" i="55"/>
  <c r="P286" i="55"/>
  <c r="Q286" i="55"/>
  <c r="R286" i="55"/>
  <c r="S286" i="55"/>
  <c r="T286" i="55"/>
  <c r="U286" i="55"/>
  <c r="V286" i="55"/>
  <c r="W286" i="55"/>
  <c r="X286" i="55"/>
  <c r="Y286" i="55"/>
  <c r="Z286" i="55"/>
  <c r="AA286" i="55"/>
  <c r="AB286" i="55"/>
  <c r="AC286" i="55"/>
  <c r="G5" i="57"/>
  <c r="L5" i="57"/>
  <c r="Q5" i="57"/>
  <c r="V5" i="57"/>
  <c r="AA5" i="57"/>
  <c r="AB5" i="57"/>
  <c r="G6" i="57"/>
  <c r="L6" i="57"/>
  <c r="Q6" i="57"/>
  <c r="V6" i="57"/>
  <c r="AA6" i="57"/>
  <c r="AB6" i="57"/>
  <c r="G7" i="57"/>
  <c r="L7" i="57"/>
  <c r="Q7" i="57"/>
  <c r="V7" i="57"/>
  <c r="AA7" i="57"/>
  <c r="AB7" i="57"/>
  <c r="G8" i="57"/>
  <c r="L8" i="57"/>
  <c r="Q8" i="57"/>
  <c r="V8" i="57"/>
  <c r="AA8" i="57"/>
  <c r="AB8" i="57"/>
  <c r="G9" i="57"/>
  <c r="L9" i="57"/>
  <c r="Q9" i="57"/>
  <c r="V9" i="57"/>
  <c r="AA9" i="57"/>
  <c r="AB9" i="57"/>
  <c r="G10" i="57"/>
  <c r="L10" i="57"/>
  <c r="Q10" i="57"/>
  <c r="V10" i="57"/>
  <c r="AA10" i="57"/>
  <c r="AB10" i="57"/>
  <c r="G11" i="57"/>
  <c r="L11" i="57"/>
  <c r="Q11" i="57"/>
  <c r="V11" i="57"/>
  <c r="AA11" i="57"/>
  <c r="AB11" i="57"/>
  <c r="G12" i="57"/>
  <c r="L12" i="57"/>
  <c r="Q12" i="57"/>
  <c r="V12" i="57"/>
  <c r="AA12" i="57"/>
  <c r="AB12" i="57"/>
  <c r="G13" i="57"/>
  <c r="L13" i="57"/>
  <c r="Q13" i="57"/>
  <c r="V13" i="57"/>
  <c r="AA13" i="57"/>
  <c r="AB13" i="57"/>
  <c r="G14" i="57"/>
  <c r="L14" i="57"/>
  <c r="Q14" i="57"/>
  <c r="V14" i="57"/>
  <c r="AA14" i="57"/>
  <c r="AB14" i="57"/>
  <c r="G15" i="57"/>
  <c r="L15" i="57"/>
  <c r="Q15" i="57"/>
  <c r="V15" i="57"/>
  <c r="AA15" i="57"/>
  <c r="AB15" i="57"/>
  <c r="G16" i="57"/>
  <c r="L16" i="57"/>
  <c r="Q16" i="57"/>
  <c r="V16" i="57"/>
  <c r="AA16" i="57"/>
  <c r="AB16" i="57"/>
  <c r="G17" i="57"/>
  <c r="L17" i="57"/>
  <c r="Q17" i="57"/>
  <c r="V17" i="57"/>
  <c r="AA17" i="57"/>
  <c r="AB17" i="57"/>
  <c r="G18" i="57"/>
  <c r="L18" i="57"/>
  <c r="Q18" i="57"/>
  <c r="V18" i="57"/>
  <c r="AA18" i="57"/>
  <c r="AB18" i="57"/>
  <c r="G19" i="57"/>
  <c r="L19" i="57"/>
  <c r="Q19" i="57"/>
  <c r="V19" i="57"/>
  <c r="AA19" i="57"/>
  <c r="AB19" i="57"/>
  <c r="AA20" i="57"/>
  <c r="G28" i="57"/>
  <c r="L28" i="57"/>
  <c r="Q28" i="57"/>
  <c r="V28" i="57"/>
  <c r="AA28" i="57"/>
  <c r="AB28" i="57"/>
  <c r="G29" i="57"/>
  <c r="L29" i="57"/>
  <c r="Q29" i="57"/>
  <c r="V29" i="57"/>
  <c r="AA29" i="57"/>
  <c r="AB29" i="57"/>
  <c r="G30" i="57"/>
  <c r="L30" i="57"/>
  <c r="Q30" i="57"/>
  <c r="V30" i="57"/>
  <c r="AA30" i="57"/>
  <c r="AB30" i="57"/>
  <c r="G31" i="57"/>
  <c r="L31" i="57"/>
  <c r="Q31" i="57"/>
  <c r="V31" i="57"/>
  <c r="AA31" i="57"/>
  <c r="AB31" i="57"/>
  <c r="G32" i="57"/>
  <c r="L32" i="57"/>
  <c r="Q32" i="57"/>
  <c r="V32" i="57"/>
  <c r="AA32" i="57"/>
  <c r="AB32" i="57"/>
  <c r="G33" i="57"/>
  <c r="L33" i="57"/>
  <c r="Q33" i="57"/>
  <c r="V33" i="57"/>
  <c r="AA33" i="57"/>
  <c r="AB33" i="57"/>
  <c r="G34" i="57"/>
  <c r="L34" i="57"/>
  <c r="Q34" i="57"/>
  <c r="V34" i="57"/>
  <c r="AA34" i="57"/>
  <c r="AB34" i="57"/>
  <c r="G35" i="57"/>
  <c r="L35" i="57"/>
  <c r="Q35" i="57"/>
  <c r="V35" i="57"/>
  <c r="AA35" i="57"/>
  <c r="AB35" i="57"/>
  <c r="G36" i="57"/>
  <c r="L36" i="57"/>
  <c r="Q36" i="57"/>
  <c r="V36" i="57"/>
  <c r="AA36" i="57"/>
  <c r="AB36" i="57"/>
  <c r="G37" i="57"/>
  <c r="L37" i="57"/>
  <c r="Q37" i="57"/>
  <c r="V37" i="57"/>
  <c r="AA37" i="57"/>
  <c r="AB37" i="57"/>
  <c r="G38" i="57"/>
  <c r="L38" i="57"/>
  <c r="Q38" i="57"/>
  <c r="V38" i="57"/>
  <c r="AA38" i="57"/>
  <c r="AB38" i="57"/>
  <c r="G39" i="57"/>
  <c r="L39" i="57"/>
  <c r="Q39" i="57"/>
  <c r="V39" i="57"/>
  <c r="AA39" i="57"/>
  <c r="AB39" i="57"/>
  <c r="G40" i="57"/>
  <c r="L40" i="57"/>
  <c r="Q40" i="57"/>
  <c r="V40" i="57"/>
  <c r="AA40" i="57"/>
  <c r="AB40" i="57"/>
  <c r="G41" i="57"/>
  <c r="L41" i="57"/>
  <c r="Q41" i="57"/>
  <c r="V41" i="57"/>
  <c r="AA41" i="57"/>
  <c r="AB41" i="57"/>
  <c r="G42" i="57"/>
  <c r="L42" i="57"/>
  <c r="Q42" i="57"/>
  <c r="V42" i="57"/>
  <c r="AA42" i="57"/>
  <c r="AB42" i="57"/>
  <c r="AA43" i="57"/>
  <c r="G51" i="57"/>
  <c r="L51" i="57"/>
  <c r="Q51" i="57"/>
  <c r="V51" i="57"/>
  <c r="AA51" i="57"/>
  <c r="AB51" i="57"/>
  <c r="G52" i="57"/>
  <c r="L52" i="57"/>
  <c r="Q52" i="57"/>
  <c r="V52" i="57"/>
  <c r="AA52" i="57"/>
  <c r="AB52" i="57"/>
  <c r="G53" i="57"/>
  <c r="L53" i="57"/>
  <c r="Q53" i="57"/>
  <c r="V53" i="57"/>
  <c r="AA53" i="57"/>
  <c r="AB53" i="57"/>
  <c r="G54" i="57"/>
  <c r="L54" i="57"/>
  <c r="Q54" i="57"/>
  <c r="V54" i="57"/>
  <c r="AA54" i="57"/>
  <c r="AB54" i="57"/>
  <c r="G55" i="57"/>
  <c r="L55" i="57"/>
  <c r="Q55" i="57"/>
  <c r="V55" i="57"/>
  <c r="AA55" i="57"/>
  <c r="AB55" i="57"/>
  <c r="G56" i="57"/>
  <c r="L56" i="57"/>
  <c r="Q56" i="57"/>
  <c r="V56" i="57"/>
  <c r="AA56" i="57"/>
  <c r="AB56" i="57"/>
  <c r="G57" i="57"/>
  <c r="L57" i="57"/>
  <c r="Q57" i="57"/>
  <c r="V57" i="57"/>
  <c r="AA57" i="57"/>
  <c r="AB57" i="57"/>
  <c r="G58" i="57"/>
  <c r="L58" i="57"/>
  <c r="Q58" i="57"/>
  <c r="V58" i="57"/>
  <c r="AA58" i="57"/>
  <c r="AB58" i="57"/>
  <c r="G59" i="57"/>
  <c r="L59" i="57"/>
  <c r="Q59" i="57"/>
  <c r="V59" i="57"/>
  <c r="AA59" i="57"/>
  <c r="AB59" i="57"/>
  <c r="G60" i="57"/>
  <c r="L60" i="57"/>
  <c r="Q60" i="57"/>
  <c r="V60" i="57"/>
  <c r="AA60" i="57"/>
  <c r="AB60" i="57"/>
  <c r="G61" i="57"/>
  <c r="L61" i="57"/>
  <c r="Q61" i="57"/>
  <c r="V61" i="57"/>
  <c r="AA61" i="57"/>
  <c r="AB61" i="57"/>
  <c r="G62" i="57"/>
  <c r="L62" i="57"/>
  <c r="Q62" i="57"/>
  <c r="V62" i="57"/>
  <c r="AA62" i="57"/>
  <c r="AB62" i="57"/>
  <c r="G63" i="57"/>
  <c r="L63" i="57"/>
  <c r="Q63" i="57"/>
  <c r="V63" i="57"/>
  <c r="AA63" i="57"/>
  <c r="AB63" i="57"/>
  <c r="G64" i="57"/>
  <c r="L64" i="57"/>
  <c r="Q64" i="57"/>
  <c r="V64" i="57"/>
  <c r="AA64" i="57"/>
  <c r="AB64" i="57"/>
  <c r="G65" i="57"/>
  <c r="L65" i="57"/>
  <c r="Q65" i="57"/>
  <c r="V65" i="57"/>
  <c r="AA65" i="57"/>
  <c r="AB65" i="57"/>
  <c r="AA66" i="57"/>
  <c r="C95" i="57"/>
  <c r="D95" i="57"/>
  <c r="E95" i="57"/>
  <c r="F95" i="57"/>
  <c r="G95" i="57"/>
  <c r="H95" i="57"/>
  <c r="I95" i="57"/>
  <c r="J95" i="57"/>
  <c r="K95" i="57"/>
  <c r="L95" i="57"/>
  <c r="M95" i="57"/>
  <c r="N95" i="57"/>
  <c r="O95" i="57"/>
  <c r="P95" i="57"/>
  <c r="Q95" i="57"/>
  <c r="R95" i="57"/>
  <c r="S95" i="57"/>
  <c r="T95" i="57"/>
  <c r="U95" i="57"/>
  <c r="V95" i="57"/>
  <c r="W95" i="57"/>
  <c r="X95" i="57"/>
  <c r="Y95" i="57"/>
  <c r="Z95" i="57"/>
  <c r="AA95" i="57"/>
  <c r="AB95" i="57"/>
  <c r="C96" i="57"/>
  <c r="D96" i="57"/>
  <c r="E96" i="57"/>
  <c r="F96" i="57"/>
  <c r="G96" i="57"/>
  <c r="H96" i="57"/>
  <c r="I96" i="57"/>
  <c r="J96" i="57"/>
  <c r="K96" i="57"/>
  <c r="L96" i="57"/>
  <c r="M96" i="57"/>
  <c r="N96" i="57"/>
  <c r="O96" i="57"/>
  <c r="P96" i="57"/>
  <c r="Q96" i="57"/>
  <c r="R96" i="57"/>
  <c r="S96" i="57"/>
  <c r="T96" i="57"/>
  <c r="U96" i="57"/>
  <c r="V96" i="57"/>
  <c r="W96" i="57"/>
  <c r="X96" i="57"/>
  <c r="Y96" i="57"/>
  <c r="Z96" i="57"/>
  <c r="AA96" i="57"/>
  <c r="AB96" i="57"/>
  <c r="A97" i="57"/>
  <c r="C97" i="57"/>
  <c r="D97" i="57"/>
  <c r="E97" i="57"/>
  <c r="F97" i="57"/>
  <c r="G97" i="57"/>
  <c r="H97" i="57"/>
  <c r="I97" i="57"/>
  <c r="J97" i="57"/>
  <c r="K97" i="57"/>
  <c r="L97" i="57"/>
  <c r="M97" i="57"/>
  <c r="N97" i="57"/>
  <c r="O97" i="57"/>
  <c r="P97" i="57"/>
  <c r="Q97" i="57"/>
  <c r="R97" i="57"/>
  <c r="S97" i="57"/>
  <c r="T97" i="57"/>
  <c r="U97" i="57"/>
  <c r="V97" i="57"/>
  <c r="W97" i="57"/>
  <c r="X97" i="57"/>
  <c r="Y97" i="57"/>
  <c r="Z97" i="57"/>
  <c r="AA97" i="57"/>
  <c r="AB97" i="57"/>
  <c r="C98" i="57"/>
  <c r="D98" i="57"/>
  <c r="E98" i="57"/>
  <c r="F98" i="57"/>
  <c r="G98" i="57"/>
  <c r="H98" i="57"/>
  <c r="I98" i="57"/>
  <c r="J98" i="57"/>
  <c r="K98" i="57"/>
  <c r="L98" i="57"/>
  <c r="M98" i="57"/>
  <c r="N98" i="57"/>
  <c r="O98" i="57"/>
  <c r="P98" i="57"/>
  <c r="Q98" i="57"/>
  <c r="R98" i="57"/>
  <c r="S98" i="57"/>
  <c r="T98" i="57"/>
  <c r="U98" i="57"/>
  <c r="V98" i="57"/>
  <c r="W98" i="57"/>
  <c r="X98" i="57"/>
  <c r="Y98" i="57"/>
  <c r="Z98" i="57"/>
  <c r="AA98" i="57"/>
  <c r="AB98" i="57"/>
  <c r="C99" i="57"/>
  <c r="D99" i="57"/>
  <c r="E99" i="57"/>
  <c r="F99" i="57"/>
  <c r="G99" i="57"/>
  <c r="H99" i="57"/>
  <c r="I99" i="57"/>
  <c r="J99" i="57"/>
  <c r="K99" i="57"/>
  <c r="L99" i="57"/>
  <c r="M99" i="57"/>
  <c r="N99" i="57"/>
  <c r="O99" i="57"/>
  <c r="P99" i="57"/>
  <c r="Q99" i="57"/>
  <c r="R99" i="57"/>
  <c r="S99" i="57"/>
  <c r="T99" i="57"/>
  <c r="U99" i="57"/>
  <c r="V99" i="57"/>
  <c r="W99" i="57"/>
  <c r="X99" i="57"/>
  <c r="Y99" i="57"/>
  <c r="Z99" i="57"/>
  <c r="AA99" i="57"/>
  <c r="AB99" i="57"/>
  <c r="C100" i="57"/>
  <c r="D100" i="57"/>
  <c r="E100" i="57"/>
  <c r="F100" i="57"/>
  <c r="G100" i="57"/>
  <c r="H100" i="57"/>
  <c r="I100" i="57"/>
  <c r="J100" i="57"/>
  <c r="K100" i="57"/>
  <c r="L100" i="57"/>
  <c r="M100" i="57"/>
  <c r="N100" i="57"/>
  <c r="O100" i="57"/>
  <c r="P100" i="57"/>
  <c r="Q100" i="57"/>
  <c r="R100" i="57"/>
  <c r="S100" i="57"/>
  <c r="T100" i="57"/>
  <c r="U100" i="57"/>
  <c r="V100" i="57"/>
  <c r="W100" i="57"/>
  <c r="X100" i="57"/>
  <c r="Y100" i="57"/>
  <c r="Z100" i="57"/>
  <c r="AA100" i="57"/>
  <c r="AB100" i="57"/>
  <c r="C101" i="57"/>
  <c r="D101" i="57"/>
  <c r="E101" i="57"/>
  <c r="F101" i="57"/>
  <c r="G101" i="57"/>
  <c r="H101" i="57"/>
  <c r="I101" i="57"/>
  <c r="J101" i="57"/>
  <c r="K101" i="57"/>
  <c r="L101" i="57"/>
  <c r="M101" i="57"/>
  <c r="N101" i="57"/>
  <c r="O101" i="57"/>
  <c r="P101" i="57"/>
  <c r="Q101" i="57"/>
  <c r="R101" i="57"/>
  <c r="S101" i="57"/>
  <c r="T101" i="57"/>
  <c r="U101" i="57"/>
  <c r="V101" i="57"/>
  <c r="W101" i="57"/>
  <c r="X101" i="57"/>
  <c r="Y101" i="57"/>
  <c r="Z101" i="57"/>
  <c r="AA101" i="57"/>
  <c r="AB101" i="57"/>
  <c r="C102" i="57"/>
  <c r="D102" i="57"/>
  <c r="E102" i="57"/>
  <c r="F102" i="57"/>
  <c r="G102" i="57"/>
  <c r="H102" i="57"/>
  <c r="I102" i="57"/>
  <c r="J102" i="57"/>
  <c r="K102" i="57"/>
  <c r="L102" i="57"/>
  <c r="M102" i="57"/>
  <c r="N102" i="57"/>
  <c r="O102" i="57"/>
  <c r="P102" i="57"/>
  <c r="Q102" i="57"/>
  <c r="R102" i="57"/>
  <c r="S102" i="57"/>
  <c r="T102" i="57"/>
  <c r="U102" i="57"/>
  <c r="V102" i="57"/>
  <c r="W102" i="57"/>
  <c r="X102" i="57"/>
  <c r="Y102" i="57"/>
  <c r="Z102" i="57"/>
  <c r="AA102" i="57"/>
  <c r="AB102" i="57"/>
  <c r="C103" i="57"/>
  <c r="D103" i="57"/>
  <c r="E103" i="57"/>
  <c r="F103" i="57"/>
  <c r="G103" i="57"/>
  <c r="H103" i="57"/>
  <c r="I103" i="57"/>
  <c r="J103" i="57"/>
  <c r="K103" i="57"/>
  <c r="L103" i="57"/>
  <c r="M103" i="57"/>
  <c r="N103" i="57"/>
  <c r="O103" i="57"/>
  <c r="P103" i="57"/>
  <c r="Q103" i="57"/>
  <c r="R103" i="57"/>
  <c r="S103" i="57"/>
  <c r="T103" i="57"/>
  <c r="U103" i="57"/>
  <c r="V103" i="57"/>
  <c r="W103" i="57"/>
  <c r="X103" i="57"/>
  <c r="Y103" i="57"/>
  <c r="Z103" i="57"/>
  <c r="AA103" i="57"/>
  <c r="AB103" i="57"/>
  <c r="C104" i="57"/>
  <c r="D104" i="57"/>
  <c r="E104" i="57"/>
  <c r="F104" i="57"/>
  <c r="G104" i="57"/>
  <c r="H104" i="57"/>
  <c r="I104" i="57"/>
  <c r="J104" i="57"/>
  <c r="K104" i="57"/>
  <c r="L104" i="57"/>
  <c r="M104" i="57"/>
  <c r="N104" i="57"/>
  <c r="O104" i="57"/>
  <c r="P104" i="57"/>
  <c r="Q104" i="57"/>
  <c r="R104" i="57"/>
  <c r="S104" i="57"/>
  <c r="T104" i="57"/>
  <c r="U104" i="57"/>
  <c r="V104" i="57"/>
  <c r="W104" i="57"/>
  <c r="X104" i="57"/>
  <c r="Y104" i="57"/>
  <c r="Z104" i="57"/>
  <c r="AA104" i="57"/>
  <c r="AB104" i="57"/>
  <c r="C105" i="57"/>
  <c r="D105" i="57"/>
  <c r="E105" i="57"/>
  <c r="F105" i="57"/>
  <c r="G105" i="57"/>
  <c r="H105" i="57"/>
  <c r="I105" i="57"/>
  <c r="J105" i="57"/>
  <c r="K105" i="57"/>
  <c r="L105" i="57"/>
  <c r="M105" i="57"/>
  <c r="N105" i="57"/>
  <c r="O105" i="57"/>
  <c r="P105" i="57"/>
  <c r="Q105" i="57"/>
  <c r="R105" i="57"/>
  <c r="S105" i="57"/>
  <c r="T105" i="57"/>
  <c r="U105" i="57"/>
  <c r="V105" i="57"/>
  <c r="W105" i="57"/>
  <c r="X105" i="57"/>
  <c r="Y105" i="57"/>
  <c r="Z105" i="57"/>
  <c r="AA105" i="57"/>
  <c r="AB105" i="57"/>
  <c r="C106" i="57"/>
  <c r="D106" i="57"/>
  <c r="E106" i="57"/>
  <c r="F106" i="57"/>
  <c r="G106" i="57"/>
  <c r="H106" i="57"/>
  <c r="I106" i="57"/>
  <c r="J106" i="57"/>
  <c r="K106" i="57"/>
  <c r="L106" i="57"/>
  <c r="M106" i="57"/>
  <c r="N106" i="57"/>
  <c r="O106" i="57"/>
  <c r="P106" i="57"/>
  <c r="Q106" i="57"/>
  <c r="R106" i="57"/>
  <c r="S106" i="57"/>
  <c r="T106" i="57"/>
  <c r="U106" i="57"/>
  <c r="V106" i="57"/>
  <c r="W106" i="57"/>
  <c r="X106" i="57"/>
  <c r="Y106" i="57"/>
  <c r="Z106" i="57"/>
  <c r="AA106" i="57"/>
  <c r="AB106" i="57"/>
  <c r="C107" i="57"/>
  <c r="D107" i="57"/>
  <c r="E107" i="57"/>
  <c r="F107" i="57"/>
  <c r="G107" i="57"/>
  <c r="H107" i="57"/>
  <c r="I107" i="57"/>
  <c r="J107" i="57"/>
  <c r="K107" i="57"/>
  <c r="L107" i="57"/>
  <c r="M107" i="57"/>
  <c r="N107" i="57"/>
  <c r="O107" i="57"/>
  <c r="P107" i="57"/>
  <c r="Q107" i="57"/>
  <c r="R107" i="57"/>
  <c r="S107" i="57"/>
  <c r="T107" i="57"/>
  <c r="U107" i="57"/>
  <c r="V107" i="57"/>
  <c r="W107" i="57"/>
  <c r="X107" i="57"/>
  <c r="Y107" i="57"/>
  <c r="Z107" i="57"/>
  <c r="AA107" i="57"/>
  <c r="AB107" i="57"/>
  <c r="C108" i="57"/>
  <c r="D108" i="57"/>
  <c r="E108" i="57"/>
  <c r="F108" i="57"/>
  <c r="G108" i="57"/>
  <c r="H108" i="57"/>
  <c r="I108" i="57"/>
  <c r="J108" i="57"/>
  <c r="K108" i="57"/>
  <c r="L108" i="57"/>
  <c r="M108" i="57"/>
  <c r="N108" i="57"/>
  <c r="O108" i="57"/>
  <c r="P108" i="57"/>
  <c r="Q108" i="57"/>
  <c r="R108" i="57"/>
  <c r="S108" i="57"/>
  <c r="T108" i="57"/>
  <c r="U108" i="57"/>
  <c r="V108" i="57"/>
  <c r="W108" i="57"/>
  <c r="X108" i="57"/>
  <c r="Y108" i="57"/>
  <c r="Z108" i="57"/>
  <c r="AA108" i="57"/>
  <c r="AB108" i="57"/>
  <c r="C109" i="57"/>
  <c r="D109" i="57"/>
  <c r="E109" i="57"/>
  <c r="F109" i="57"/>
  <c r="G109" i="57"/>
  <c r="H109" i="57"/>
  <c r="I109" i="57"/>
  <c r="J109" i="57"/>
  <c r="K109" i="57"/>
  <c r="L109" i="57"/>
  <c r="M109" i="57"/>
  <c r="N109" i="57"/>
  <c r="O109" i="57"/>
  <c r="P109" i="57"/>
  <c r="Q109" i="57"/>
  <c r="R109" i="57"/>
  <c r="S109" i="57"/>
  <c r="T109" i="57"/>
  <c r="U109" i="57"/>
  <c r="V109" i="57"/>
  <c r="W109" i="57"/>
  <c r="X109" i="57"/>
  <c r="Y109" i="57"/>
  <c r="Z109" i="57"/>
  <c r="AA109" i="57"/>
  <c r="AB109" i="57"/>
  <c r="C110" i="57"/>
  <c r="D110" i="57"/>
  <c r="E110" i="57"/>
  <c r="F110" i="57"/>
  <c r="G110" i="57"/>
  <c r="H110" i="57"/>
  <c r="I110" i="57"/>
  <c r="J110" i="57"/>
  <c r="K110" i="57"/>
  <c r="L110" i="57"/>
  <c r="M110" i="57"/>
  <c r="N110" i="57"/>
  <c r="O110" i="57"/>
  <c r="P110" i="57"/>
  <c r="Q110" i="57"/>
  <c r="R110" i="57"/>
  <c r="S110" i="57"/>
  <c r="T110" i="57"/>
  <c r="U110" i="57"/>
  <c r="V110" i="57"/>
  <c r="W110" i="57"/>
  <c r="X110" i="57"/>
  <c r="Y110" i="57"/>
  <c r="Z110" i="57"/>
  <c r="AA110" i="57"/>
  <c r="AB110" i="57"/>
  <c r="C111" i="57"/>
  <c r="D111" i="57"/>
  <c r="E111" i="57"/>
  <c r="F111" i="57"/>
  <c r="G111" i="57"/>
  <c r="H111" i="57"/>
  <c r="I111" i="57"/>
  <c r="J111" i="57"/>
  <c r="K111" i="57"/>
  <c r="H112" i="57"/>
  <c r="I112" i="57"/>
  <c r="J112" i="57"/>
  <c r="K112" i="57"/>
  <c r="L111" i="57"/>
  <c r="M111" i="57"/>
  <c r="N111" i="57"/>
  <c r="O111" i="57"/>
  <c r="P111" i="57"/>
  <c r="M112" i="57"/>
  <c r="N112" i="57"/>
  <c r="O112" i="57"/>
  <c r="P112" i="57"/>
  <c r="Q111" i="57"/>
  <c r="R111" i="57"/>
  <c r="S111" i="57"/>
  <c r="T111" i="57"/>
  <c r="U111" i="57"/>
  <c r="R112" i="57"/>
  <c r="S112" i="57"/>
  <c r="T112" i="57"/>
  <c r="U112" i="57"/>
  <c r="V111" i="57"/>
  <c r="W111" i="57"/>
  <c r="X111" i="57"/>
  <c r="Y111" i="57"/>
  <c r="Z111" i="57"/>
  <c r="W112" i="57"/>
  <c r="X112" i="57"/>
  <c r="Y112" i="57"/>
  <c r="Z112" i="57"/>
  <c r="AA111" i="57"/>
  <c r="C112" i="57"/>
  <c r="D112" i="57"/>
  <c r="E112" i="57"/>
  <c r="F112" i="57"/>
  <c r="C113" i="57"/>
  <c r="H113" i="57"/>
  <c r="M113" i="57"/>
  <c r="R113" i="57"/>
  <c r="W113" i="57"/>
  <c r="C119" i="57"/>
  <c r="D119" i="57"/>
  <c r="E119" i="57"/>
  <c r="F119" i="57"/>
  <c r="G119" i="57"/>
  <c r="H119" i="57"/>
  <c r="I119" i="57"/>
  <c r="J119" i="57"/>
  <c r="K119" i="57"/>
  <c r="L119" i="57"/>
  <c r="M119" i="57"/>
  <c r="N119" i="57"/>
  <c r="O119" i="57"/>
  <c r="P119" i="57"/>
  <c r="Q119" i="57"/>
  <c r="R119" i="57"/>
  <c r="S119" i="57"/>
  <c r="T119" i="57"/>
  <c r="U119" i="57"/>
  <c r="V119" i="57"/>
  <c r="W119" i="57"/>
  <c r="X119" i="57"/>
  <c r="Y119" i="57"/>
  <c r="Z119" i="57"/>
  <c r="AA119" i="57"/>
  <c r="AB119" i="57"/>
  <c r="C120" i="57"/>
  <c r="D120" i="57"/>
  <c r="E120" i="57"/>
  <c r="F120" i="57"/>
  <c r="G120" i="57"/>
  <c r="H120" i="57"/>
  <c r="I120" i="57"/>
  <c r="J120" i="57"/>
  <c r="K120" i="57"/>
  <c r="L120" i="57"/>
  <c r="M120" i="57"/>
  <c r="N120" i="57"/>
  <c r="O120" i="57"/>
  <c r="P120" i="57"/>
  <c r="Q120" i="57"/>
  <c r="R120" i="57"/>
  <c r="S120" i="57"/>
  <c r="T120" i="57"/>
  <c r="U120" i="57"/>
  <c r="V120" i="57"/>
  <c r="W120" i="57"/>
  <c r="X120" i="57"/>
  <c r="Y120" i="57"/>
  <c r="Z120" i="57"/>
  <c r="AA120" i="57"/>
  <c r="AB120" i="57"/>
  <c r="A121" i="57"/>
  <c r="C121" i="57"/>
  <c r="D121" i="57"/>
  <c r="E121" i="57"/>
  <c r="F121" i="57"/>
  <c r="G121" i="57"/>
  <c r="H121" i="57"/>
  <c r="I121" i="57"/>
  <c r="J121" i="57"/>
  <c r="K121" i="57"/>
  <c r="L121" i="57"/>
  <c r="M121" i="57"/>
  <c r="N121" i="57"/>
  <c r="O121" i="57"/>
  <c r="P121" i="57"/>
  <c r="Q121" i="57"/>
  <c r="R121" i="57"/>
  <c r="S121" i="57"/>
  <c r="T121" i="57"/>
  <c r="U121" i="57"/>
  <c r="V121" i="57"/>
  <c r="W121" i="57"/>
  <c r="X121" i="57"/>
  <c r="Y121" i="57"/>
  <c r="Z121" i="57"/>
  <c r="AA121" i="57"/>
  <c r="AB121" i="57"/>
  <c r="C122" i="57"/>
  <c r="D122" i="57"/>
  <c r="E122" i="57"/>
  <c r="F122" i="57"/>
  <c r="G122" i="57"/>
  <c r="H122" i="57"/>
  <c r="I122" i="57"/>
  <c r="J122" i="57"/>
  <c r="K122" i="57"/>
  <c r="L122" i="57"/>
  <c r="M122" i="57"/>
  <c r="N122" i="57"/>
  <c r="O122" i="57"/>
  <c r="P122" i="57"/>
  <c r="Q122" i="57"/>
  <c r="R122" i="57"/>
  <c r="S122" i="57"/>
  <c r="T122" i="57"/>
  <c r="U122" i="57"/>
  <c r="V122" i="57"/>
  <c r="W122" i="57"/>
  <c r="X122" i="57"/>
  <c r="Y122" i="57"/>
  <c r="Z122" i="57"/>
  <c r="AA122" i="57"/>
  <c r="AB122" i="57"/>
  <c r="C123" i="57"/>
  <c r="D123" i="57"/>
  <c r="E123" i="57"/>
  <c r="F123" i="57"/>
  <c r="G123" i="57"/>
  <c r="H123" i="57"/>
  <c r="I123" i="57"/>
  <c r="J123" i="57"/>
  <c r="K123" i="57"/>
  <c r="L123" i="57"/>
  <c r="M123" i="57"/>
  <c r="N123" i="57"/>
  <c r="O123" i="57"/>
  <c r="P123" i="57"/>
  <c r="Q123" i="57"/>
  <c r="R123" i="57"/>
  <c r="S123" i="57"/>
  <c r="T123" i="57"/>
  <c r="U123" i="57"/>
  <c r="V123" i="57"/>
  <c r="W123" i="57"/>
  <c r="X123" i="57"/>
  <c r="Y123" i="57"/>
  <c r="Z123" i="57"/>
  <c r="AA123" i="57"/>
  <c r="AB123" i="57"/>
  <c r="C124" i="57"/>
  <c r="D124" i="57"/>
  <c r="E124" i="57"/>
  <c r="F124" i="57"/>
  <c r="G124" i="57"/>
  <c r="H124" i="57"/>
  <c r="I124" i="57"/>
  <c r="J124" i="57"/>
  <c r="K124" i="57"/>
  <c r="L124" i="57"/>
  <c r="M124" i="57"/>
  <c r="N124" i="57"/>
  <c r="O124" i="57"/>
  <c r="P124" i="57"/>
  <c r="Q124" i="57"/>
  <c r="R124" i="57"/>
  <c r="S124" i="57"/>
  <c r="T124" i="57"/>
  <c r="U124" i="57"/>
  <c r="V124" i="57"/>
  <c r="W124" i="57"/>
  <c r="X124" i="57"/>
  <c r="Y124" i="57"/>
  <c r="Z124" i="57"/>
  <c r="AA124" i="57"/>
  <c r="AB124" i="57"/>
  <c r="C125" i="57"/>
  <c r="D125" i="57"/>
  <c r="E125" i="57"/>
  <c r="F125" i="57"/>
  <c r="G125" i="57"/>
  <c r="H125" i="57"/>
  <c r="I125" i="57"/>
  <c r="J125" i="57"/>
  <c r="K125" i="57"/>
  <c r="L125" i="57"/>
  <c r="M125" i="57"/>
  <c r="N125" i="57"/>
  <c r="O125" i="57"/>
  <c r="P125" i="57"/>
  <c r="Q125" i="57"/>
  <c r="R125" i="57"/>
  <c r="S125" i="57"/>
  <c r="T125" i="57"/>
  <c r="U125" i="57"/>
  <c r="V125" i="57"/>
  <c r="W125" i="57"/>
  <c r="X125" i="57"/>
  <c r="Y125" i="57"/>
  <c r="Z125" i="57"/>
  <c r="AA125" i="57"/>
  <c r="AB125" i="57"/>
  <c r="C126" i="57"/>
  <c r="D126" i="57"/>
  <c r="E126" i="57"/>
  <c r="F126" i="57"/>
  <c r="G126" i="57"/>
  <c r="H126" i="57"/>
  <c r="I126" i="57"/>
  <c r="J126" i="57"/>
  <c r="K126" i="57"/>
  <c r="L126" i="57"/>
  <c r="M126" i="57"/>
  <c r="N126" i="57"/>
  <c r="O126" i="57"/>
  <c r="P126" i="57"/>
  <c r="Q126" i="57"/>
  <c r="R126" i="57"/>
  <c r="S126" i="57"/>
  <c r="T126" i="57"/>
  <c r="U126" i="57"/>
  <c r="V126" i="57"/>
  <c r="W126" i="57"/>
  <c r="X126" i="57"/>
  <c r="Y126" i="57"/>
  <c r="Z126" i="57"/>
  <c r="AA126" i="57"/>
  <c r="AB126" i="57"/>
  <c r="C127" i="57"/>
  <c r="D127" i="57"/>
  <c r="E127" i="57"/>
  <c r="F127" i="57"/>
  <c r="G127" i="57"/>
  <c r="H127" i="57"/>
  <c r="I127" i="57"/>
  <c r="J127" i="57"/>
  <c r="K127" i="57"/>
  <c r="L127" i="57"/>
  <c r="M127" i="57"/>
  <c r="N127" i="57"/>
  <c r="O127" i="57"/>
  <c r="P127" i="57"/>
  <c r="Q127" i="57"/>
  <c r="R127" i="57"/>
  <c r="S127" i="57"/>
  <c r="T127" i="57"/>
  <c r="U127" i="57"/>
  <c r="V127" i="57"/>
  <c r="W127" i="57"/>
  <c r="X127" i="57"/>
  <c r="Y127" i="57"/>
  <c r="Z127" i="57"/>
  <c r="AA127" i="57"/>
  <c r="AB127" i="57"/>
  <c r="C128" i="57"/>
  <c r="D128" i="57"/>
  <c r="E128" i="57"/>
  <c r="F128" i="57"/>
  <c r="G128" i="57"/>
  <c r="H128" i="57"/>
  <c r="I128" i="57"/>
  <c r="J128" i="57"/>
  <c r="K128" i="57"/>
  <c r="L128" i="57"/>
  <c r="M128" i="57"/>
  <c r="N128" i="57"/>
  <c r="O128" i="57"/>
  <c r="P128" i="57"/>
  <c r="Q128" i="57"/>
  <c r="R128" i="57"/>
  <c r="S128" i="57"/>
  <c r="T128" i="57"/>
  <c r="U128" i="57"/>
  <c r="V128" i="57"/>
  <c r="W128" i="57"/>
  <c r="X128" i="57"/>
  <c r="Y128" i="57"/>
  <c r="Z128" i="57"/>
  <c r="AA128" i="57"/>
  <c r="AB128" i="57"/>
  <c r="C129" i="57"/>
  <c r="D129" i="57"/>
  <c r="E129" i="57"/>
  <c r="F129" i="57"/>
  <c r="G129" i="57"/>
  <c r="H129" i="57"/>
  <c r="I129" i="57"/>
  <c r="J129" i="57"/>
  <c r="K129" i="57"/>
  <c r="L129" i="57"/>
  <c r="M129" i="57"/>
  <c r="N129" i="57"/>
  <c r="O129" i="57"/>
  <c r="P129" i="57"/>
  <c r="Q129" i="57"/>
  <c r="R129" i="57"/>
  <c r="S129" i="57"/>
  <c r="T129" i="57"/>
  <c r="U129" i="57"/>
  <c r="V129" i="57"/>
  <c r="W129" i="57"/>
  <c r="X129" i="57"/>
  <c r="Y129" i="57"/>
  <c r="Z129" i="57"/>
  <c r="AA129" i="57"/>
  <c r="AB129" i="57"/>
  <c r="C130" i="57"/>
  <c r="D130" i="57"/>
  <c r="E130" i="57"/>
  <c r="F130" i="57"/>
  <c r="G130" i="57"/>
  <c r="H130" i="57"/>
  <c r="I130" i="57"/>
  <c r="J130" i="57"/>
  <c r="K130" i="57"/>
  <c r="L130" i="57"/>
  <c r="M130" i="57"/>
  <c r="N130" i="57"/>
  <c r="O130" i="57"/>
  <c r="P130" i="57"/>
  <c r="Q130" i="57"/>
  <c r="R130" i="57"/>
  <c r="S130" i="57"/>
  <c r="T130" i="57"/>
  <c r="U130" i="57"/>
  <c r="V130" i="57"/>
  <c r="W130" i="57"/>
  <c r="X130" i="57"/>
  <c r="Y130" i="57"/>
  <c r="Z130" i="57"/>
  <c r="AA130" i="57"/>
  <c r="AB130" i="57"/>
  <c r="C131" i="57"/>
  <c r="D131" i="57"/>
  <c r="E131" i="57"/>
  <c r="F131" i="57"/>
  <c r="G131" i="57"/>
  <c r="H131" i="57"/>
  <c r="I131" i="57"/>
  <c r="J131" i="57"/>
  <c r="K131" i="57"/>
  <c r="L131" i="57"/>
  <c r="M131" i="57"/>
  <c r="N131" i="57"/>
  <c r="O131" i="57"/>
  <c r="P131" i="57"/>
  <c r="Q131" i="57"/>
  <c r="R131" i="57"/>
  <c r="S131" i="57"/>
  <c r="T131" i="57"/>
  <c r="U131" i="57"/>
  <c r="V131" i="57"/>
  <c r="W131" i="57"/>
  <c r="X131" i="57"/>
  <c r="Y131" i="57"/>
  <c r="Z131" i="57"/>
  <c r="AA131" i="57"/>
  <c r="AB131" i="57"/>
  <c r="C132" i="57"/>
  <c r="D132" i="57"/>
  <c r="E132" i="57"/>
  <c r="F132" i="57"/>
  <c r="G132" i="57"/>
  <c r="H132" i="57"/>
  <c r="I132" i="57"/>
  <c r="J132" i="57"/>
  <c r="K132" i="57"/>
  <c r="L132" i="57"/>
  <c r="M132" i="57"/>
  <c r="N132" i="57"/>
  <c r="O132" i="57"/>
  <c r="P132" i="57"/>
  <c r="Q132" i="57"/>
  <c r="R132" i="57"/>
  <c r="S132" i="57"/>
  <c r="T132" i="57"/>
  <c r="U132" i="57"/>
  <c r="V132" i="57"/>
  <c r="W132" i="57"/>
  <c r="X132" i="57"/>
  <c r="Y132" i="57"/>
  <c r="Z132" i="57"/>
  <c r="AA132" i="57"/>
  <c r="AB132" i="57"/>
  <c r="C133" i="57"/>
  <c r="D133" i="57"/>
  <c r="E133" i="57"/>
  <c r="F133" i="57"/>
  <c r="G133" i="57"/>
  <c r="H133" i="57"/>
  <c r="I133" i="57"/>
  <c r="J133" i="57"/>
  <c r="K133" i="57"/>
  <c r="L133" i="57"/>
  <c r="M133" i="57"/>
  <c r="N133" i="57"/>
  <c r="O133" i="57"/>
  <c r="P133" i="57"/>
  <c r="Q133" i="57"/>
  <c r="R133" i="57"/>
  <c r="S133" i="57"/>
  <c r="T133" i="57"/>
  <c r="U133" i="57"/>
  <c r="V133" i="57"/>
  <c r="W133" i="57"/>
  <c r="X133" i="57"/>
  <c r="Y133" i="57"/>
  <c r="Z133" i="57"/>
  <c r="AA133" i="57"/>
  <c r="AB133" i="57"/>
  <c r="C134" i="57"/>
  <c r="D134" i="57"/>
  <c r="E134" i="57"/>
  <c r="F134" i="57"/>
  <c r="G134" i="57"/>
  <c r="H134" i="57"/>
  <c r="I134" i="57"/>
  <c r="J134" i="57"/>
  <c r="K134" i="57"/>
  <c r="L134" i="57"/>
  <c r="M134" i="57"/>
  <c r="N134" i="57"/>
  <c r="O134" i="57"/>
  <c r="P134" i="57"/>
  <c r="Q134" i="57"/>
  <c r="R134" i="57"/>
  <c r="S134" i="57"/>
  <c r="T134" i="57"/>
  <c r="U134" i="57"/>
  <c r="V134" i="57"/>
  <c r="W134" i="57"/>
  <c r="X134" i="57"/>
  <c r="Y134" i="57"/>
  <c r="Z134" i="57"/>
  <c r="AA134" i="57"/>
  <c r="AB134" i="57"/>
  <c r="C135" i="57"/>
  <c r="D135" i="57"/>
  <c r="E135" i="57"/>
  <c r="F135" i="57"/>
  <c r="G135" i="57"/>
  <c r="H135" i="57"/>
  <c r="I135" i="57"/>
  <c r="J135" i="57"/>
  <c r="K135" i="57"/>
  <c r="H136" i="57"/>
  <c r="I136" i="57"/>
  <c r="J136" i="57"/>
  <c r="K136" i="57"/>
  <c r="L135" i="57"/>
  <c r="M135" i="57"/>
  <c r="N135" i="57"/>
  <c r="O135" i="57"/>
  <c r="P135" i="57"/>
  <c r="M136" i="57"/>
  <c r="N136" i="57"/>
  <c r="O136" i="57"/>
  <c r="P136" i="57"/>
  <c r="Q135" i="57"/>
  <c r="R135" i="57"/>
  <c r="S135" i="57"/>
  <c r="T135" i="57"/>
  <c r="U135" i="57"/>
  <c r="R136" i="57"/>
  <c r="S136" i="57"/>
  <c r="T136" i="57"/>
  <c r="U136" i="57"/>
  <c r="V135" i="57"/>
  <c r="W135" i="57"/>
  <c r="X135" i="57"/>
  <c r="Y135" i="57"/>
  <c r="Z135" i="57"/>
  <c r="W136" i="57"/>
  <c r="X136" i="57"/>
  <c r="Y136" i="57"/>
  <c r="Z136" i="57"/>
  <c r="AA135" i="57"/>
  <c r="C136" i="57"/>
  <c r="D136" i="57"/>
  <c r="E136" i="57"/>
  <c r="F136" i="57"/>
  <c r="C137" i="57"/>
  <c r="H137" i="57"/>
  <c r="M137" i="57"/>
  <c r="R137" i="57"/>
  <c r="W137" i="57"/>
  <c r="C142" i="57"/>
  <c r="D142" i="57"/>
  <c r="E142" i="57"/>
  <c r="F142" i="57"/>
  <c r="G142" i="57"/>
  <c r="H142" i="57"/>
  <c r="I142" i="57"/>
  <c r="J142" i="57"/>
  <c r="K142" i="57"/>
  <c r="L142" i="57"/>
  <c r="M142" i="57"/>
  <c r="N142" i="57"/>
  <c r="O142" i="57"/>
  <c r="P142" i="57"/>
  <c r="Q142" i="57"/>
  <c r="R142" i="57"/>
  <c r="S142" i="57"/>
  <c r="T142" i="57"/>
  <c r="U142" i="57"/>
  <c r="V142" i="57"/>
  <c r="W142" i="57"/>
  <c r="X142" i="57"/>
  <c r="Y142" i="57"/>
  <c r="Z142" i="57"/>
  <c r="AA142" i="57"/>
  <c r="AB142" i="57"/>
  <c r="C143" i="57"/>
  <c r="D143" i="57"/>
  <c r="E143" i="57"/>
  <c r="F143" i="57"/>
  <c r="G143" i="57"/>
  <c r="H143" i="57"/>
  <c r="I143" i="57"/>
  <c r="J143" i="57"/>
  <c r="K143" i="57"/>
  <c r="L143" i="57"/>
  <c r="M143" i="57"/>
  <c r="N143" i="57"/>
  <c r="O143" i="57"/>
  <c r="P143" i="57"/>
  <c r="Q143" i="57"/>
  <c r="R143" i="57"/>
  <c r="S143" i="57"/>
  <c r="T143" i="57"/>
  <c r="U143" i="57"/>
  <c r="V143" i="57"/>
  <c r="W143" i="57"/>
  <c r="X143" i="57"/>
  <c r="Y143" i="57"/>
  <c r="Z143" i="57"/>
  <c r="AA143" i="57"/>
  <c r="AB143" i="57"/>
  <c r="A144" i="57"/>
  <c r="C144" i="57"/>
  <c r="D144" i="57"/>
  <c r="E144" i="57"/>
  <c r="F144" i="57"/>
  <c r="G144" i="57"/>
  <c r="H144" i="57"/>
  <c r="I144" i="57"/>
  <c r="J144" i="57"/>
  <c r="K144" i="57"/>
  <c r="L144" i="57"/>
  <c r="M144" i="57"/>
  <c r="N144" i="57"/>
  <c r="O144" i="57"/>
  <c r="P144" i="57"/>
  <c r="Q144" i="57"/>
  <c r="R144" i="57"/>
  <c r="S144" i="57"/>
  <c r="T144" i="57"/>
  <c r="U144" i="57"/>
  <c r="V144" i="57"/>
  <c r="W144" i="57"/>
  <c r="X144" i="57"/>
  <c r="Y144" i="57"/>
  <c r="Z144" i="57"/>
  <c r="AA144" i="57"/>
  <c r="AB144" i="57"/>
  <c r="C145" i="57"/>
  <c r="D145" i="57"/>
  <c r="E145" i="57"/>
  <c r="F145" i="57"/>
  <c r="G145" i="57"/>
  <c r="H145" i="57"/>
  <c r="I145" i="57"/>
  <c r="J145" i="57"/>
  <c r="K145" i="57"/>
  <c r="L145" i="57"/>
  <c r="M145" i="57"/>
  <c r="N145" i="57"/>
  <c r="O145" i="57"/>
  <c r="P145" i="57"/>
  <c r="Q145" i="57"/>
  <c r="R145" i="57"/>
  <c r="S145" i="57"/>
  <c r="T145" i="57"/>
  <c r="U145" i="57"/>
  <c r="V145" i="57"/>
  <c r="W145" i="57"/>
  <c r="X145" i="57"/>
  <c r="Y145" i="57"/>
  <c r="Z145" i="57"/>
  <c r="AA145" i="57"/>
  <c r="AB145" i="57"/>
  <c r="C146" i="57"/>
  <c r="D146" i="57"/>
  <c r="E146" i="57"/>
  <c r="F146" i="57"/>
  <c r="G146" i="57"/>
  <c r="H146" i="57"/>
  <c r="I146" i="57"/>
  <c r="J146" i="57"/>
  <c r="K146" i="57"/>
  <c r="L146" i="57"/>
  <c r="M146" i="57"/>
  <c r="N146" i="57"/>
  <c r="O146" i="57"/>
  <c r="P146" i="57"/>
  <c r="Q146" i="57"/>
  <c r="R146" i="57"/>
  <c r="S146" i="57"/>
  <c r="T146" i="57"/>
  <c r="U146" i="57"/>
  <c r="V146" i="57"/>
  <c r="W146" i="57"/>
  <c r="X146" i="57"/>
  <c r="Y146" i="57"/>
  <c r="Z146" i="57"/>
  <c r="AA146" i="57"/>
  <c r="AB146" i="57"/>
  <c r="C147" i="57"/>
  <c r="D147" i="57"/>
  <c r="E147" i="57"/>
  <c r="F147" i="57"/>
  <c r="G147" i="57"/>
  <c r="H147" i="57"/>
  <c r="I147" i="57"/>
  <c r="J147" i="57"/>
  <c r="K147" i="57"/>
  <c r="L147" i="57"/>
  <c r="M147" i="57"/>
  <c r="N147" i="57"/>
  <c r="O147" i="57"/>
  <c r="P147" i="57"/>
  <c r="Q147" i="57"/>
  <c r="R147" i="57"/>
  <c r="S147" i="57"/>
  <c r="T147" i="57"/>
  <c r="U147" i="57"/>
  <c r="V147" i="57"/>
  <c r="W147" i="57"/>
  <c r="X147" i="57"/>
  <c r="Y147" i="57"/>
  <c r="Z147" i="57"/>
  <c r="AA147" i="57"/>
  <c r="AB147" i="57"/>
  <c r="C148" i="57"/>
  <c r="D148" i="57"/>
  <c r="E148" i="57"/>
  <c r="F148" i="57"/>
  <c r="G148" i="57"/>
  <c r="H148" i="57"/>
  <c r="I148" i="57"/>
  <c r="J148" i="57"/>
  <c r="K148" i="57"/>
  <c r="L148" i="57"/>
  <c r="M148" i="57"/>
  <c r="N148" i="57"/>
  <c r="O148" i="57"/>
  <c r="P148" i="57"/>
  <c r="Q148" i="57"/>
  <c r="R148" i="57"/>
  <c r="S148" i="57"/>
  <c r="T148" i="57"/>
  <c r="U148" i="57"/>
  <c r="V148" i="57"/>
  <c r="W148" i="57"/>
  <c r="X148" i="57"/>
  <c r="Y148" i="57"/>
  <c r="Z148" i="57"/>
  <c r="AA148" i="57"/>
  <c r="AB148" i="57"/>
  <c r="C149" i="57"/>
  <c r="D149" i="57"/>
  <c r="E149" i="57"/>
  <c r="F149" i="57"/>
  <c r="G149" i="57"/>
  <c r="H149" i="57"/>
  <c r="I149" i="57"/>
  <c r="J149" i="57"/>
  <c r="K149" i="57"/>
  <c r="L149" i="57"/>
  <c r="M149" i="57"/>
  <c r="N149" i="57"/>
  <c r="O149" i="57"/>
  <c r="P149" i="57"/>
  <c r="Q149" i="57"/>
  <c r="R149" i="57"/>
  <c r="S149" i="57"/>
  <c r="T149" i="57"/>
  <c r="U149" i="57"/>
  <c r="V149" i="57"/>
  <c r="W149" i="57"/>
  <c r="X149" i="57"/>
  <c r="Y149" i="57"/>
  <c r="Z149" i="57"/>
  <c r="AA149" i="57"/>
  <c r="AB149" i="57"/>
  <c r="C150" i="57"/>
  <c r="D150" i="57"/>
  <c r="E150" i="57"/>
  <c r="F150" i="57"/>
  <c r="G150" i="57"/>
  <c r="H150" i="57"/>
  <c r="I150" i="57"/>
  <c r="J150" i="57"/>
  <c r="K150" i="57"/>
  <c r="L150" i="57"/>
  <c r="M150" i="57"/>
  <c r="N150" i="57"/>
  <c r="O150" i="57"/>
  <c r="P150" i="57"/>
  <c r="Q150" i="57"/>
  <c r="R150" i="57"/>
  <c r="S150" i="57"/>
  <c r="T150" i="57"/>
  <c r="U150" i="57"/>
  <c r="V150" i="57"/>
  <c r="W150" i="57"/>
  <c r="X150" i="57"/>
  <c r="Y150" i="57"/>
  <c r="Z150" i="57"/>
  <c r="AA150" i="57"/>
  <c r="AB150" i="57"/>
  <c r="C151" i="57"/>
  <c r="D151" i="57"/>
  <c r="E151" i="57"/>
  <c r="F151" i="57"/>
  <c r="G151" i="57"/>
  <c r="H151" i="57"/>
  <c r="I151" i="57"/>
  <c r="J151" i="57"/>
  <c r="K151" i="57"/>
  <c r="L151" i="57"/>
  <c r="M151" i="57"/>
  <c r="N151" i="57"/>
  <c r="O151" i="57"/>
  <c r="P151" i="57"/>
  <c r="Q151" i="57"/>
  <c r="R151" i="57"/>
  <c r="S151" i="57"/>
  <c r="T151" i="57"/>
  <c r="U151" i="57"/>
  <c r="V151" i="57"/>
  <c r="W151" i="57"/>
  <c r="X151" i="57"/>
  <c r="Y151" i="57"/>
  <c r="Z151" i="57"/>
  <c r="AA151" i="57"/>
  <c r="AB151" i="57"/>
  <c r="C152" i="57"/>
  <c r="D152" i="57"/>
  <c r="E152" i="57"/>
  <c r="F152" i="57"/>
  <c r="G152" i="57"/>
  <c r="H152" i="57"/>
  <c r="I152" i="57"/>
  <c r="J152" i="57"/>
  <c r="K152" i="57"/>
  <c r="L152" i="57"/>
  <c r="M152" i="57"/>
  <c r="N152" i="57"/>
  <c r="O152" i="57"/>
  <c r="P152" i="57"/>
  <c r="Q152" i="57"/>
  <c r="R152" i="57"/>
  <c r="S152" i="57"/>
  <c r="T152" i="57"/>
  <c r="U152" i="57"/>
  <c r="V152" i="57"/>
  <c r="W152" i="57"/>
  <c r="X152" i="57"/>
  <c r="Y152" i="57"/>
  <c r="Z152" i="57"/>
  <c r="AA152" i="57"/>
  <c r="AB152" i="57"/>
  <c r="C153" i="57"/>
  <c r="D153" i="57"/>
  <c r="E153" i="57"/>
  <c r="F153" i="57"/>
  <c r="G153" i="57"/>
  <c r="H153" i="57"/>
  <c r="I153" i="57"/>
  <c r="J153" i="57"/>
  <c r="K153" i="57"/>
  <c r="L153" i="57"/>
  <c r="M153" i="57"/>
  <c r="N153" i="57"/>
  <c r="O153" i="57"/>
  <c r="P153" i="57"/>
  <c r="Q153" i="57"/>
  <c r="R153" i="57"/>
  <c r="S153" i="57"/>
  <c r="T153" i="57"/>
  <c r="U153" i="57"/>
  <c r="V153" i="57"/>
  <c r="W153" i="57"/>
  <c r="X153" i="57"/>
  <c r="Y153" i="57"/>
  <c r="Z153" i="57"/>
  <c r="AA153" i="57"/>
  <c r="AB153" i="57"/>
  <c r="C154" i="57"/>
  <c r="D154" i="57"/>
  <c r="E154" i="57"/>
  <c r="F154" i="57"/>
  <c r="G154" i="57"/>
  <c r="H154" i="57"/>
  <c r="I154" i="57"/>
  <c r="J154" i="57"/>
  <c r="K154" i="57"/>
  <c r="L154" i="57"/>
  <c r="M154" i="57"/>
  <c r="N154" i="57"/>
  <c r="O154" i="57"/>
  <c r="P154" i="57"/>
  <c r="Q154" i="57"/>
  <c r="R154" i="57"/>
  <c r="S154" i="57"/>
  <c r="T154" i="57"/>
  <c r="U154" i="57"/>
  <c r="V154" i="57"/>
  <c r="W154" i="57"/>
  <c r="X154" i="57"/>
  <c r="Y154" i="57"/>
  <c r="Z154" i="57"/>
  <c r="AA154" i="57"/>
  <c r="AB154" i="57"/>
  <c r="C155" i="57"/>
  <c r="D155" i="57"/>
  <c r="E155" i="57"/>
  <c r="F155" i="57"/>
  <c r="G155" i="57"/>
  <c r="H155" i="57"/>
  <c r="I155" i="57"/>
  <c r="J155" i="57"/>
  <c r="K155" i="57"/>
  <c r="L155" i="57"/>
  <c r="M155" i="57"/>
  <c r="N155" i="57"/>
  <c r="O155" i="57"/>
  <c r="P155" i="57"/>
  <c r="Q155" i="57"/>
  <c r="R155" i="57"/>
  <c r="S155" i="57"/>
  <c r="T155" i="57"/>
  <c r="U155" i="57"/>
  <c r="V155" i="57"/>
  <c r="W155" i="57"/>
  <c r="X155" i="57"/>
  <c r="Y155" i="57"/>
  <c r="Z155" i="57"/>
  <c r="AA155" i="57"/>
  <c r="AB155" i="57"/>
  <c r="C156" i="57"/>
  <c r="D156" i="57"/>
  <c r="E156" i="57"/>
  <c r="F156" i="57"/>
  <c r="G156" i="57"/>
  <c r="H156" i="57"/>
  <c r="I156" i="57"/>
  <c r="J156" i="57"/>
  <c r="K156" i="57"/>
  <c r="L156" i="57"/>
  <c r="M156" i="57"/>
  <c r="N156" i="57"/>
  <c r="O156" i="57"/>
  <c r="P156" i="57"/>
  <c r="Q156" i="57"/>
  <c r="R156" i="57"/>
  <c r="S156" i="57"/>
  <c r="T156" i="57"/>
  <c r="U156" i="57"/>
  <c r="V156" i="57"/>
  <c r="W156" i="57"/>
  <c r="X156" i="57"/>
  <c r="Y156" i="57"/>
  <c r="Z156" i="57"/>
  <c r="AA156" i="57"/>
  <c r="AB156" i="57"/>
  <c r="C157" i="57"/>
  <c r="D157" i="57"/>
  <c r="E157" i="57"/>
  <c r="F157" i="57"/>
  <c r="G157" i="57"/>
  <c r="H157" i="57"/>
  <c r="I157" i="57"/>
  <c r="J157" i="57"/>
  <c r="K157" i="57"/>
  <c r="L157" i="57"/>
  <c r="M157" i="57"/>
  <c r="N157" i="57"/>
  <c r="O157" i="57"/>
  <c r="P157" i="57"/>
  <c r="Q157" i="57"/>
  <c r="R157" i="57"/>
  <c r="S157" i="57"/>
  <c r="T157" i="57"/>
  <c r="U157" i="57"/>
  <c r="V157" i="57"/>
  <c r="W157" i="57"/>
  <c r="X157" i="57"/>
  <c r="Y157" i="57"/>
  <c r="Z157" i="57"/>
  <c r="AA157" i="57"/>
  <c r="AB157" i="57"/>
  <c r="C158" i="57"/>
  <c r="D158" i="57"/>
  <c r="E158" i="57"/>
  <c r="F158" i="57"/>
  <c r="G158" i="57"/>
  <c r="H158" i="57"/>
  <c r="I158" i="57"/>
  <c r="J158" i="57"/>
  <c r="K158" i="57"/>
  <c r="H159" i="57"/>
  <c r="I159" i="57"/>
  <c r="J159" i="57"/>
  <c r="K159" i="57"/>
  <c r="L158" i="57"/>
  <c r="M158" i="57"/>
  <c r="N158" i="57"/>
  <c r="O158" i="57"/>
  <c r="P158" i="57"/>
  <c r="M159" i="57"/>
  <c r="N159" i="57"/>
  <c r="O159" i="57"/>
  <c r="P159" i="57"/>
  <c r="Q158" i="57"/>
  <c r="R158" i="57"/>
  <c r="S158" i="57"/>
  <c r="T158" i="57"/>
  <c r="U158" i="57"/>
  <c r="R159" i="57"/>
  <c r="S159" i="57"/>
  <c r="T159" i="57"/>
  <c r="U159" i="57"/>
  <c r="V158" i="57"/>
  <c r="W158" i="57"/>
  <c r="X158" i="57"/>
  <c r="Y158" i="57"/>
  <c r="Z158" i="57"/>
  <c r="W159" i="57"/>
  <c r="X159" i="57"/>
  <c r="Y159" i="57"/>
  <c r="Z159" i="57"/>
  <c r="AA158" i="57"/>
  <c r="C159" i="57"/>
  <c r="D159" i="57"/>
  <c r="E159" i="57"/>
  <c r="F159" i="57"/>
  <c r="C160" i="57"/>
  <c r="H160" i="57"/>
  <c r="M160" i="57"/>
  <c r="R160" i="57"/>
  <c r="W160" i="57"/>
  <c r="M3" i="21"/>
  <c r="N3" i="21"/>
  <c r="O3" i="21"/>
  <c r="P3" i="21"/>
  <c r="Q3" i="21"/>
  <c r="R3" i="21"/>
  <c r="S3" i="21"/>
  <c r="T3" i="21"/>
  <c r="U3" i="21"/>
  <c r="V3" i="21"/>
  <c r="W3" i="21"/>
  <c r="X3" i="21"/>
  <c r="Y3" i="21"/>
  <c r="Z3" i="21"/>
  <c r="AA3" i="21"/>
  <c r="AB3" i="21"/>
  <c r="AC3" i="21"/>
  <c r="AD3" i="21"/>
  <c r="AE3" i="21"/>
  <c r="AF3" i="21"/>
  <c r="AG3" i="21"/>
  <c r="AH3" i="21"/>
  <c r="AI3" i="21"/>
  <c r="AJ3" i="21"/>
  <c r="AK3" i="21"/>
  <c r="AL3" i="21"/>
  <c r="AM3" i="21"/>
  <c r="AN3" i="21"/>
  <c r="AO3" i="21"/>
  <c r="AP3" i="21"/>
  <c r="AQ3" i="21"/>
  <c r="AR3" i="21"/>
  <c r="AS3" i="21"/>
  <c r="AT3" i="21"/>
  <c r="AU3" i="21"/>
  <c r="AV3" i="21"/>
  <c r="AW3" i="21"/>
  <c r="AX3" i="21"/>
  <c r="AY3" i="21"/>
  <c r="AZ3" i="21"/>
  <c r="BA3" i="21"/>
  <c r="BB3" i="21"/>
  <c r="BC3" i="21"/>
  <c r="I5" i="21"/>
  <c r="P5" i="21"/>
  <c r="Q5" i="21"/>
  <c r="R5" i="21"/>
  <c r="S5" i="21"/>
  <c r="E7" i="21"/>
  <c r="F7" i="21"/>
  <c r="G7" i="21"/>
  <c r="H7" i="21"/>
  <c r="I6" i="21"/>
  <c r="I8" i="21"/>
  <c r="D9" i="21"/>
  <c r="M8" i="21"/>
  <c r="N8" i="21"/>
  <c r="O8" i="21"/>
  <c r="P8" i="21"/>
  <c r="L9" i="21"/>
  <c r="M9" i="21"/>
  <c r="N9" i="21"/>
  <c r="O9" i="21"/>
  <c r="P9" i="21"/>
  <c r="O33" i="21"/>
  <c r="P32" i="21"/>
  <c r="P34" i="21"/>
  <c r="D38" i="21"/>
  <c r="M37" i="21"/>
  <c r="L33" i="21"/>
  <c r="P33" i="21"/>
  <c r="Q32" i="21"/>
  <c r="Q34" i="21"/>
  <c r="N37" i="21"/>
  <c r="Q33" i="21"/>
  <c r="R32" i="21"/>
  <c r="R34" i="21"/>
  <c r="O37" i="21"/>
  <c r="R33" i="21"/>
  <c r="S32" i="21"/>
  <c r="S34" i="21"/>
  <c r="P37" i="21"/>
  <c r="L38" i="21"/>
  <c r="E9" i="21"/>
  <c r="Q9" i="21"/>
  <c r="M33" i="21"/>
  <c r="M38" i="21"/>
  <c r="F9" i="21"/>
  <c r="R9" i="21"/>
  <c r="N33" i="21"/>
  <c r="N38" i="21"/>
  <c r="G9" i="21"/>
  <c r="S9" i="21"/>
  <c r="O38" i="21"/>
  <c r="H9" i="21"/>
  <c r="I9" i="21"/>
  <c r="T9" i="21"/>
  <c r="U9" i="21"/>
  <c r="V9" i="21"/>
  <c r="W9" i="21"/>
  <c r="X9" i="21"/>
  <c r="C10" i="21"/>
  <c r="D10" i="21"/>
  <c r="I10" i="21"/>
  <c r="E12" i="21"/>
  <c r="F12" i="21"/>
  <c r="G12" i="21"/>
  <c r="H12" i="21"/>
  <c r="I11" i="21"/>
  <c r="I13" i="21"/>
  <c r="I14" i="21"/>
  <c r="D15" i="21"/>
  <c r="M14" i="21"/>
  <c r="N14" i="21"/>
  <c r="O14" i="21"/>
  <c r="P14" i="21"/>
  <c r="L15" i="21"/>
  <c r="M15" i="21"/>
  <c r="N15" i="21"/>
  <c r="O15" i="21"/>
  <c r="P15" i="21"/>
  <c r="D44" i="21"/>
  <c r="M43" i="21"/>
  <c r="N43" i="21"/>
  <c r="O43" i="21"/>
  <c r="P43" i="21"/>
  <c r="L44" i="21"/>
  <c r="E15" i="21"/>
  <c r="Q15" i="21"/>
  <c r="M44" i="21"/>
  <c r="F15" i="21"/>
  <c r="R15" i="21"/>
  <c r="N44" i="21"/>
  <c r="G15" i="21"/>
  <c r="S15" i="21"/>
  <c r="O44" i="21"/>
  <c r="H15" i="21"/>
  <c r="I15" i="21"/>
  <c r="T15" i="21"/>
  <c r="U15" i="21"/>
  <c r="V15" i="21"/>
  <c r="W15" i="21"/>
  <c r="X15" i="21"/>
  <c r="I16" i="21"/>
  <c r="E17" i="21"/>
  <c r="F17" i="21"/>
  <c r="G17" i="21"/>
  <c r="H17" i="21"/>
  <c r="I17" i="21"/>
  <c r="I18" i="21"/>
  <c r="D19" i="21"/>
  <c r="M18" i="21"/>
  <c r="N18" i="21"/>
  <c r="O18" i="21"/>
  <c r="P18" i="21"/>
  <c r="L19" i="21"/>
  <c r="M19" i="21"/>
  <c r="N19" i="21"/>
  <c r="O19" i="21"/>
  <c r="P19" i="21"/>
  <c r="E19" i="21"/>
  <c r="Q19" i="21"/>
  <c r="F19" i="21"/>
  <c r="R19" i="21"/>
  <c r="G19" i="21"/>
  <c r="S19" i="21"/>
  <c r="H19" i="21"/>
  <c r="I19" i="21"/>
  <c r="T19" i="21"/>
  <c r="U19" i="21"/>
  <c r="V19" i="21"/>
  <c r="W19" i="21"/>
  <c r="X19" i="21"/>
  <c r="L20" i="21"/>
  <c r="M20" i="21"/>
  <c r="N20" i="21"/>
  <c r="O20" i="21"/>
  <c r="P20" i="21"/>
  <c r="Q20" i="21"/>
  <c r="R20" i="21"/>
  <c r="S20" i="21"/>
  <c r="T20" i="21"/>
  <c r="U20" i="21"/>
  <c r="V20" i="21"/>
  <c r="W20" i="21"/>
  <c r="X20" i="21"/>
  <c r="Y20" i="21"/>
  <c r="Z20" i="21"/>
  <c r="AA20" i="21"/>
  <c r="AB20" i="21"/>
  <c r="AC20" i="21"/>
  <c r="AD20" i="21"/>
  <c r="AE20" i="21"/>
  <c r="AF20" i="21"/>
  <c r="AG20" i="21"/>
  <c r="AH20" i="21"/>
  <c r="AI20" i="21"/>
  <c r="AJ20" i="21"/>
  <c r="AK20" i="21"/>
  <c r="AL20" i="21"/>
  <c r="AM20" i="21"/>
  <c r="AE22" i="21"/>
  <c r="AF21" i="21"/>
  <c r="AF22" i="21"/>
  <c r="AG21" i="21"/>
  <c r="AG22" i="21"/>
  <c r="AH21" i="21"/>
  <c r="AH22" i="21"/>
  <c r="AI21" i="21"/>
  <c r="AI22" i="21"/>
  <c r="AJ21" i="21"/>
  <c r="AJ22" i="21"/>
  <c r="AK21" i="21"/>
  <c r="AK22" i="21"/>
  <c r="AL21" i="21"/>
  <c r="AL22" i="21"/>
  <c r="AM21" i="21"/>
  <c r="AM22" i="21"/>
  <c r="AE24" i="21"/>
  <c r="AF23" i="21"/>
  <c r="AF24" i="21"/>
  <c r="AG23" i="21"/>
  <c r="AG24" i="21"/>
  <c r="AH23" i="21"/>
  <c r="AH24" i="21"/>
  <c r="AI23" i="21"/>
  <c r="AI24" i="21"/>
  <c r="AJ23" i="21"/>
  <c r="AJ24" i="21"/>
  <c r="AK23" i="21"/>
  <c r="AK24" i="21"/>
  <c r="AL23" i="21"/>
  <c r="AL24" i="21"/>
  <c r="AM23" i="21"/>
  <c r="AM24" i="21"/>
  <c r="AE26" i="21"/>
  <c r="AF25" i="21"/>
  <c r="AF26" i="21"/>
  <c r="AG25" i="21"/>
  <c r="AG26" i="21"/>
  <c r="AH25" i="21"/>
  <c r="AH26" i="21"/>
  <c r="AI25" i="21"/>
  <c r="AI26" i="21"/>
  <c r="AJ25" i="21"/>
  <c r="AJ26" i="21"/>
  <c r="AK25" i="21"/>
  <c r="AK26" i="21"/>
  <c r="AL25" i="21"/>
  <c r="AL26" i="21"/>
  <c r="AM25" i="21"/>
  <c r="AM26" i="21"/>
  <c r="AE28" i="21"/>
  <c r="AF27" i="21"/>
  <c r="AF28" i="21"/>
  <c r="AG27" i="21"/>
  <c r="AG28" i="21"/>
  <c r="AH27" i="21"/>
  <c r="AH28" i="21"/>
  <c r="AI27" i="21"/>
  <c r="AI28" i="21"/>
  <c r="AJ27" i="21"/>
  <c r="AJ28" i="21"/>
  <c r="AK27" i="21"/>
  <c r="AK28" i="21"/>
  <c r="AL27" i="21"/>
  <c r="AL28" i="21"/>
  <c r="AM27" i="21"/>
  <c r="AM28" i="21"/>
  <c r="P29" i="21"/>
  <c r="AF29" i="21"/>
  <c r="AG29" i="21"/>
  <c r="AH29" i="21"/>
  <c r="AI29" i="21"/>
  <c r="AJ29" i="21"/>
  <c r="AK29" i="21"/>
  <c r="AL29" i="21"/>
  <c r="AM29" i="21"/>
  <c r="L32" i="21"/>
  <c r="M32" i="21"/>
  <c r="N32" i="21"/>
  <c r="O32" i="21"/>
  <c r="S33" i="21"/>
  <c r="T32" i="21"/>
  <c r="T33" i="21"/>
  <c r="U32" i="21"/>
  <c r="U33" i="21"/>
  <c r="V32" i="21"/>
  <c r="V33" i="21"/>
  <c r="W32" i="21"/>
  <c r="W33" i="21"/>
  <c r="X32" i="21"/>
  <c r="X33" i="21"/>
  <c r="Y32" i="21"/>
  <c r="Y33" i="21"/>
  <c r="Z32" i="21"/>
  <c r="Z33" i="21"/>
  <c r="AA32" i="21"/>
  <c r="AA33" i="21"/>
  <c r="AB32" i="21"/>
  <c r="AB33" i="21"/>
  <c r="AC32" i="21"/>
  <c r="AC33" i="21"/>
  <c r="AD32" i="21"/>
  <c r="AD33" i="21"/>
  <c r="AE32" i="21"/>
  <c r="AE33" i="21"/>
  <c r="AF32" i="21"/>
  <c r="AF33" i="21"/>
  <c r="AG32" i="21"/>
  <c r="AG33" i="21"/>
  <c r="AH32" i="21"/>
  <c r="AH33" i="21"/>
  <c r="AI32" i="21"/>
  <c r="AI33" i="21"/>
  <c r="AJ32" i="21"/>
  <c r="AJ33" i="21"/>
  <c r="AK32" i="21"/>
  <c r="AK33" i="21"/>
  <c r="AL32" i="21"/>
  <c r="AL33" i="21"/>
  <c r="AM32" i="21"/>
  <c r="AM33" i="21"/>
  <c r="I34" i="21"/>
  <c r="E36" i="21"/>
  <c r="F36" i="21"/>
  <c r="G36" i="21"/>
  <c r="H36" i="21"/>
  <c r="I35" i="21"/>
  <c r="L35" i="21"/>
  <c r="M35" i="21"/>
  <c r="N35" i="21"/>
  <c r="O35" i="21"/>
  <c r="P35" i="21"/>
  <c r="Q35" i="21"/>
  <c r="R35" i="21"/>
  <c r="S35" i="21"/>
  <c r="T35" i="21"/>
  <c r="U35" i="21"/>
  <c r="V35" i="21"/>
  <c r="W35" i="21"/>
  <c r="X35" i="21"/>
  <c r="I37" i="21"/>
  <c r="P38" i="21"/>
  <c r="O62" i="21"/>
  <c r="P61" i="21"/>
  <c r="P63" i="21"/>
  <c r="D67" i="21"/>
  <c r="M66" i="21"/>
  <c r="L62" i="21"/>
  <c r="P62" i="21"/>
  <c r="Q61" i="21"/>
  <c r="Q63" i="21"/>
  <c r="N66" i="21"/>
  <c r="Q62" i="21"/>
  <c r="R61" i="21"/>
  <c r="R63" i="21"/>
  <c r="O66" i="21"/>
  <c r="R62" i="21"/>
  <c r="S61" i="21"/>
  <c r="S63" i="21"/>
  <c r="P66" i="21"/>
  <c r="L67" i="21"/>
  <c r="E38" i="21"/>
  <c r="Q38" i="21"/>
  <c r="M62" i="21"/>
  <c r="M67" i="21"/>
  <c r="F38" i="21"/>
  <c r="R38" i="21"/>
  <c r="N62" i="21"/>
  <c r="N67" i="21"/>
  <c r="G38" i="21"/>
  <c r="S38" i="21"/>
  <c r="O67" i="21"/>
  <c r="H38" i="21"/>
  <c r="I38" i="21"/>
  <c r="T38" i="21"/>
  <c r="U38" i="21"/>
  <c r="V38" i="21"/>
  <c r="W38" i="21"/>
  <c r="X38" i="21"/>
  <c r="C39" i="21"/>
  <c r="D39" i="21"/>
  <c r="I39" i="21"/>
  <c r="E41" i="21"/>
  <c r="F41" i="21"/>
  <c r="G41" i="21"/>
  <c r="H41" i="21"/>
  <c r="I40" i="21"/>
  <c r="I42" i="21"/>
  <c r="I43" i="21"/>
  <c r="P44" i="21"/>
  <c r="D73" i="21"/>
  <c r="M72" i="21"/>
  <c r="N72" i="21"/>
  <c r="O72" i="21"/>
  <c r="P72" i="21"/>
  <c r="L73" i="21"/>
  <c r="E44" i="21"/>
  <c r="Q44" i="21"/>
  <c r="M73" i="21"/>
  <c r="F44" i="21"/>
  <c r="R44" i="21"/>
  <c r="N73" i="21"/>
  <c r="G44" i="21"/>
  <c r="S44" i="21"/>
  <c r="O73" i="21"/>
  <c r="H44" i="21"/>
  <c r="I44" i="21"/>
  <c r="T44" i="21"/>
  <c r="U44" i="21"/>
  <c r="V44" i="21"/>
  <c r="W44" i="21"/>
  <c r="X44" i="21"/>
  <c r="I45" i="21"/>
  <c r="E46" i="21"/>
  <c r="F46" i="21"/>
  <c r="G46" i="21"/>
  <c r="H46" i="21"/>
  <c r="I46" i="21"/>
  <c r="I47" i="21"/>
  <c r="D48" i="21"/>
  <c r="M47" i="21"/>
  <c r="N47" i="21"/>
  <c r="O47" i="21"/>
  <c r="P47" i="21"/>
  <c r="L48" i="21"/>
  <c r="M48" i="21"/>
  <c r="N48" i="21"/>
  <c r="O48" i="21"/>
  <c r="P48" i="21"/>
  <c r="D77" i="21"/>
  <c r="M76" i="21"/>
  <c r="N76" i="21"/>
  <c r="O76" i="21"/>
  <c r="P76" i="21"/>
  <c r="L77" i="21"/>
  <c r="E48" i="21"/>
  <c r="Q48" i="21"/>
  <c r="M77" i="21"/>
  <c r="F48" i="21"/>
  <c r="R48" i="21"/>
  <c r="N77" i="21"/>
  <c r="G48" i="21"/>
  <c r="S48" i="21"/>
  <c r="O77" i="21"/>
  <c r="H48" i="21"/>
  <c r="I48" i="21"/>
  <c r="T48" i="21"/>
  <c r="U48" i="21"/>
  <c r="V48" i="21"/>
  <c r="W48" i="21"/>
  <c r="X48" i="21"/>
  <c r="L49" i="21"/>
  <c r="M49" i="21"/>
  <c r="N49" i="21"/>
  <c r="O49" i="21"/>
  <c r="P49" i="21"/>
  <c r="Q49" i="21"/>
  <c r="R49" i="21"/>
  <c r="S49" i="21"/>
  <c r="T49" i="21"/>
  <c r="U49" i="21"/>
  <c r="V49" i="21"/>
  <c r="W49" i="21"/>
  <c r="X49" i="21"/>
  <c r="Y49" i="21"/>
  <c r="Z49" i="21"/>
  <c r="AA49" i="21"/>
  <c r="AB49" i="21"/>
  <c r="AC49" i="21"/>
  <c r="AD49" i="21"/>
  <c r="AE49" i="21"/>
  <c r="AF49" i="21"/>
  <c r="AG49" i="21"/>
  <c r="AH49" i="21"/>
  <c r="AI49" i="21"/>
  <c r="AJ49" i="21"/>
  <c r="AK49" i="21"/>
  <c r="AL49" i="21"/>
  <c r="AM49" i="21"/>
  <c r="AA51" i="21"/>
  <c r="AB50" i="21"/>
  <c r="AB51" i="21"/>
  <c r="AC50" i="21"/>
  <c r="AC51" i="21"/>
  <c r="AD50" i="21"/>
  <c r="AD51" i="21"/>
  <c r="AE50" i="21"/>
  <c r="AE51" i="21"/>
  <c r="AF50" i="21"/>
  <c r="AF51" i="21"/>
  <c r="AG50" i="21"/>
  <c r="AG51" i="21"/>
  <c r="AH50" i="21"/>
  <c r="AH51" i="21"/>
  <c r="AI50" i="21"/>
  <c r="AI51" i="21"/>
  <c r="AJ50" i="21"/>
  <c r="AJ51" i="21"/>
  <c r="AK50" i="21"/>
  <c r="AK51" i="21"/>
  <c r="AL50" i="21"/>
  <c r="AL51" i="21"/>
  <c r="AM50" i="21"/>
  <c r="AM51" i="21"/>
  <c r="AA53" i="21"/>
  <c r="AB52" i="21"/>
  <c r="AB53" i="21"/>
  <c r="AC52" i="21"/>
  <c r="AC53" i="21"/>
  <c r="AD52" i="21"/>
  <c r="AD53" i="21"/>
  <c r="AE52" i="21"/>
  <c r="AE53" i="21"/>
  <c r="AF52" i="21"/>
  <c r="AF53" i="21"/>
  <c r="AG52" i="21"/>
  <c r="AG53" i="21"/>
  <c r="AH52" i="21"/>
  <c r="AH53" i="21"/>
  <c r="AI52" i="21"/>
  <c r="AI53" i="21"/>
  <c r="AJ52" i="21"/>
  <c r="AJ53" i="21"/>
  <c r="AK52" i="21"/>
  <c r="AK53" i="21"/>
  <c r="AL52" i="21"/>
  <c r="AL53" i="21"/>
  <c r="AM52" i="21"/>
  <c r="AM53" i="21"/>
  <c r="AA55" i="21"/>
  <c r="AB54" i="21"/>
  <c r="AB55" i="21"/>
  <c r="AC54" i="21"/>
  <c r="AC55" i="21"/>
  <c r="AD54" i="21"/>
  <c r="AD55" i="21"/>
  <c r="AE54" i="21"/>
  <c r="AE55" i="21"/>
  <c r="AF54" i="21"/>
  <c r="AF55" i="21"/>
  <c r="AG54" i="21"/>
  <c r="AG55" i="21"/>
  <c r="AH54" i="21"/>
  <c r="AH55" i="21"/>
  <c r="AI54" i="21"/>
  <c r="AI55" i="21"/>
  <c r="AJ54" i="21"/>
  <c r="AJ55" i="21"/>
  <c r="AK54" i="21"/>
  <c r="AK55" i="21"/>
  <c r="AL54" i="21"/>
  <c r="AL55" i="21"/>
  <c r="AM54" i="21"/>
  <c r="AM55" i="21"/>
  <c r="AA57" i="21"/>
  <c r="AB56" i="21"/>
  <c r="AB57" i="21"/>
  <c r="AC56" i="21"/>
  <c r="AC57" i="21"/>
  <c r="AD56" i="21"/>
  <c r="AD57" i="21"/>
  <c r="AE56" i="21"/>
  <c r="AE57" i="21"/>
  <c r="AF56" i="21"/>
  <c r="AF57" i="21"/>
  <c r="AG56" i="21"/>
  <c r="AG57" i="21"/>
  <c r="AH56" i="21"/>
  <c r="AH57" i="21"/>
  <c r="AI56" i="21"/>
  <c r="AI57" i="21"/>
  <c r="AJ56" i="21"/>
  <c r="AJ57" i="21"/>
  <c r="AK56" i="21"/>
  <c r="AK57" i="21"/>
  <c r="AL56" i="21"/>
  <c r="AL57" i="21"/>
  <c r="AM56" i="21"/>
  <c r="AM57" i="21"/>
  <c r="P58" i="21"/>
  <c r="AB58" i="21"/>
  <c r="AC58" i="21"/>
  <c r="AD58" i="21"/>
  <c r="AE58" i="21"/>
  <c r="AF58" i="21"/>
  <c r="AG58" i="21"/>
  <c r="AH58" i="21"/>
  <c r="AI58" i="21"/>
  <c r="AJ58" i="21"/>
  <c r="AK58" i="21"/>
  <c r="AL58" i="21"/>
  <c r="AM58" i="21"/>
  <c r="L61" i="21"/>
  <c r="M61" i="21"/>
  <c r="N61" i="21"/>
  <c r="O61" i="21"/>
  <c r="S62" i="21"/>
  <c r="T61" i="21"/>
  <c r="T62" i="21"/>
  <c r="U61" i="21"/>
  <c r="U62" i="21"/>
  <c r="V61" i="21"/>
  <c r="V62" i="21"/>
  <c r="W61" i="21"/>
  <c r="W62" i="21"/>
  <c r="X61" i="21"/>
  <c r="X62" i="21"/>
  <c r="Y61" i="21"/>
  <c r="Y62" i="21"/>
  <c r="Z61" i="21"/>
  <c r="Z62" i="21"/>
  <c r="AA61" i="21"/>
  <c r="AA62" i="21"/>
  <c r="AB61" i="21"/>
  <c r="AB62" i="21"/>
  <c r="AC61" i="21"/>
  <c r="AC62" i="21"/>
  <c r="AD61" i="21"/>
  <c r="AD62" i="21"/>
  <c r="AE61" i="21"/>
  <c r="AE62" i="21"/>
  <c r="AF61" i="21"/>
  <c r="AF62" i="21"/>
  <c r="AG61" i="21"/>
  <c r="AG62" i="21"/>
  <c r="AH61" i="21"/>
  <c r="AH62" i="21"/>
  <c r="AI61" i="21"/>
  <c r="AI62" i="21"/>
  <c r="AJ61" i="21"/>
  <c r="AJ62" i="21"/>
  <c r="AK61" i="21"/>
  <c r="AK62" i="21"/>
  <c r="AL61" i="21"/>
  <c r="AL62" i="21"/>
  <c r="AM61" i="21"/>
  <c r="AM62" i="21"/>
  <c r="I63" i="21"/>
  <c r="E65" i="21"/>
  <c r="F65" i="21"/>
  <c r="G65" i="21"/>
  <c r="H65" i="21"/>
  <c r="I64" i="21"/>
  <c r="L64" i="21"/>
  <c r="M64" i="21"/>
  <c r="N64" i="21"/>
  <c r="O64" i="21"/>
  <c r="P64" i="21"/>
  <c r="Q64" i="21"/>
  <c r="R64" i="21"/>
  <c r="S64" i="21"/>
  <c r="T64" i="21"/>
  <c r="U64" i="21"/>
  <c r="V64" i="21"/>
  <c r="W64" i="21"/>
  <c r="X64" i="21"/>
  <c r="I66" i="21"/>
  <c r="P67" i="21"/>
  <c r="O91" i="21"/>
  <c r="P90" i="21"/>
  <c r="P92" i="21"/>
  <c r="D96" i="21"/>
  <c r="M95" i="21"/>
  <c r="L91" i="21"/>
  <c r="P91" i="21"/>
  <c r="Q90" i="21"/>
  <c r="Q92" i="21"/>
  <c r="N95" i="21"/>
  <c r="Q91" i="21"/>
  <c r="R90" i="21"/>
  <c r="R92" i="21"/>
  <c r="O95" i="21"/>
  <c r="R91" i="21"/>
  <c r="S90" i="21"/>
  <c r="S92" i="21"/>
  <c r="P95" i="21"/>
  <c r="L96" i="21"/>
  <c r="E67" i="21"/>
  <c r="Q67" i="21"/>
  <c r="M91" i="21"/>
  <c r="M96" i="21"/>
  <c r="F67" i="21"/>
  <c r="R67" i="21"/>
  <c r="N91" i="21"/>
  <c r="N96" i="21"/>
  <c r="G67" i="21"/>
  <c r="S67" i="21"/>
  <c r="O96" i="21"/>
  <c r="H67" i="21"/>
  <c r="I67" i="21"/>
  <c r="T67" i="21"/>
  <c r="U67" i="21"/>
  <c r="V67" i="21"/>
  <c r="W67" i="21"/>
  <c r="X67" i="21"/>
  <c r="C68" i="21"/>
  <c r="D68" i="21"/>
  <c r="I68" i="21"/>
  <c r="E70" i="21"/>
  <c r="F70" i="21"/>
  <c r="G70" i="21"/>
  <c r="H70" i="21"/>
  <c r="I69" i="21"/>
  <c r="I71" i="21"/>
  <c r="I72" i="21"/>
  <c r="P73" i="21"/>
  <c r="D102" i="21"/>
  <c r="M101" i="21"/>
  <c r="N101" i="21"/>
  <c r="O101" i="21"/>
  <c r="P101" i="21"/>
  <c r="L102" i="21"/>
  <c r="E73" i="21"/>
  <c r="Q73" i="21"/>
  <c r="M102" i="21"/>
  <c r="F73" i="21"/>
  <c r="R73" i="21"/>
  <c r="N102" i="21"/>
  <c r="G73" i="21"/>
  <c r="S73" i="21"/>
  <c r="O102" i="21"/>
  <c r="H73" i="21"/>
  <c r="I73" i="21"/>
  <c r="T73" i="21"/>
  <c r="U73" i="21"/>
  <c r="V73" i="21"/>
  <c r="W73" i="21"/>
  <c r="X73" i="21"/>
  <c r="I74" i="21"/>
  <c r="E75" i="21"/>
  <c r="F75" i="21"/>
  <c r="G75" i="21"/>
  <c r="H75" i="21"/>
  <c r="I75" i="21"/>
  <c r="I76" i="21"/>
  <c r="P77" i="21"/>
  <c r="D106" i="21"/>
  <c r="M105" i="21"/>
  <c r="N105" i="21"/>
  <c r="O105" i="21"/>
  <c r="P105" i="21"/>
  <c r="L106" i="21"/>
  <c r="E77" i="21"/>
  <c r="Q77" i="21"/>
  <c r="M106" i="21"/>
  <c r="F77" i="21"/>
  <c r="R77" i="21"/>
  <c r="N106" i="21"/>
  <c r="G77" i="21"/>
  <c r="S77" i="21"/>
  <c r="O106" i="21"/>
  <c r="H77" i="21"/>
  <c r="I77" i="21"/>
  <c r="T77" i="21"/>
  <c r="U77" i="21"/>
  <c r="V77" i="21"/>
  <c r="W77" i="21"/>
  <c r="X77" i="21"/>
  <c r="L78" i="21"/>
  <c r="M78" i="21"/>
  <c r="N78" i="21"/>
  <c r="O78" i="21"/>
  <c r="P78" i="21"/>
  <c r="Q78" i="21"/>
  <c r="R78" i="21"/>
  <c r="S78" i="21"/>
  <c r="T78" i="21"/>
  <c r="U78" i="21"/>
  <c r="V78" i="21"/>
  <c r="W78" i="21"/>
  <c r="X78" i="21"/>
  <c r="Y78" i="21"/>
  <c r="Z78" i="21"/>
  <c r="AA78" i="21"/>
  <c r="AB78" i="21"/>
  <c r="AC78" i="21"/>
  <c r="AD78" i="21"/>
  <c r="AE78" i="21"/>
  <c r="AF78" i="21"/>
  <c r="AG78" i="21"/>
  <c r="AH78" i="21"/>
  <c r="AI78" i="21"/>
  <c r="AJ78" i="21"/>
  <c r="AK78" i="21"/>
  <c r="AL78" i="21"/>
  <c r="AM78" i="21"/>
  <c r="W80" i="21"/>
  <c r="X79" i="21"/>
  <c r="X80" i="21"/>
  <c r="Y79" i="21"/>
  <c r="Y80" i="21"/>
  <c r="Z79" i="21"/>
  <c r="Z80" i="21"/>
  <c r="AA79" i="21"/>
  <c r="AA80" i="21"/>
  <c r="AB79" i="21"/>
  <c r="AB80" i="21"/>
  <c r="AC79" i="21"/>
  <c r="AC80" i="21"/>
  <c r="AD79" i="21"/>
  <c r="AD80" i="21"/>
  <c r="AE79" i="21"/>
  <c r="AE80" i="21"/>
  <c r="AF79" i="21"/>
  <c r="AF80" i="21"/>
  <c r="AG79" i="21"/>
  <c r="AG80" i="21"/>
  <c r="AH79" i="21"/>
  <c r="AH80" i="21"/>
  <c r="AI79" i="21"/>
  <c r="AI80" i="21"/>
  <c r="AJ79" i="21"/>
  <c r="AJ80" i="21"/>
  <c r="AK79" i="21"/>
  <c r="AK80" i="21"/>
  <c r="AL79" i="21"/>
  <c r="AL80" i="21"/>
  <c r="AM79" i="21"/>
  <c r="AM80" i="21"/>
  <c r="W82" i="21"/>
  <c r="X81" i="21"/>
  <c r="X82" i="21"/>
  <c r="Y81" i="21"/>
  <c r="Y82" i="21"/>
  <c r="Z81" i="21"/>
  <c r="Z82" i="21"/>
  <c r="AA81" i="21"/>
  <c r="AA82" i="21"/>
  <c r="AB81" i="21"/>
  <c r="AB82" i="21"/>
  <c r="AC81" i="21"/>
  <c r="AC82" i="21"/>
  <c r="AD81" i="21"/>
  <c r="AD82" i="21"/>
  <c r="AE81" i="21"/>
  <c r="AE82" i="21"/>
  <c r="AF81" i="21"/>
  <c r="AF82" i="21"/>
  <c r="AG81" i="21"/>
  <c r="AG82" i="21"/>
  <c r="AH81" i="21"/>
  <c r="AH82" i="21"/>
  <c r="AI81" i="21"/>
  <c r="AI82" i="21"/>
  <c r="AJ81" i="21"/>
  <c r="AJ82" i="21"/>
  <c r="AK81" i="21"/>
  <c r="AK82" i="21"/>
  <c r="AL81" i="21"/>
  <c r="AL82" i="21"/>
  <c r="AM81" i="21"/>
  <c r="AM82" i="21"/>
  <c r="W84" i="21"/>
  <c r="X83" i="21"/>
  <c r="X84" i="21"/>
  <c r="Y83" i="21"/>
  <c r="Y84" i="21"/>
  <c r="Z83" i="21"/>
  <c r="Z84" i="21"/>
  <c r="AA83" i="21"/>
  <c r="AA84" i="21"/>
  <c r="AB83" i="21"/>
  <c r="AB84" i="21"/>
  <c r="AC83" i="21"/>
  <c r="AC84" i="21"/>
  <c r="AD83" i="21"/>
  <c r="AD84" i="21"/>
  <c r="AE83" i="21"/>
  <c r="AE84" i="21"/>
  <c r="AF83" i="21"/>
  <c r="AF84" i="21"/>
  <c r="AG83" i="21"/>
  <c r="AG84" i="21"/>
  <c r="AH83" i="21"/>
  <c r="AH84" i="21"/>
  <c r="AI83" i="21"/>
  <c r="AI84" i="21"/>
  <c r="AJ83" i="21"/>
  <c r="AJ84" i="21"/>
  <c r="AK83" i="21"/>
  <c r="AK84" i="21"/>
  <c r="AL83" i="21"/>
  <c r="AL84" i="21"/>
  <c r="AM83" i="21"/>
  <c r="AM84" i="21"/>
  <c r="W86" i="21"/>
  <c r="X85" i="21"/>
  <c r="X86" i="21"/>
  <c r="Y85" i="21"/>
  <c r="Y86" i="21"/>
  <c r="Z85" i="21"/>
  <c r="Z86" i="21"/>
  <c r="AA85" i="21"/>
  <c r="AA86" i="21"/>
  <c r="AB85" i="21"/>
  <c r="AB86" i="21"/>
  <c r="AC85" i="21"/>
  <c r="AC86" i="21"/>
  <c r="AD85" i="21"/>
  <c r="AD86" i="21"/>
  <c r="AE85" i="21"/>
  <c r="AE86" i="21"/>
  <c r="AF85" i="21"/>
  <c r="AF86" i="21"/>
  <c r="AG85" i="21"/>
  <c r="AG86" i="21"/>
  <c r="AH85" i="21"/>
  <c r="AH86" i="21"/>
  <c r="AI85" i="21"/>
  <c r="AI86" i="21"/>
  <c r="AJ85" i="21"/>
  <c r="AJ86" i="21"/>
  <c r="AK85" i="21"/>
  <c r="AK86" i="21"/>
  <c r="AL85" i="21"/>
  <c r="AL86" i="21"/>
  <c r="AM85" i="21"/>
  <c r="AM86" i="21"/>
  <c r="X87" i="21"/>
  <c r="Y87" i="21"/>
  <c r="Z87" i="21"/>
  <c r="AA87" i="21"/>
  <c r="AB87" i="21"/>
  <c r="AC87" i="21"/>
  <c r="AD87" i="21"/>
  <c r="AE87" i="21"/>
  <c r="AF87" i="21"/>
  <c r="AG87" i="21"/>
  <c r="AH87" i="21"/>
  <c r="AI87" i="21"/>
  <c r="AJ87" i="21"/>
  <c r="AK87" i="21"/>
  <c r="AL87" i="21"/>
  <c r="AM87" i="21"/>
  <c r="L90" i="21"/>
  <c r="M90" i="21"/>
  <c r="N90" i="21"/>
  <c r="O90" i="21"/>
  <c r="S91" i="21"/>
  <c r="T90" i="21"/>
  <c r="T91" i="21"/>
  <c r="U90" i="21"/>
  <c r="U91" i="21"/>
  <c r="V90" i="21"/>
  <c r="V91" i="21"/>
  <c r="W90" i="21"/>
  <c r="W91" i="21"/>
  <c r="X90" i="21"/>
  <c r="X91" i="21"/>
  <c r="Y90" i="21"/>
  <c r="Y91" i="21"/>
  <c r="Z90" i="21"/>
  <c r="Z91" i="21"/>
  <c r="AA90" i="21"/>
  <c r="AA91" i="21"/>
  <c r="AB90" i="21"/>
  <c r="AB91" i="21"/>
  <c r="AC90" i="21"/>
  <c r="AC91" i="21"/>
  <c r="AD90" i="21"/>
  <c r="AD91" i="21"/>
  <c r="AE90" i="21"/>
  <c r="AE91" i="21"/>
  <c r="AF90" i="21"/>
  <c r="AF91" i="21"/>
  <c r="AG90" i="21"/>
  <c r="AG91" i="21"/>
  <c r="AH90" i="21"/>
  <c r="AH91" i="21"/>
  <c r="AI90" i="21"/>
  <c r="AI91" i="21"/>
  <c r="AJ90" i="21"/>
  <c r="AJ91" i="21"/>
  <c r="AK90" i="21"/>
  <c r="AK91" i="21"/>
  <c r="AL90" i="21"/>
  <c r="AL91" i="21"/>
  <c r="AM90" i="21"/>
  <c r="AM91" i="21"/>
  <c r="I92" i="21"/>
  <c r="E94" i="21"/>
  <c r="F94" i="21"/>
  <c r="G94" i="21"/>
  <c r="H94" i="21"/>
  <c r="I93" i="21"/>
  <c r="L93" i="21"/>
  <c r="M93" i="21"/>
  <c r="N93" i="21"/>
  <c r="O93" i="21"/>
  <c r="P93" i="21"/>
  <c r="Q93" i="21"/>
  <c r="R93" i="21"/>
  <c r="S93" i="21"/>
  <c r="T93" i="21"/>
  <c r="U93" i="21"/>
  <c r="V93" i="21"/>
  <c r="W93" i="21"/>
  <c r="X93" i="21"/>
  <c r="I95" i="21"/>
  <c r="P96" i="21"/>
  <c r="O120" i="21"/>
  <c r="P119" i="21"/>
  <c r="P121" i="21"/>
  <c r="D125" i="21"/>
  <c r="M124" i="21"/>
  <c r="L120" i="21"/>
  <c r="P120" i="21"/>
  <c r="Q119" i="21"/>
  <c r="Q121" i="21"/>
  <c r="N124" i="21"/>
  <c r="Q120" i="21"/>
  <c r="R119" i="21"/>
  <c r="R121" i="21"/>
  <c r="O124" i="21"/>
  <c r="R120" i="21"/>
  <c r="S119" i="21"/>
  <c r="S121" i="21"/>
  <c r="P124" i="21"/>
  <c r="L125" i="21"/>
  <c r="E96" i="21"/>
  <c r="Q96" i="21"/>
  <c r="M120" i="21"/>
  <c r="M125" i="21"/>
  <c r="F96" i="21"/>
  <c r="R96" i="21"/>
  <c r="N120" i="21"/>
  <c r="N125" i="21"/>
  <c r="G96" i="21"/>
  <c r="S96" i="21"/>
  <c r="O125" i="21"/>
  <c r="H96" i="21"/>
  <c r="I96" i="21"/>
  <c r="T96" i="21"/>
  <c r="U96" i="21"/>
  <c r="V96" i="21"/>
  <c r="W96" i="21"/>
  <c r="X96" i="21"/>
  <c r="C97" i="21"/>
  <c r="D97" i="21"/>
  <c r="I97" i="21"/>
  <c r="E99" i="21"/>
  <c r="F99" i="21"/>
  <c r="G99" i="21"/>
  <c r="H99" i="21"/>
  <c r="I98" i="21"/>
  <c r="I100" i="21"/>
  <c r="I101" i="21"/>
  <c r="P102" i="21"/>
  <c r="D131" i="21"/>
  <c r="M130" i="21"/>
  <c r="N130" i="21"/>
  <c r="O130" i="21"/>
  <c r="P130" i="21"/>
  <c r="L131" i="21"/>
  <c r="E102" i="21"/>
  <c r="Q102" i="21"/>
  <c r="M131" i="21"/>
  <c r="F102" i="21"/>
  <c r="R102" i="21"/>
  <c r="N131" i="21"/>
  <c r="G102" i="21"/>
  <c r="S102" i="21"/>
  <c r="O131" i="21"/>
  <c r="H102" i="21"/>
  <c r="I102" i="21"/>
  <c r="T102" i="21"/>
  <c r="U102" i="21"/>
  <c r="V102" i="21"/>
  <c r="W102" i="21"/>
  <c r="X102" i="21"/>
  <c r="I103" i="21"/>
  <c r="E104" i="21"/>
  <c r="F104" i="21"/>
  <c r="G104" i="21"/>
  <c r="H104" i="21"/>
  <c r="I104" i="21"/>
  <c r="I105" i="21"/>
  <c r="P106" i="21"/>
  <c r="D135" i="21"/>
  <c r="M134" i="21"/>
  <c r="N134" i="21"/>
  <c r="O134" i="21"/>
  <c r="P134" i="21"/>
  <c r="L135" i="21"/>
  <c r="E106" i="21"/>
  <c r="Q106" i="21"/>
  <c r="M135" i="21"/>
  <c r="F106" i="21"/>
  <c r="R106" i="21"/>
  <c r="N135" i="21"/>
  <c r="G106" i="21"/>
  <c r="S106" i="21"/>
  <c r="O135" i="21"/>
  <c r="H106" i="21"/>
  <c r="I106" i="21"/>
  <c r="T106" i="21"/>
  <c r="U106" i="21"/>
  <c r="V106" i="21"/>
  <c r="W106" i="21"/>
  <c r="X106" i="21"/>
  <c r="L107" i="21"/>
  <c r="M107" i="21"/>
  <c r="N107" i="21"/>
  <c r="O107" i="21"/>
  <c r="P107" i="21"/>
  <c r="Q107" i="21"/>
  <c r="R107" i="21"/>
  <c r="S107" i="21"/>
  <c r="T107" i="21"/>
  <c r="U107" i="21"/>
  <c r="V107" i="21"/>
  <c r="W107" i="21"/>
  <c r="X107" i="21"/>
  <c r="Y107" i="21"/>
  <c r="Z107" i="21"/>
  <c r="AA107" i="21"/>
  <c r="AB107" i="21"/>
  <c r="AC107" i="21"/>
  <c r="AD107" i="21"/>
  <c r="AE107" i="21"/>
  <c r="AF107" i="21"/>
  <c r="AG107" i="21"/>
  <c r="AH107" i="21"/>
  <c r="AI107" i="21"/>
  <c r="AJ107" i="21"/>
  <c r="AK107" i="21"/>
  <c r="AL107" i="21"/>
  <c r="AM107" i="21"/>
  <c r="S109" i="21"/>
  <c r="T108" i="21"/>
  <c r="T109" i="21"/>
  <c r="U108" i="21"/>
  <c r="U109" i="21"/>
  <c r="V108" i="21"/>
  <c r="V109" i="21"/>
  <c r="W108" i="21"/>
  <c r="W109" i="21"/>
  <c r="X108" i="21"/>
  <c r="X109" i="21"/>
  <c r="Y108" i="21"/>
  <c r="Y109" i="21"/>
  <c r="Z108" i="21"/>
  <c r="Z109" i="21"/>
  <c r="AA108" i="21"/>
  <c r="AA109" i="21"/>
  <c r="AB108" i="21"/>
  <c r="AB109" i="21"/>
  <c r="AC108" i="21"/>
  <c r="AC109" i="21"/>
  <c r="AD108" i="21"/>
  <c r="AD109" i="21"/>
  <c r="AE108" i="21"/>
  <c r="AE109" i="21"/>
  <c r="AF108" i="21"/>
  <c r="AF109" i="21"/>
  <c r="AG108" i="21"/>
  <c r="AG109" i="21"/>
  <c r="AH108" i="21"/>
  <c r="AH109" i="21"/>
  <c r="AI108" i="21"/>
  <c r="AI109" i="21"/>
  <c r="AJ108" i="21"/>
  <c r="AJ109" i="21"/>
  <c r="AK108" i="21"/>
  <c r="AK109" i="21"/>
  <c r="AL108" i="21"/>
  <c r="AL109" i="21"/>
  <c r="AM108" i="21"/>
  <c r="AM109" i="21"/>
  <c r="S111" i="21"/>
  <c r="T110" i="21"/>
  <c r="T111" i="21"/>
  <c r="U110" i="21"/>
  <c r="U111" i="21"/>
  <c r="V110" i="21"/>
  <c r="V111" i="21"/>
  <c r="W110" i="21"/>
  <c r="W111" i="21"/>
  <c r="X110" i="21"/>
  <c r="X111" i="21"/>
  <c r="Y110" i="21"/>
  <c r="Y111" i="21"/>
  <c r="Z110" i="21"/>
  <c r="Z111" i="21"/>
  <c r="AA110" i="21"/>
  <c r="AA111" i="21"/>
  <c r="AB110" i="21"/>
  <c r="AB111" i="21"/>
  <c r="AC110" i="21"/>
  <c r="AC111" i="21"/>
  <c r="AD110" i="21"/>
  <c r="AD111" i="21"/>
  <c r="AE110" i="21"/>
  <c r="AE111" i="21"/>
  <c r="AF110" i="21"/>
  <c r="AF111" i="21"/>
  <c r="AG110" i="21"/>
  <c r="AG111" i="21"/>
  <c r="AH110" i="21"/>
  <c r="AH111" i="21"/>
  <c r="AI110" i="21"/>
  <c r="AI111" i="21"/>
  <c r="AJ110" i="21"/>
  <c r="AJ111" i="21"/>
  <c r="AK110" i="21"/>
  <c r="AK111" i="21"/>
  <c r="AL110" i="21"/>
  <c r="AL111" i="21"/>
  <c r="AM110" i="21"/>
  <c r="AM111" i="21"/>
  <c r="S113" i="21"/>
  <c r="T112" i="21"/>
  <c r="T113" i="21"/>
  <c r="U112" i="21"/>
  <c r="U113" i="21"/>
  <c r="V112" i="21"/>
  <c r="V113" i="21"/>
  <c r="W112" i="21"/>
  <c r="W113" i="21"/>
  <c r="X112" i="21"/>
  <c r="X113" i="21"/>
  <c r="Y112" i="21"/>
  <c r="Y113" i="21"/>
  <c r="Z112" i="21"/>
  <c r="Z113" i="21"/>
  <c r="AA112" i="21"/>
  <c r="AA113" i="21"/>
  <c r="AB112" i="21"/>
  <c r="AB113" i="21"/>
  <c r="AC112" i="21"/>
  <c r="AC113" i="21"/>
  <c r="AD112" i="21"/>
  <c r="AD113" i="21"/>
  <c r="AE112" i="21"/>
  <c r="AE113" i="21"/>
  <c r="AF112" i="21"/>
  <c r="AF113" i="21"/>
  <c r="AG112" i="21"/>
  <c r="AG113" i="21"/>
  <c r="AH112" i="21"/>
  <c r="AH113" i="21"/>
  <c r="AI112" i="21"/>
  <c r="AI113" i="21"/>
  <c r="AJ112" i="21"/>
  <c r="AJ113" i="21"/>
  <c r="AK112" i="21"/>
  <c r="AK113" i="21"/>
  <c r="AL112" i="21"/>
  <c r="AL113" i="21"/>
  <c r="AM112" i="21"/>
  <c r="AM113" i="21"/>
  <c r="S115" i="21"/>
  <c r="T114" i="21"/>
  <c r="T115" i="21"/>
  <c r="U114" i="21"/>
  <c r="U115" i="21"/>
  <c r="V114" i="21"/>
  <c r="V115" i="21"/>
  <c r="W114" i="21"/>
  <c r="W115" i="21"/>
  <c r="X114" i="21"/>
  <c r="X115" i="21"/>
  <c r="Y114" i="21"/>
  <c r="Y115" i="21"/>
  <c r="Z114" i="21"/>
  <c r="Z115" i="21"/>
  <c r="AA114" i="21"/>
  <c r="AA115" i="21"/>
  <c r="AB114" i="21"/>
  <c r="AB115" i="21"/>
  <c r="AC114" i="21"/>
  <c r="AC115" i="21"/>
  <c r="AD114" i="21"/>
  <c r="AD115" i="21"/>
  <c r="AE114" i="21"/>
  <c r="AE115" i="21"/>
  <c r="AF114" i="21"/>
  <c r="AF115" i="21"/>
  <c r="AG114" i="21"/>
  <c r="AG115" i="21"/>
  <c r="AH114" i="21"/>
  <c r="AH115" i="21"/>
  <c r="AI114" i="21"/>
  <c r="AI115" i="21"/>
  <c r="AJ114" i="21"/>
  <c r="AJ115" i="21"/>
  <c r="AK114" i="21"/>
  <c r="AK115" i="21"/>
  <c r="AL114" i="21"/>
  <c r="AL115" i="21"/>
  <c r="AM114" i="21"/>
  <c r="AM115" i="21"/>
  <c r="T116" i="21"/>
  <c r="U116" i="21"/>
  <c r="V116" i="21"/>
  <c r="W116" i="21"/>
  <c r="X116" i="21"/>
  <c r="Y116" i="21"/>
  <c r="Z116" i="21"/>
  <c r="AA116" i="21"/>
  <c r="AB116" i="21"/>
  <c r="AC116" i="21"/>
  <c r="AD116" i="21"/>
  <c r="AE116" i="21"/>
  <c r="AF116" i="21"/>
  <c r="AG116" i="21"/>
  <c r="AH116" i="21"/>
  <c r="AI116" i="21"/>
  <c r="AJ116" i="21"/>
  <c r="AK116" i="21"/>
  <c r="AL116" i="21"/>
  <c r="AM116" i="21"/>
  <c r="L119" i="21"/>
  <c r="M119" i="21"/>
  <c r="N119" i="21"/>
  <c r="O119" i="21"/>
  <c r="S120" i="21"/>
  <c r="T119" i="21"/>
  <c r="T120" i="21"/>
  <c r="U119" i="21"/>
  <c r="U120" i="21"/>
  <c r="V119" i="21"/>
  <c r="V120" i="21"/>
  <c r="W119" i="21"/>
  <c r="W120" i="21"/>
  <c r="X119" i="21"/>
  <c r="X120" i="21"/>
  <c r="Y119" i="21"/>
  <c r="Y120" i="21"/>
  <c r="Z119" i="21"/>
  <c r="Z120" i="21"/>
  <c r="AA119" i="21"/>
  <c r="AA120" i="21"/>
  <c r="AB119" i="21"/>
  <c r="AB120" i="21"/>
  <c r="AC119" i="21"/>
  <c r="AC120" i="21"/>
  <c r="AD119" i="21"/>
  <c r="AD120" i="21"/>
  <c r="AE119" i="21"/>
  <c r="AE120" i="21"/>
  <c r="AF119" i="21"/>
  <c r="AF120" i="21"/>
  <c r="AG119" i="21"/>
  <c r="AG120" i="21"/>
  <c r="AH119" i="21"/>
  <c r="AH120" i="21"/>
  <c r="AI119" i="21"/>
  <c r="AI120" i="21"/>
  <c r="AJ119" i="21"/>
  <c r="AJ120" i="21"/>
  <c r="AK119" i="21"/>
  <c r="AK120" i="21"/>
  <c r="AL119" i="21"/>
  <c r="AL120" i="21"/>
  <c r="AM119" i="21"/>
  <c r="AM120" i="21"/>
  <c r="I121" i="21"/>
  <c r="E123" i="21"/>
  <c r="F123" i="21"/>
  <c r="G123" i="21"/>
  <c r="H123" i="21"/>
  <c r="I122" i="21"/>
  <c r="L122" i="21"/>
  <c r="M122" i="21"/>
  <c r="N122" i="21"/>
  <c r="O122" i="21"/>
  <c r="P122" i="21"/>
  <c r="Q122" i="21"/>
  <c r="R122" i="21"/>
  <c r="S122" i="21"/>
  <c r="T122" i="21"/>
  <c r="U122" i="21"/>
  <c r="V122" i="21"/>
  <c r="W122" i="21"/>
  <c r="X122" i="21"/>
  <c r="I124" i="21"/>
  <c r="P125" i="21"/>
  <c r="E125" i="21"/>
  <c r="Q125" i="21"/>
  <c r="F125" i="21"/>
  <c r="R125" i="21"/>
  <c r="G125" i="21"/>
  <c r="S125" i="21"/>
  <c r="H125" i="21"/>
  <c r="I125" i="21"/>
  <c r="T125" i="21"/>
  <c r="U125" i="21"/>
  <c r="V125" i="21"/>
  <c r="W125" i="21"/>
  <c r="X125" i="21"/>
  <c r="C126" i="21"/>
  <c r="D126" i="21"/>
  <c r="I126" i="21"/>
  <c r="E128" i="21"/>
  <c r="F128" i="21"/>
  <c r="G128" i="21"/>
  <c r="H128" i="21"/>
  <c r="I127" i="21"/>
  <c r="I129" i="21"/>
  <c r="I130" i="21"/>
  <c r="P131" i="21"/>
  <c r="E131" i="21"/>
  <c r="Q131" i="21"/>
  <c r="F131" i="21"/>
  <c r="R131" i="21"/>
  <c r="G131" i="21"/>
  <c r="S131" i="21"/>
  <c r="H131" i="21"/>
  <c r="I131" i="21"/>
  <c r="T131" i="21"/>
  <c r="U131" i="21"/>
  <c r="V131" i="21"/>
  <c r="W131" i="21"/>
  <c r="X131" i="21"/>
  <c r="I132" i="21"/>
  <c r="E133" i="21"/>
  <c r="F133" i="21"/>
  <c r="G133" i="21"/>
  <c r="H133" i="21"/>
  <c r="I133" i="21"/>
  <c r="I134" i="21"/>
  <c r="P135" i="21"/>
  <c r="E135" i="21"/>
  <c r="Q135" i="21"/>
  <c r="F135" i="21"/>
  <c r="R135" i="21"/>
  <c r="G135" i="21"/>
  <c r="S135" i="21"/>
  <c r="H135" i="21"/>
  <c r="I135" i="21"/>
  <c r="T135" i="21"/>
  <c r="U135" i="21"/>
  <c r="V135" i="21"/>
  <c r="W135" i="21"/>
  <c r="X135" i="21"/>
  <c r="L136" i="21"/>
  <c r="M136" i="21"/>
  <c r="N136" i="21"/>
  <c r="O136" i="21"/>
  <c r="P136" i="21"/>
  <c r="Q136" i="21"/>
  <c r="R136" i="21"/>
  <c r="S136" i="21"/>
  <c r="T136" i="21"/>
  <c r="U136" i="21"/>
  <c r="V136" i="21"/>
  <c r="W136" i="21"/>
  <c r="X136" i="21"/>
  <c r="Y136" i="21"/>
  <c r="Z136" i="21"/>
  <c r="AA136" i="21"/>
  <c r="AB136" i="21"/>
  <c r="AC136" i="21"/>
  <c r="AD136" i="21"/>
  <c r="AE136" i="21"/>
  <c r="AF136" i="21"/>
  <c r="AG136" i="21"/>
  <c r="AH136" i="21"/>
  <c r="AI136" i="21"/>
  <c r="AJ136" i="21"/>
  <c r="AK136" i="21"/>
  <c r="AL136" i="21"/>
  <c r="AM136" i="21"/>
  <c r="O138" i="21"/>
  <c r="P137" i="21"/>
  <c r="P138" i="21"/>
  <c r="Q137" i="21"/>
  <c r="Q138" i="21"/>
  <c r="R137" i="21"/>
  <c r="R138" i="21"/>
  <c r="S137" i="21"/>
  <c r="S138" i="21"/>
  <c r="T137" i="21"/>
  <c r="T138" i="21"/>
  <c r="U137" i="21"/>
  <c r="U138" i="21"/>
  <c r="V137" i="21"/>
  <c r="V138" i="21"/>
  <c r="W137" i="21"/>
  <c r="W138" i="21"/>
  <c r="X137" i="21"/>
  <c r="X138" i="21"/>
  <c r="Y137" i="21"/>
  <c r="Y138" i="21"/>
  <c r="Z137" i="21"/>
  <c r="Z138" i="21"/>
  <c r="AA137" i="21"/>
  <c r="AA138" i="21"/>
  <c r="AB137" i="21"/>
  <c r="AB138" i="21"/>
  <c r="AC137" i="21"/>
  <c r="AC138" i="21"/>
  <c r="AD137" i="21"/>
  <c r="AD138" i="21"/>
  <c r="AE137" i="21"/>
  <c r="AE138" i="21"/>
  <c r="AF137" i="21"/>
  <c r="AF138" i="21"/>
  <c r="AG137" i="21"/>
  <c r="AG138" i="21"/>
  <c r="AH137" i="21"/>
  <c r="AH138" i="21"/>
  <c r="AI137" i="21"/>
  <c r="AI138" i="21"/>
  <c r="AJ137" i="21"/>
  <c r="AJ138" i="21"/>
  <c r="AK137" i="21"/>
  <c r="AK138" i="21"/>
  <c r="AL137" i="21"/>
  <c r="AL138" i="21"/>
  <c r="AM137" i="21"/>
  <c r="AM138" i="21"/>
  <c r="O140" i="21"/>
  <c r="P139" i="21"/>
  <c r="P140" i="21"/>
  <c r="Q139" i="21"/>
  <c r="Q140" i="21"/>
  <c r="R139" i="21"/>
  <c r="R140" i="21"/>
  <c r="S139" i="21"/>
  <c r="S140" i="21"/>
  <c r="T139" i="21"/>
  <c r="T140" i="21"/>
  <c r="U139" i="21"/>
  <c r="U140" i="21"/>
  <c r="V139" i="21"/>
  <c r="V140" i="21"/>
  <c r="W139" i="21"/>
  <c r="W140" i="21"/>
  <c r="X139" i="21"/>
  <c r="X140" i="21"/>
  <c r="Y139" i="21"/>
  <c r="Y140" i="21"/>
  <c r="Z139" i="21"/>
  <c r="Z140" i="21"/>
  <c r="AA139" i="21"/>
  <c r="AA140" i="21"/>
  <c r="AB139" i="21"/>
  <c r="AB140" i="21"/>
  <c r="AC139" i="21"/>
  <c r="AC140" i="21"/>
  <c r="AD139" i="21"/>
  <c r="AD140" i="21"/>
  <c r="AE139" i="21"/>
  <c r="AE140" i="21"/>
  <c r="AF139" i="21"/>
  <c r="AF140" i="21"/>
  <c r="AG139" i="21"/>
  <c r="AG140" i="21"/>
  <c r="AH139" i="21"/>
  <c r="AH140" i="21"/>
  <c r="AI139" i="21"/>
  <c r="AI140" i="21"/>
  <c r="AJ139" i="21"/>
  <c r="AJ140" i="21"/>
  <c r="AK139" i="21"/>
  <c r="AK140" i="21"/>
  <c r="AL139" i="21"/>
  <c r="AL140" i="21"/>
  <c r="AM139" i="21"/>
  <c r="AM140" i="21"/>
  <c r="O142" i="21"/>
  <c r="P141" i="21"/>
  <c r="P142" i="21"/>
  <c r="Q141" i="21"/>
  <c r="Q142" i="21"/>
  <c r="R141" i="21"/>
  <c r="R142" i="21"/>
  <c r="S141" i="21"/>
  <c r="S142" i="21"/>
  <c r="T141" i="21"/>
  <c r="T142" i="21"/>
  <c r="U141" i="21"/>
  <c r="U142" i="21"/>
  <c r="V141" i="21"/>
  <c r="V142" i="21"/>
  <c r="W141" i="21"/>
  <c r="W142" i="21"/>
  <c r="X141" i="21"/>
  <c r="X142" i="21"/>
  <c r="Y141" i="21"/>
  <c r="Y142" i="21"/>
  <c r="Z141" i="21"/>
  <c r="Z142" i="21"/>
  <c r="AA141" i="21"/>
  <c r="AA142" i="21"/>
  <c r="AB141" i="21"/>
  <c r="AB142" i="21"/>
  <c r="AC141" i="21"/>
  <c r="AC142" i="21"/>
  <c r="AD141" i="21"/>
  <c r="AD142" i="21"/>
  <c r="AE141" i="21"/>
  <c r="AE142" i="21"/>
  <c r="AF141" i="21"/>
  <c r="AF142" i="21"/>
  <c r="AG141" i="21"/>
  <c r="AG142" i="21"/>
  <c r="AH141" i="21"/>
  <c r="AH142" i="21"/>
  <c r="AI141" i="21"/>
  <c r="AI142" i="21"/>
  <c r="AJ141" i="21"/>
  <c r="AJ142" i="21"/>
  <c r="AK141" i="21"/>
  <c r="AK142" i="21"/>
  <c r="AL141" i="21"/>
  <c r="AL142" i="21"/>
  <c r="AM141" i="21"/>
  <c r="AM142" i="21"/>
  <c r="K143" i="21"/>
  <c r="L144" i="21"/>
  <c r="M144" i="21"/>
  <c r="N144" i="21"/>
  <c r="O144" i="21"/>
  <c r="P143" i="21"/>
  <c r="P144" i="21"/>
  <c r="Q143" i="21"/>
  <c r="Q144" i="21"/>
  <c r="R143" i="21"/>
  <c r="R144" i="21"/>
  <c r="S143" i="21"/>
  <c r="S144" i="21"/>
  <c r="T143" i="21"/>
  <c r="T144" i="21"/>
  <c r="U143" i="21"/>
  <c r="U144" i="21"/>
  <c r="V143" i="21"/>
  <c r="V144" i="21"/>
  <c r="W143" i="21"/>
  <c r="W144" i="21"/>
  <c r="X143" i="21"/>
  <c r="X144" i="21"/>
  <c r="Y143" i="21"/>
  <c r="Y144" i="21"/>
  <c r="Z143" i="21"/>
  <c r="Z144" i="21"/>
  <c r="AA143" i="21"/>
  <c r="AA144" i="21"/>
  <c r="AB143" i="21"/>
  <c r="AB144" i="21"/>
  <c r="AC143" i="21"/>
  <c r="AC144" i="21"/>
  <c r="AD143" i="21"/>
  <c r="AD144" i="21"/>
  <c r="AE143" i="21"/>
  <c r="AE144" i="21"/>
  <c r="AF143" i="21"/>
  <c r="AF144" i="21"/>
  <c r="AG143" i="21"/>
  <c r="AG144" i="21"/>
  <c r="AH143" i="21"/>
  <c r="AH144" i="21"/>
  <c r="AI143" i="21"/>
  <c r="AI144" i="21"/>
  <c r="AJ143" i="21"/>
  <c r="AJ144" i="21"/>
  <c r="AK143" i="21"/>
  <c r="AK144" i="21"/>
  <c r="AL143" i="21"/>
  <c r="AL144" i="21"/>
  <c r="AM143" i="21"/>
  <c r="AM144" i="21"/>
  <c r="P145" i="21"/>
  <c r="Q145" i="21"/>
  <c r="R145" i="21"/>
  <c r="S145" i="21"/>
  <c r="T145" i="21"/>
  <c r="U145" i="21"/>
  <c r="V145" i="21"/>
  <c r="W145" i="21"/>
  <c r="X145" i="21"/>
  <c r="Y145" i="21"/>
  <c r="Z145" i="21"/>
  <c r="AA145" i="21"/>
  <c r="AB145" i="21"/>
  <c r="AC145" i="21"/>
  <c r="AD145" i="21"/>
  <c r="AE145" i="21"/>
  <c r="AF145" i="21"/>
  <c r="AG145" i="21"/>
  <c r="AH145" i="21"/>
  <c r="AI145" i="21"/>
  <c r="AJ145" i="21"/>
  <c r="AK145" i="21"/>
  <c r="AL145" i="21"/>
  <c r="AM145" i="21"/>
  <c r="L150" i="21"/>
  <c r="M150" i="21"/>
  <c r="N150" i="21"/>
  <c r="O150" i="21"/>
  <c r="P150" i="21"/>
  <c r="Q150" i="21"/>
  <c r="R150" i="21"/>
  <c r="S150" i="21"/>
  <c r="T150" i="21"/>
  <c r="U150" i="21"/>
  <c r="V150" i="21"/>
  <c r="W150" i="21"/>
  <c r="X150" i="21"/>
  <c r="Y150" i="21"/>
  <c r="Z150" i="21"/>
  <c r="AA150" i="21"/>
  <c r="AB150" i="21"/>
  <c r="AC150" i="21"/>
  <c r="AD150" i="21"/>
  <c r="AE150" i="21"/>
  <c r="AF150" i="21"/>
  <c r="AG150" i="21"/>
  <c r="AH150" i="21"/>
  <c r="AI150" i="21"/>
  <c r="AJ150" i="21"/>
  <c r="AK150" i="21"/>
  <c r="AL150" i="21"/>
  <c r="AM150" i="21"/>
  <c r="AN150" i="21"/>
  <c r="AO150" i="21"/>
  <c r="AP150" i="21"/>
  <c r="AQ150" i="21"/>
  <c r="AR150" i="21"/>
  <c r="AS150" i="21"/>
  <c r="AT150" i="21"/>
  <c r="AU150" i="21"/>
  <c r="AV150" i="21"/>
  <c r="AW150" i="21"/>
  <c r="AX150" i="21"/>
  <c r="AY150" i="21"/>
  <c r="AZ150" i="21"/>
  <c r="BA150" i="21"/>
  <c r="BB150" i="21"/>
  <c r="BC150" i="21"/>
  <c r="L151" i="21"/>
  <c r="M151" i="21"/>
  <c r="N151" i="21"/>
  <c r="O151" i="21"/>
  <c r="P151" i="21"/>
  <c r="Q151" i="21"/>
  <c r="R151" i="21"/>
  <c r="S151" i="21"/>
  <c r="T151" i="21"/>
  <c r="U151" i="21"/>
  <c r="V151" i="21"/>
  <c r="W151" i="21"/>
  <c r="X151" i="21"/>
  <c r="Y151" i="21"/>
  <c r="Z151" i="21"/>
  <c r="AA151" i="21"/>
  <c r="AB151" i="21"/>
  <c r="AC151" i="21"/>
  <c r="AD151" i="21"/>
  <c r="AE151" i="21"/>
  <c r="AF151" i="21"/>
  <c r="AG151" i="21"/>
  <c r="AH151" i="21"/>
  <c r="AI151" i="21"/>
  <c r="AJ151" i="21"/>
  <c r="AK151" i="21"/>
  <c r="AL151" i="21"/>
  <c r="AM151" i="21"/>
  <c r="AN151" i="21"/>
  <c r="AO151" i="21"/>
  <c r="AP151" i="21"/>
  <c r="AQ151" i="21"/>
  <c r="AR151" i="21"/>
  <c r="AS151" i="21"/>
  <c r="AT151" i="21"/>
  <c r="AU151" i="21"/>
  <c r="AV151" i="21"/>
  <c r="AW151" i="21"/>
  <c r="AX151" i="21"/>
  <c r="AY151" i="21"/>
  <c r="AZ151" i="21"/>
  <c r="BA151" i="21"/>
  <c r="BB151" i="21"/>
  <c r="BC151" i="21"/>
  <c r="I152" i="21"/>
  <c r="P152" i="21"/>
  <c r="Q152" i="21"/>
  <c r="R152" i="21"/>
  <c r="S152" i="21"/>
  <c r="E154" i="21"/>
  <c r="F154" i="21"/>
  <c r="G154" i="21"/>
  <c r="H154" i="21"/>
  <c r="I153" i="21"/>
  <c r="I155" i="21"/>
  <c r="D156" i="21"/>
  <c r="M155" i="21"/>
  <c r="N155" i="21"/>
  <c r="O155" i="21"/>
  <c r="P155" i="21"/>
  <c r="L156" i="21"/>
  <c r="M156" i="21"/>
  <c r="N156" i="21"/>
  <c r="O156" i="21"/>
  <c r="P156" i="21"/>
  <c r="O180" i="21"/>
  <c r="P179" i="21"/>
  <c r="P181" i="21"/>
  <c r="D185" i="21"/>
  <c r="M184" i="21"/>
  <c r="L180" i="21"/>
  <c r="P180" i="21"/>
  <c r="Q179" i="21"/>
  <c r="Q181" i="21"/>
  <c r="N184" i="21"/>
  <c r="Q180" i="21"/>
  <c r="R179" i="21"/>
  <c r="R181" i="21"/>
  <c r="O184" i="21"/>
  <c r="R180" i="21"/>
  <c r="S179" i="21"/>
  <c r="S181" i="21"/>
  <c r="P184" i="21"/>
  <c r="L185" i="21"/>
  <c r="E156" i="21"/>
  <c r="Q156" i="21"/>
  <c r="M180" i="21"/>
  <c r="M185" i="21"/>
  <c r="F156" i="21"/>
  <c r="R156" i="21"/>
  <c r="N180" i="21"/>
  <c r="N185" i="21"/>
  <c r="G156" i="21"/>
  <c r="S156" i="21"/>
  <c r="O185" i="21"/>
  <c r="H156" i="21"/>
  <c r="I156" i="21"/>
  <c r="T156" i="21"/>
  <c r="U156" i="21"/>
  <c r="V156" i="21"/>
  <c r="W156" i="21"/>
  <c r="X156" i="21"/>
  <c r="C157" i="21"/>
  <c r="D157" i="21"/>
  <c r="I157" i="21"/>
  <c r="E159" i="21"/>
  <c r="F159" i="21"/>
  <c r="G159" i="21"/>
  <c r="H159" i="21"/>
  <c r="I158" i="21"/>
  <c r="I160" i="21"/>
  <c r="I161" i="21"/>
  <c r="D162" i="21"/>
  <c r="M161" i="21"/>
  <c r="N161" i="21"/>
  <c r="O161" i="21"/>
  <c r="P161" i="21"/>
  <c r="L162" i="21"/>
  <c r="M162" i="21"/>
  <c r="N162" i="21"/>
  <c r="O162" i="21"/>
  <c r="P162" i="21"/>
  <c r="D191" i="21"/>
  <c r="M190" i="21"/>
  <c r="N190" i="21"/>
  <c r="O190" i="21"/>
  <c r="P190" i="21"/>
  <c r="L191" i="21"/>
  <c r="E162" i="21"/>
  <c r="Q162" i="21"/>
  <c r="M191" i="21"/>
  <c r="F162" i="21"/>
  <c r="R162" i="21"/>
  <c r="N191" i="21"/>
  <c r="G162" i="21"/>
  <c r="S162" i="21"/>
  <c r="O191" i="21"/>
  <c r="H162" i="21"/>
  <c r="I162" i="21"/>
  <c r="T162" i="21"/>
  <c r="U162" i="21"/>
  <c r="V162" i="21"/>
  <c r="W162" i="21"/>
  <c r="X162" i="21"/>
  <c r="I163" i="21"/>
  <c r="E164" i="21"/>
  <c r="F164" i="21"/>
  <c r="G164" i="21"/>
  <c r="H164" i="21"/>
  <c r="I164" i="21"/>
  <c r="I165" i="21"/>
  <c r="D166" i="21"/>
  <c r="M165" i="21"/>
  <c r="N165" i="21"/>
  <c r="O165" i="21"/>
  <c r="P165" i="21"/>
  <c r="L166" i="21"/>
  <c r="M166" i="21"/>
  <c r="N166" i="21"/>
  <c r="O166" i="21"/>
  <c r="P166" i="21"/>
  <c r="E166" i="21"/>
  <c r="Q166" i="21"/>
  <c r="F166" i="21"/>
  <c r="R166" i="21"/>
  <c r="G166" i="21"/>
  <c r="S166" i="21"/>
  <c r="H166" i="21"/>
  <c r="I166" i="21"/>
  <c r="T166" i="21"/>
  <c r="U166" i="21"/>
  <c r="V166" i="21"/>
  <c r="W166" i="21"/>
  <c r="X166" i="21"/>
  <c r="L167" i="21"/>
  <c r="M167" i="21"/>
  <c r="N167" i="21"/>
  <c r="O167" i="21"/>
  <c r="P167" i="21"/>
  <c r="Q167" i="21"/>
  <c r="R167" i="21"/>
  <c r="S167" i="21"/>
  <c r="T167" i="21"/>
  <c r="U167" i="21"/>
  <c r="V167" i="21"/>
  <c r="W167" i="21"/>
  <c r="X167" i="21"/>
  <c r="Y167" i="21"/>
  <c r="Z167" i="21"/>
  <c r="AA167" i="21"/>
  <c r="AB167" i="21"/>
  <c r="AC167" i="21"/>
  <c r="AD167" i="21"/>
  <c r="AE167" i="21"/>
  <c r="AF167" i="21"/>
  <c r="AG167" i="21"/>
  <c r="AH167" i="21"/>
  <c r="AI167" i="21"/>
  <c r="AJ167" i="21"/>
  <c r="AK167" i="21"/>
  <c r="AL167" i="21"/>
  <c r="AM167" i="21"/>
  <c r="AE169" i="21"/>
  <c r="AF168" i="21"/>
  <c r="AF169" i="21"/>
  <c r="AG168" i="21"/>
  <c r="AG169" i="21"/>
  <c r="AH168" i="21"/>
  <c r="AH169" i="21"/>
  <c r="AI168" i="21"/>
  <c r="AI169" i="21"/>
  <c r="AJ168" i="21"/>
  <c r="AJ169" i="21"/>
  <c r="AK168" i="21"/>
  <c r="AK169" i="21"/>
  <c r="AL168" i="21"/>
  <c r="AL169" i="21"/>
  <c r="AM168" i="21"/>
  <c r="AM169" i="21"/>
  <c r="AE171" i="21"/>
  <c r="AF170" i="21"/>
  <c r="AF171" i="21"/>
  <c r="AG170" i="21"/>
  <c r="AG171" i="21"/>
  <c r="AH170" i="21"/>
  <c r="AH171" i="21"/>
  <c r="AI170" i="21"/>
  <c r="AI171" i="21"/>
  <c r="AJ170" i="21"/>
  <c r="AJ171" i="21"/>
  <c r="AK170" i="21"/>
  <c r="AK171" i="21"/>
  <c r="AL170" i="21"/>
  <c r="AL171" i="21"/>
  <c r="AM170" i="21"/>
  <c r="AM171" i="21"/>
  <c r="AE173" i="21"/>
  <c r="AF172" i="21"/>
  <c r="AF173" i="21"/>
  <c r="AG172" i="21"/>
  <c r="AG173" i="21"/>
  <c r="AH172" i="21"/>
  <c r="AH173" i="21"/>
  <c r="AI172" i="21"/>
  <c r="AI173" i="21"/>
  <c r="AJ172" i="21"/>
  <c r="AJ173" i="21"/>
  <c r="AK172" i="21"/>
  <c r="AK173" i="21"/>
  <c r="AL172" i="21"/>
  <c r="AL173" i="21"/>
  <c r="AM172" i="21"/>
  <c r="AM173" i="21"/>
  <c r="AE175" i="21"/>
  <c r="AF174" i="21"/>
  <c r="AF175" i="21"/>
  <c r="AG174" i="21"/>
  <c r="AG175" i="21"/>
  <c r="AH174" i="21"/>
  <c r="AH175" i="21"/>
  <c r="AI174" i="21"/>
  <c r="AI175" i="21"/>
  <c r="AJ174" i="21"/>
  <c r="AJ175" i="21"/>
  <c r="AK174" i="21"/>
  <c r="AK175" i="21"/>
  <c r="AL174" i="21"/>
  <c r="AL175" i="21"/>
  <c r="AM174" i="21"/>
  <c r="AM175" i="21"/>
  <c r="P176" i="21"/>
  <c r="AF176" i="21"/>
  <c r="AG176" i="21"/>
  <c r="AH176" i="21"/>
  <c r="AI176" i="21"/>
  <c r="AJ176" i="21"/>
  <c r="AK176" i="21"/>
  <c r="AL176" i="21"/>
  <c r="AM176" i="21"/>
  <c r="L179" i="21"/>
  <c r="M179" i="21"/>
  <c r="N179" i="21"/>
  <c r="O179" i="21"/>
  <c r="S180" i="21"/>
  <c r="T179" i="21"/>
  <c r="T180" i="21"/>
  <c r="U179" i="21"/>
  <c r="U180" i="21"/>
  <c r="V179" i="21"/>
  <c r="V180" i="21"/>
  <c r="W179" i="21"/>
  <c r="W180" i="21"/>
  <c r="X179" i="21"/>
  <c r="X180" i="21"/>
  <c r="Y179" i="21"/>
  <c r="Y180" i="21"/>
  <c r="Z179" i="21"/>
  <c r="Z180" i="21"/>
  <c r="AA179" i="21"/>
  <c r="AA180" i="21"/>
  <c r="AB179" i="21"/>
  <c r="AB180" i="21"/>
  <c r="AC179" i="21"/>
  <c r="AC180" i="21"/>
  <c r="AD179" i="21"/>
  <c r="AD180" i="21"/>
  <c r="AE179" i="21"/>
  <c r="AE180" i="21"/>
  <c r="AF179" i="21"/>
  <c r="AF180" i="21"/>
  <c r="AG179" i="21"/>
  <c r="AG180" i="21"/>
  <c r="AH179" i="21"/>
  <c r="AH180" i="21"/>
  <c r="AI179" i="21"/>
  <c r="AI180" i="21"/>
  <c r="AJ179" i="21"/>
  <c r="AJ180" i="21"/>
  <c r="AK179" i="21"/>
  <c r="AK180" i="21"/>
  <c r="AL179" i="21"/>
  <c r="AL180" i="21"/>
  <c r="AM179" i="21"/>
  <c r="AM180" i="21"/>
  <c r="I181" i="21"/>
  <c r="E183" i="21"/>
  <c r="F183" i="21"/>
  <c r="G183" i="21"/>
  <c r="H183" i="21"/>
  <c r="I182" i="21"/>
  <c r="L182" i="21"/>
  <c r="M182" i="21"/>
  <c r="N182" i="21"/>
  <c r="O182" i="21"/>
  <c r="P182" i="21"/>
  <c r="Q182" i="21"/>
  <c r="R182" i="21"/>
  <c r="S182" i="21"/>
  <c r="T182" i="21"/>
  <c r="U182" i="21"/>
  <c r="V182" i="21"/>
  <c r="W182" i="21"/>
  <c r="X182" i="21"/>
  <c r="I184" i="21"/>
  <c r="P185" i="21"/>
  <c r="O209" i="21"/>
  <c r="P208" i="21"/>
  <c r="P210" i="21"/>
  <c r="D214" i="21"/>
  <c r="M213" i="21"/>
  <c r="L209" i="21"/>
  <c r="P209" i="21"/>
  <c r="Q208" i="21"/>
  <c r="Q210" i="21"/>
  <c r="N213" i="21"/>
  <c r="Q209" i="21"/>
  <c r="R208" i="21"/>
  <c r="R210" i="21"/>
  <c r="O213" i="21"/>
  <c r="R209" i="21"/>
  <c r="S208" i="21"/>
  <c r="S210" i="21"/>
  <c r="P213" i="21"/>
  <c r="L214" i="21"/>
  <c r="E185" i="21"/>
  <c r="Q185" i="21"/>
  <c r="M209" i="21"/>
  <c r="M214" i="21"/>
  <c r="F185" i="21"/>
  <c r="R185" i="21"/>
  <c r="N209" i="21"/>
  <c r="N214" i="21"/>
  <c r="G185" i="21"/>
  <c r="S185" i="21"/>
  <c r="O214" i="21"/>
  <c r="H185" i="21"/>
  <c r="I185" i="21"/>
  <c r="T185" i="21"/>
  <c r="U185" i="21"/>
  <c r="V185" i="21"/>
  <c r="W185" i="21"/>
  <c r="X185" i="21"/>
  <c r="C186" i="21"/>
  <c r="D186" i="21"/>
  <c r="I186" i="21"/>
  <c r="E188" i="21"/>
  <c r="F188" i="21"/>
  <c r="G188" i="21"/>
  <c r="H188" i="21"/>
  <c r="I187" i="21"/>
  <c r="I189" i="21"/>
  <c r="I190" i="21"/>
  <c r="P191" i="21"/>
  <c r="D220" i="21"/>
  <c r="M219" i="21"/>
  <c r="N219" i="21"/>
  <c r="O219" i="21"/>
  <c r="P219" i="21"/>
  <c r="L220" i="21"/>
  <c r="E191" i="21"/>
  <c r="Q191" i="21"/>
  <c r="M220" i="21"/>
  <c r="F191" i="21"/>
  <c r="R191" i="21"/>
  <c r="N220" i="21"/>
  <c r="G191" i="21"/>
  <c r="S191" i="21"/>
  <c r="O220" i="21"/>
  <c r="H191" i="21"/>
  <c r="I191" i="21"/>
  <c r="T191" i="21"/>
  <c r="U191" i="21"/>
  <c r="V191" i="21"/>
  <c r="W191" i="21"/>
  <c r="X191" i="21"/>
  <c r="I192" i="21"/>
  <c r="E193" i="21"/>
  <c r="F193" i="21"/>
  <c r="G193" i="21"/>
  <c r="H193" i="21"/>
  <c r="I193" i="21"/>
  <c r="I194" i="21"/>
  <c r="D195" i="21"/>
  <c r="M194" i="21"/>
  <c r="N194" i="21"/>
  <c r="O194" i="21"/>
  <c r="P194" i="21"/>
  <c r="L195" i="21"/>
  <c r="M195" i="21"/>
  <c r="N195" i="21"/>
  <c r="O195" i="21"/>
  <c r="P195" i="21"/>
  <c r="D224" i="21"/>
  <c r="M223" i="21"/>
  <c r="N223" i="21"/>
  <c r="O223" i="21"/>
  <c r="P223" i="21"/>
  <c r="L224" i="21"/>
  <c r="E195" i="21"/>
  <c r="Q195" i="21"/>
  <c r="M224" i="21"/>
  <c r="F195" i="21"/>
  <c r="R195" i="21"/>
  <c r="N224" i="21"/>
  <c r="G195" i="21"/>
  <c r="S195" i="21"/>
  <c r="O224" i="21"/>
  <c r="H195" i="21"/>
  <c r="I195" i="21"/>
  <c r="T195" i="21"/>
  <c r="U195" i="21"/>
  <c r="V195" i="21"/>
  <c r="W195" i="21"/>
  <c r="X195" i="21"/>
  <c r="L196" i="21"/>
  <c r="M196" i="21"/>
  <c r="N196" i="21"/>
  <c r="O196" i="21"/>
  <c r="P196" i="21"/>
  <c r="Q196" i="21"/>
  <c r="R196" i="21"/>
  <c r="S196" i="21"/>
  <c r="T196" i="21"/>
  <c r="U196" i="21"/>
  <c r="V196" i="21"/>
  <c r="W196" i="21"/>
  <c r="X196" i="21"/>
  <c r="Y196" i="21"/>
  <c r="Z196" i="21"/>
  <c r="AA196" i="21"/>
  <c r="AB196" i="21"/>
  <c r="AC196" i="21"/>
  <c r="AD196" i="21"/>
  <c r="AE196" i="21"/>
  <c r="AF196" i="21"/>
  <c r="AG196" i="21"/>
  <c r="AH196" i="21"/>
  <c r="AI196" i="21"/>
  <c r="AJ196" i="21"/>
  <c r="AK196" i="21"/>
  <c r="AL196" i="21"/>
  <c r="AM196" i="21"/>
  <c r="AA198" i="21"/>
  <c r="AB197" i="21"/>
  <c r="AB198" i="21"/>
  <c r="AC197" i="21"/>
  <c r="AC198" i="21"/>
  <c r="AD197" i="21"/>
  <c r="AD198" i="21"/>
  <c r="AE197" i="21"/>
  <c r="AE198" i="21"/>
  <c r="AF197" i="21"/>
  <c r="AF198" i="21"/>
  <c r="AG197" i="21"/>
  <c r="AG198" i="21"/>
  <c r="AH197" i="21"/>
  <c r="AH198" i="21"/>
  <c r="AI197" i="21"/>
  <c r="AI198" i="21"/>
  <c r="AJ197" i="21"/>
  <c r="AJ198" i="21"/>
  <c r="AK197" i="21"/>
  <c r="AK198" i="21"/>
  <c r="AL197" i="21"/>
  <c r="AL198" i="21"/>
  <c r="AM197" i="21"/>
  <c r="AM198" i="21"/>
  <c r="AA200" i="21"/>
  <c r="AB199" i="21"/>
  <c r="AB200" i="21"/>
  <c r="AC199" i="21"/>
  <c r="AC200" i="21"/>
  <c r="AD199" i="21"/>
  <c r="AD200" i="21"/>
  <c r="AE199" i="21"/>
  <c r="AE200" i="21"/>
  <c r="AF199" i="21"/>
  <c r="AF200" i="21"/>
  <c r="AG199" i="21"/>
  <c r="AG200" i="21"/>
  <c r="AH199" i="21"/>
  <c r="AH200" i="21"/>
  <c r="AI199" i="21"/>
  <c r="AI200" i="21"/>
  <c r="AJ199" i="21"/>
  <c r="AJ200" i="21"/>
  <c r="AK199" i="21"/>
  <c r="AK200" i="21"/>
  <c r="AL199" i="21"/>
  <c r="AL200" i="21"/>
  <c r="AM199" i="21"/>
  <c r="AM200" i="21"/>
  <c r="AA202" i="21"/>
  <c r="AB201" i="21"/>
  <c r="AB202" i="21"/>
  <c r="AC201" i="21"/>
  <c r="AC202" i="21"/>
  <c r="AD201" i="21"/>
  <c r="AD202" i="21"/>
  <c r="AE201" i="21"/>
  <c r="AE202" i="21"/>
  <c r="AF201" i="21"/>
  <c r="AF202" i="21"/>
  <c r="AG201" i="21"/>
  <c r="AG202" i="21"/>
  <c r="AH201" i="21"/>
  <c r="AH202" i="21"/>
  <c r="AI201" i="21"/>
  <c r="AI202" i="21"/>
  <c r="AJ201" i="21"/>
  <c r="AJ202" i="21"/>
  <c r="AK201" i="21"/>
  <c r="AK202" i="21"/>
  <c r="AL201" i="21"/>
  <c r="AL202" i="21"/>
  <c r="AM201" i="21"/>
  <c r="AM202" i="21"/>
  <c r="AA204" i="21"/>
  <c r="AB203" i="21"/>
  <c r="AB204" i="21"/>
  <c r="AC203" i="21"/>
  <c r="AC204" i="21"/>
  <c r="AD203" i="21"/>
  <c r="AD204" i="21"/>
  <c r="AE203" i="21"/>
  <c r="AE204" i="21"/>
  <c r="AF203" i="21"/>
  <c r="AF204" i="21"/>
  <c r="AG203" i="21"/>
  <c r="AG204" i="21"/>
  <c r="AH203" i="21"/>
  <c r="AH204" i="21"/>
  <c r="AI203" i="21"/>
  <c r="AI204" i="21"/>
  <c r="AJ203" i="21"/>
  <c r="AJ204" i="21"/>
  <c r="AK203" i="21"/>
  <c r="AK204" i="21"/>
  <c r="AL203" i="21"/>
  <c r="AL204" i="21"/>
  <c r="AM203" i="21"/>
  <c r="AM204" i="21"/>
  <c r="P205" i="21"/>
  <c r="AB205" i="21"/>
  <c r="AC205" i="21"/>
  <c r="AD205" i="21"/>
  <c r="AE205" i="21"/>
  <c r="AF205" i="21"/>
  <c r="AG205" i="21"/>
  <c r="AH205" i="21"/>
  <c r="AI205" i="21"/>
  <c r="AJ205" i="21"/>
  <c r="AK205" i="21"/>
  <c r="AL205" i="21"/>
  <c r="AM205" i="21"/>
  <c r="L208" i="21"/>
  <c r="M208" i="21"/>
  <c r="N208" i="21"/>
  <c r="O208" i="21"/>
  <c r="S209" i="21"/>
  <c r="T208" i="21"/>
  <c r="T209" i="21"/>
  <c r="U208" i="21"/>
  <c r="U209" i="21"/>
  <c r="V208" i="21"/>
  <c r="V209" i="21"/>
  <c r="W208" i="21"/>
  <c r="W209" i="21"/>
  <c r="X208" i="21"/>
  <c r="X209" i="21"/>
  <c r="Y208" i="21"/>
  <c r="Y209" i="21"/>
  <c r="Z208" i="21"/>
  <c r="Z209" i="21"/>
  <c r="AA208" i="21"/>
  <c r="AA209" i="21"/>
  <c r="AB208" i="21"/>
  <c r="AB209" i="21"/>
  <c r="AC208" i="21"/>
  <c r="AC209" i="21"/>
  <c r="AD208" i="21"/>
  <c r="AD209" i="21"/>
  <c r="AE208" i="21"/>
  <c r="AE209" i="21"/>
  <c r="AF208" i="21"/>
  <c r="AF209" i="21"/>
  <c r="AG208" i="21"/>
  <c r="AG209" i="21"/>
  <c r="AH208" i="21"/>
  <c r="AH209" i="21"/>
  <c r="AI208" i="21"/>
  <c r="AI209" i="21"/>
  <c r="AJ208" i="21"/>
  <c r="AJ209" i="21"/>
  <c r="AK208" i="21"/>
  <c r="AK209" i="21"/>
  <c r="AL208" i="21"/>
  <c r="AL209" i="21"/>
  <c r="AM208" i="21"/>
  <c r="AM209" i="21"/>
  <c r="I210" i="21"/>
  <c r="E212" i="21"/>
  <c r="F212" i="21"/>
  <c r="G212" i="21"/>
  <c r="H212" i="21"/>
  <c r="I211" i="21"/>
  <c r="L211" i="21"/>
  <c r="M211" i="21"/>
  <c r="N211" i="21"/>
  <c r="O211" i="21"/>
  <c r="P211" i="21"/>
  <c r="Q211" i="21"/>
  <c r="R211" i="21"/>
  <c r="S211" i="21"/>
  <c r="T211" i="21"/>
  <c r="U211" i="21"/>
  <c r="V211" i="21"/>
  <c r="W211" i="21"/>
  <c r="X211" i="21"/>
  <c r="I213" i="21"/>
  <c r="P214" i="21"/>
  <c r="O238" i="21"/>
  <c r="P237" i="21"/>
  <c r="P239" i="21"/>
  <c r="D243" i="21"/>
  <c r="M242" i="21"/>
  <c r="L238" i="21"/>
  <c r="P238" i="21"/>
  <c r="Q237" i="21"/>
  <c r="Q239" i="21"/>
  <c r="N242" i="21"/>
  <c r="Q238" i="21"/>
  <c r="R237" i="21"/>
  <c r="R239" i="21"/>
  <c r="O242" i="21"/>
  <c r="R238" i="21"/>
  <c r="S237" i="21"/>
  <c r="S239" i="21"/>
  <c r="P242" i="21"/>
  <c r="L243" i="21"/>
  <c r="E214" i="21"/>
  <c r="Q214" i="21"/>
  <c r="M238" i="21"/>
  <c r="M243" i="21"/>
  <c r="F214" i="21"/>
  <c r="R214" i="21"/>
  <c r="N238" i="21"/>
  <c r="N243" i="21"/>
  <c r="G214" i="21"/>
  <c r="S214" i="21"/>
  <c r="O243" i="21"/>
  <c r="H214" i="21"/>
  <c r="I214" i="21"/>
  <c r="T214" i="21"/>
  <c r="U214" i="21"/>
  <c r="V214" i="21"/>
  <c r="W214" i="21"/>
  <c r="X214" i="21"/>
  <c r="D215" i="21"/>
  <c r="I215" i="21"/>
  <c r="E217" i="21"/>
  <c r="F217" i="21"/>
  <c r="G217" i="21"/>
  <c r="H217" i="21"/>
  <c r="I216" i="21"/>
  <c r="I218" i="21"/>
  <c r="I219" i="21"/>
  <c r="P220" i="21"/>
  <c r="D249" i="21"/>
  <c r="M248" i="21"/>
  <c r="N248" i="21"/>
  <c r="O248" i="21"/>
  <c r="P248" i="21"/>
  <c r="L249" i="21"/>
  <c r="E220" i="21"/>
  <c r="Q220" i="21"/>
  <c r="M249" i="21"/>
  <c r="F220" i="21"/>
  <c r="R220" i="21"/>
  <c r="N249" i="21"/>
  <c r="G220" i="21"/>
  <c r="S220" i="21"/>
  <c r="O249" i="21"/>
  <c r="H220" i="21"/>
  <c r="I220" i="21"/>
  <c r="T220" i="21"/>
  <c r="U220" i="21"/>
  <c r="V220" i="21"/>
  <c r="W220" i="21"/>
  <c r="X220" i="21"/>
  <c r="I221" i="21"/>
  <c r="E222" i="21"/>
  <c r="F222" i="21"/>
  <c r="G222" i="21"/>
  <c r="H222" i="21"/>
  <c r="I222" i="21"/>
  <c r="I223" i="21"/>
  <c r="P224" i="21"/>
  <c r="D253" i="21"/>
  <c r="M252" i="21"/>
  <c r="N252" i="21"/>
  <c r="O252" i="21"/>
  <c r="P252" i="21"/>
  <c r="L253" i="21"/>
  <c r="E224" i="21"/>
  <c r="Q224" i="21"/>
  <c r="M253" i="21"/>
  <c r="F224" i="21"/>
  <c r="R224" i="21"/>
  <c r="N253" i="21"/>
  <c r="G224" i="21"/>
  <c r="S224" i="21"/>
  <c r="O253" i="21"/>
  <c r="H224" i="21"/>
  <c r="I224" i="21"/>
  <c r="T224" i="21"/>
  <c r="U224" i="21"/>
  <c r="V224" i="21"/>
  <c r="W224" i="21"/>
  <c r="X224" i="21"/>
  <c r="L225" i="21"/>
  <c r="M225" i="21"/>
  <c r="N225" i="21"/>
  <c r="O225" i="21"/>
  <c r="P225" i="21"/>
  <c r="Q225" i="21"/>
  <c r="R225" i="21"/>
  <c r="S225" i="21"/>
  <c r="T225" i="21"/>
  <c r="U225" i="21"/>
  <c r="V225" i="21"/>
  <c r="W225" i="21"/>
  <c r="X225" i="21"/>
  <c r="Y225" i="21"/>
  <c r="Z225" i="21"/>
  <c r="AA225" i="21"/>
  <c r="AB225" i="21"/>
  <c r="AC225" i="21"/>
  <c r="AD225" i="21"/>
  <c r="AE225" i="21"/>
  <c r="AF225" i="21"/>
  <c r="AG225" i="21"/>
  <c r="AH225" i="21"/>
  <c r="AI225" i="21"/>
  <c r="AJ225" i="21"/>
  <c r="AK225" i="21"/>
  <c r="AL225" i="21"/>
  <c r="AM225" i="21"/>
  <c r="W227" i="21"/>
  <c r="X226" i="21"/>
  <c r="X227" i="21"/>
  <c r="Y226" i="21"/>
  <c r="Y227" i="21"/>
  <c r="Z226" i="21"/>
  <c r="Z227" i="21"/>
  <c r="AA226" i="21"/>
  <c r="AA227" i="21"/>
  <c r="AB226" i="21"/>
  <c r="AB227" i="21"/>
  <c r="AC226" i="21"/>
  <c r="AC227" i="21"/>
  <c r="AD226" i="21"/>
  <c r="AD227" i="21"/>
  <c r="AE226" i="21"/>
  <c r="AE227" i="21"/>
  <c r="AF226" i="21"/>
  <c r="AF227" i="21"/>
  <c r="AG226" i="21"/>
  <c r="AG227" i="21"/>
  <c r="AH226" i="21"/>
  <c r="AH227" i="21"/>
  <c r="AI226" i="21"/>
  <c r="AI227" i="21"/>
  <c r="AJ226" i="21"/>
  <c r="AJ227" i="21"/>
  <c r="AK226" i="21"/>
  <c r="AK227" i="21"/>
  <c r="AL226" i="21"/>
  <c r="AL227" i="21"/>
  <c r="AM226" i="21"/>
  <c r="AM227" i="21"/>
  <c r="W229" i="21"/>
  <c r="X228" i="21"/>
  <c r="X229" i="21"/>
  <c r="Y228" i="21"/>
  <c r="Y229" i="21"/>
  <c r="Z228" i="21"/>
  <c r="Z229" i="21"/>
  <c r="AA228" i="21"/>
  <c r="AA229" i="21"/>
  <c r="AB228" i="21"/>
  <c r="AB229" i="21"/>
  <c r="AC228" i="21"/>
  <c r="AC229" i="21"/>
  <c r="AD228" i="21"/>
  <c r="AD229" i="21"/>
  <c r="AE228" i="21"/>
  <c r="AE229" i="21"/>
  <c r="AF228" i="21"/>
  <c r="AF229" i="21"/>
  <c r="AG228" i="21"/>
  <c r="AG229" i="21"/>
  <c r="AH228" i="21"/>
  <c r="AH229" i="21"/>
  <c r="AI228" i="21"/>
  <c r="AI229" i="21"/>
  <c r="AJ228" i="21"/>
  <c r="AJ229" i="21"/>
  <c r="AK228" i="21"/>
  <c r="AK229" i="21"/>
  <c r="AL228" i="21"/>
  <c r="AL229" i="21"/>
  <c r="AM228" i="21"/>
  <c r="AM229" i="21"/>
  <c r="W231" i="21"/>
  <c r="X230" i="21"/>
  <c r="X231" i="21"/>
  <c r="Y230" i="21"/>
  <c r="Y231" i="21"/>
  <c r="Z230" i="21"/>
  <c r="Z231" i="21"/>
  <c r="AA230" i="21"/>
  <c r="AA231" i="21"/>
  <c r="AB230" i="21"/>
  <c r="AB231" i="21"/>
  <c r="AC230" i="21"/>
  <c r="AC231" i="21"/>
  <c r="AD230" i="21"/>
  <c r="AD231" i="21"/>
  <c r="AE230" i="21"/>
  <c r="AE231" i="21"/>
  <c r="AF230" i="21"/>
  <c r="AF231" i="21"/>
  <c r="AG230" i="21"/>
  <c r="AG231" i="21"/>
  <c r="AH230" i="21"/>
  <c r="AH231" i="21"/>
  <c r="AI230" i="21"/>
  <c r="AI231" i="21"/>
  <c r="AJ230" i="21"/>
  <c r="AJ231" i="21"/>
  <c r="AK230" i="21"/>
  <c r="AK231" i="21"/>
  <c r="AL230" i="21"/>
  <c r="AL231" i="21"/>
  <c r="AM230" i="21"/>
  <c r="AM231" i="21"/>
  <c r="W233" i="21"/>
  <c r="X232" i="21"/>
  <c r="X233" i="21"/>
  <c r="Y232" i="21"/>
  <c r="Y233" i="21"/>
  <c r="Z232" i="21"/>
  <c r="Z233" i="21"/>
  <c r="AA232" i="21"/>
  <c r="AA233" i="21"/>
  <c r="AB232" i="21"/>
  <c r="AB233" i="21"/>
  <c r="AC232" i="21"/>
  <c r="AC233" i="21"/>
  <c r="AD232" i="21"/>
  <c r="AD233" i="21"/>
  <c r="AE232" i="21"/>
  <c r="AE233" i="21"/>
  <c r="AF232" i="21"/>
  <c r="AF233" i="21"/>
  <c r="AG232" i="21"/>
  <c r="AG233" i="21"/>
  <c r="AH232" i="21"/>
  <c r="AH233" i="21"/>
  <c r="AI232" i="21"/>
  <c r="AI233" i="21"/>
  <c r="AJ232" i="21"/>
  <c r="AJ233" i="21"/>
  <c r="AK232" i="21"/>
  <c r="AK233" i="21"/>
  <c r="AL232" i="21"/>
  <c r="AL233" i="21"/>
  <c r="AM232" i="21"/>
  <c r="AM233" i="21"/>
  <c r="X234" i="21"/>
  <c r="Y234" i="21"/>
  <c r="Z234" i="21"/>
  <c r="AA234" i="21"/>
  <c r="AB234" i="21"/>
  <c r="AC234" i="21"/>
  <c r="AD234" i="21"/>
  <c r="AE234" i="21"/>
  <c r="AF234" i="21"/>
  <c r="AG234" i="21"/>
  <c r="AH234" i="21"/>
  <c r="AI234" i="21"/>
  <c r="AJ234" i="21"/>
  <c r="AK234" i="21"/>
  <c r="AL234" i="21"/>
  <c r="AM234" i="21"/>
  <c r="L237" i="21"/>
  <c r="M237" i="21"/>
  <c r="N237" i="21"/>
  <c r="O237" i="21"/>
  <c r="S238" i="21"/>
  <c r="T237" i="21"/>
  <c r="T238" i="21"/>
  <c r="U237" i="21"/>
  <c r="U238" i="21"/>
  <c r="V237" i="21"/>
  <c r="V238" i="21"/>
  <c r="W237" i="21"/>
  <c r="W238" i="21"/>
  <c r="X237" i="21"/>
  <c r="X238" i="21"/>
  <c r="Y237" i="21"/>
  <c r="Y238" i="21"/>
  <c r="Z237" i="21"/>
  <c r="Z238" i="21"/>
  <c r="AA237" i="21"/>
  <c r="AA238" i="21"/>
  <c r="AB237" i="21"/>
  <c r="AB238" i="21"/>
  <c r="AC237" i="21"/>
  <c r="AC238" i="21"/>
  <c r="AD237" i="21"/>
  <c r="AD238" i="21"/>
  <c r="AE237" i="21"/>
  <c r="AE238" i="21"/>
  <c r="AF237" i="21"/>
  <c r="AF238" i="21"/>
  <c r="AG237" i="21"/>
  <c r="AG238" i="21"/>
  <c r="AH237" i="21"/>
  <c r="AH238" i="21"/>
  <c r="AI237" i="21"/>
  <c r="AI238" i="21"/>
  <c r="AJ237" i="21"/>
  <c r="AJ238" i="21"/>
  <c r="AK237" i="21"/>
  <c r="AK238" i="21"/>
  <c r="AL237" i="21"/>
  <c r="AL238" i="21"/>
  <c r="AM237" i="21"/>
  <c r="AM238" i="21"/>
  <c r="I239" i="21"/>
  <c r="E241" i="21"/>
  <c r="F241" i="21"/>
  <c r="G241" i="21"/>
  <c r="H241" i="21"/>
  <c r="I240" i="21"/>
  <c r="L240" i="21"/>
  <c r="M240" i="21"/>
  <c r="N240" i="21"/>
  <c r="O240" i="21"/>
  <c r="P240" i="21"/>
  <c r="Q240" i="21"/>
  <c r="R240" i="21"/>
  <c r="S240" i="21"/>
  <c r="T240" i="21"/>
  <c r="U240" i="21"/>
  <c r="V240" i="21"/>
  <c r="W240" i="21"/>
  <c r="X240" i="21"/>
  <c r="I242" i="21"/>
  <c r="P243" i="21"/>
  <c r="O267" i="21"/>
  <c r="P266" i="21"/>
  <c r="P268" i="21"/>
  <c r="D272" i="21"/>
  <c r="M271" i="21"/>
  <c r="L267" i="21"/>
  <c r="P267" i="21"/>
  <c r="Q266" i="21"/>
  <c r="Q268" i="21"/>
  <c r="N271" i="21"/>
  <c r="Q267" i="21"/>
  <c r="R266" i="21"/>
  <c r="R268" i="21"/>
  <c r="O271" i="21"/>
  <c r="R267" i="21"/>
  <c r="S266" i="21"/>
  <c r="S268" i="21"/>
  <c r="P271" i="21"/>
  <c r="L272" i="21"/>
  <c r="E243" i="21"/>
  <c r="Q243" i="21"/>
  <c r="M267" i="21"/>
  <c r="M272" i="21"/>
  <c r="F243" i="21"/>
  <c r="R243" i="21"/>
  <c r="N267" i="21"/>
  <c r="N272" i="21"/>
  <c r="G243" i="21"/>
  <c r="S243" i="21"/>
  <c r="O272" i="21"/>
  <c r="H243" i="21"/>
  <c r="I243" i="21"/>
  <c r="T243" i="21"/>
  <c r="U243" i="21"/>
  <c r="V243" i="21"/>
  <c r="W243" i="21"/>
  <c r="X243" i="21"/>
  <c r="C244" i="21"/>
  <c r="D244" i="21"/>
  <c r="I244" i="21"/>
  <c r="E246" i="21"/>
  <c r="F246" i="21"/>
  <c r="G246" i="21"/>
  <c r="H246" i="21"/>
  <c r="I245" i="21"/>
  <c r="I247" i="21"/>
  <c r="I248" i="21"/>
  <c r="P249" i="21"/>
  <c r="D278" i="21"/>
  <c r="M277" i="21"/>
  <c r="N277" i="21"/>
  <c r="O277" i="21"/>
  <c r="P277" i="21"/>
  <c r="L278" i="21"/>
  <c r="E249" i="21"/>
  <c r="Q249" i="21"/>
  <c r="M278" i="21"/>
  <c r="F249" i="21"/>
  <c r="R249" i="21"/>
  <c r="N278" i="21"/>
  <c r="G249" i="21"/>
  <c r="S249" i="21"/>
  <c r="O278" i="21"/>
  <c r="H249" i="21"/>
  <c r="I249" i="21"/>
  <c r="T249" i="21"/>
  <c r="U249" i="21"/>
  <c r="V249" i="21"/>
  <c r="W249" i="21"/>
  <c r="X249" i="21"/>
  <c r="I250" i="21"/>
  <c r="E251" i="21"/>
  <c r="F251" i="21"/>
  <c r="G251" i="21"/>
  <c r="H251" i="21"/>
  <c r="I251" i="21"/>
  <c r="I252" i="21"/>
  <c r="P253" i="21"/>
  <c r="D282" i="21"/>
  <c r="M281" i="21"/>
  <c r="N281" i="21"/>
  <c r="O281" i="21"/>
  <c r="P281" i="21"/>
  <c r="L282" i="21"/>
  <c r="E253" i="21"/>
  <c r="Q253" i="21"/>
  <c r="M282" i="21"/>
  <c r="F253" i="21"/>
  <c r="R253" i="21"/>
  <c r="N282" i="21"/>
  <c r="G253" i="21"/>
  <c r="S253" i="21"/>
  <c r="O282" i="21"/>
  <c r="H253" i="21"/>
  <c r="I253" i="21"/>
  <c r="T253" i="21"/>
  <c r="U253" i="21"/>
  <c r="V253" i="21"/>
  <c r="W253" i="21"/>
  <c r="X253" i="21"/>
  <c r="L254" i="21"/>
  <c r="M254" i="21"/>
  <c r="N254" i="21"/>
  <c r="O254" i="21"/>
  <c r="P254" i="21"/>
  <c r="Q254" i="21"/>
  <c r="R254" i="21"/>
  <c r="S254" i="21"/>
  <c r="T254" i="21"/>
  <c r="U254" i="21"/>
  <c r="V254" i="21"/>
  <c r="W254" i="21"/>
  <c r="X254" i="21"/>
  <c r="Y254" i="21"/>
  <c r="Z254" i="21"/>
  <c r="AA254" i="21"/>
  <c r="AB254" i="21"/>
  <c r="AC254" i="21"/>
  <c r="AD254" i="21"/>
  <c r="AE254" i="21"/>
  <c r="AF254" i="21"/>
  <c r="AG254" i="21"/>
  <c r="AH254" i="21"/>
  <c r="AI254" i="21"/>
  <c r="AJ254" i="21"/>
  <c r="AK254" i="21"/>
  <c r="AL254" i="21"/>
  <c r="AM254" i="21"/>
  <c r="S256" i="21"/>
  <c r="T255" i="21"/>
  <c r="T256" i="21"/>
  <c r="U255" i="21"/>
  <c r="U256" i="21"/>
  <c r="V255" i="21"/>
  <c r="V256" i="21"/>
  <c r="W255" i="21"/>
  <c r="W256" i="21"/>
  <c r="X255" i="21"/>
  <c r="X256" i="21"/>
  <c r="Y255" i="21"/>
  <c r="Y256" i="21"/>
  <c r="Z255" i="21"/>
  <c r="Z256" i="21"/>
  <c r="AA255" i="21"/>
  <c r="AA256" i="21"/>
  <c r="AB255" i="21"/>
  <c r="AB256" i="21"/>
  <c r="AC255" i="21"/>
  <c r="AC256" i="21"/>
  <c r="AD255" i="21"/>
  <c r="AD256" i="21"/>
  <c r="AE255" i="21"/>
  <c r="AE256" i="21"/>
  <c r="AF255" i="21"/>
  <c r="AF256" i="21"/>
  <c r="AG255" i="21"/>
  <c r="AG256" i="21"/>
  <c r="AH255" i="21"/>
  <c r="AH256" i="21"/>
  <c r="AI255" i="21"/>
  <c r="AI256" i="21"/>
  <c r="AJ255" i="21"/>
  <c r="AJ256" i="21"/>
  <c r="AK255" i="21"/>
  <c r="AK256" i="21"/>
  <c r="AL255" i="21"/>
  <c r="AL256" i="21"/>
  <c r="AM255" i="21"/>
  <c r="AM256" i="21"/>
  <c r="S258" i="21"/>
  <c r="T257" i="21"/>
  <c r="T258" i="21"/>
  <c r="U257" i="21"/>
  <c r="U258" i="21"/>
  <c r="V257" i="21"/>
  <c r="V258" i="21"/>
  <c r="W257" i="21"/>
  <c r="W258" i="21"/>
  <c r="X257" i="21"/>
  <c r="X258" i="21"/>
  <c r="Y257" i="21"/>
  <c r="Y258" i="21"/>
  <c r="Z257" i="21"/>
  <c r="Z258" i="21"/>
  <c r="AA257" i="21"/>
  <c r="AA258" i="21"/>
  <c r="AB257" i="21"/>
  <c r="AB258" i="21"/>
  <c r="AC257" i="21"/>
  <c r="AC258" i="21"/>
  <c r="AD257" i="21"/>
  <c r="AD258" i="21"/>
  <c r="AE257" i="21"/>
  <c r="AE258" i="21"/>
  <c r="AF257" i="21"/>
  <c r="AF258" i="21"/>
  <c r="AG257" i="21"/>
  <c r="AG258" i="21"/>
  <c r="AH257" i="21"/>
  <c r="AH258" i="21"/>
  <c r="AI257" i="21"/>
  <c r="AI258" i="21"/>
  <c r="AJ257" i="21"/>
  <c r="AJ258" i="21"/>
  <c r="AK257" i="21"/>
  <c r="AK258" i="21"/>
  <c r="AL257" i="21"/>
  <c r="AL258" i="21"/>
  <c r="AM257" i="21"/>
  <c r="AM258" i="21"/>
  <c r="S260" i="21"/>
  <c r="T259" i="21"/>
  <c r="T260" i="21"/>
  <c r="U259" i="21"/>
  <c r="U260" i="21"/>
  <c r="V259" i="21"/>
  <c r="V260" i="21"/>
  <c r="W259" i="21"/>
  <c r="W260" i="21"/>
  <c r="X259" i="21"/>
  <c r="X260" i="21"/>
  <c r="Y259" i="21"/>
  <c r="Y260" i="21"/>
  <c r="Z259" i="21"/>
  <c r="Z260" i="21"/>
  <c r="AA259" i="21"/>
  <c r="AA260" i="21"/>
  <c r="AB259" i="21"/>
  <c r="AB260" i="21"/>
  <c r="AC259" i="21"/>
  <c r="AC260" i="21"/>
  <c r="AD259" i="21"/>
  <c r="AD260" i="21"/>
  <c r="AE259" i="21"/>
  <c r="AE260" i="21"/>
  <c r="AF259" i="21"/>
  <c r="AF260" i="21"/>
  <c r="AG259" i="21"/>
  <c r="AG260" i="21"/>
  <c r="AH259" i="21"/>
  <c r="AH260" i="21"/>
  <c r="AI259" i="21"/>
  <c r="AI260" i="21"/>
  <c r="AJ259" i="21"/>
  <c r="AJ260" i="21"/>
  <c r="AK259" i="21"/>
  <c r="AK260" i="21"/>
  <c r="AL259" i="21"/>
  <c r="AL260" i="21"/>
  <c r="AM259" i="21"/>
  <c r="AM260" i="21"/>
  <c r="S262" i="21"/>
  <c r="T261" i="21"/>
  <c r="T262" i="21"/>
  <c r="U261" i="21"/>
  <c r="U262" i="21"/>
  <c r="V261" i="21"/>
  <c r="V262" i="21"/>
  <c r="W261" i="21"/>
  <c r="W262" i="21"/>
  <c r="X261" i="21"/>
  <c r="X262" i="21"/>
  <c r="Y261" i="21"/>
  <c r="Y262" i="21"/>
  <c r="Z261" i="21"/>
  <c r="Z262" i="21"/>
  <c r="AA261" i="21"/>
  <c r="AA262" i="21"/>
  <c r="AB261" i="21"/>
  <c r="AB262" i="21"/>
  <c r="AC261" i="21"/>
  <c r="AC262" i="21"/>
  <c r="AD261" i="21"/>
  <c r="AD262" i="21"/>
  <c r="AE261" i="21"/>
  <c r="AE262" i="21"/>
  <c r="AF261" i="21"/>
  <c r="AF262" i="21"/>
  <c r="AG261" i="21"/>
  <c r="AG262" i="21"/>
  <c r="AH261" i="21"/>
  <c r="AH262" i="21"/>
  <c r="AI261" i="21"/>
  <c r="AI262" i="21"/>
  <c r="AJ261" i="21"/>
  <c r="AJ262" i="21"/>
  <c r="AK261" i="21"/>
  <c r="AK262" i="21"/>
  <c r="AL261" i="21"/>
  <c r="AL262" i="21"/>
  <c r="AM261" i="21"/>
  <c r="AM262" i="21"/>
  <c r="T263" i="21"/>
  <c r="U263" i="21"/>
  <c r="V263" i="21"/>
  <c r="W263" i="21"/>
  <c r="X263" i="21"/>
  <c r="Y263" i="21"/>
  <c r="Z263" i="21"/>
  <c r="AA263" i="21"/>
  <c r="AB263" i="21"/>
  <c r="AC263" i="21"/>
  <c r="AD263" i="21"/>
  <c r="AE263" i="21"/>
  <c r="AF263" i="21"/>
  <c r="AG263" i="21"/>
  <c r="AH263" i="21"/>
  <c r="AI263" i="21"/>
  <c r="AJ263" i="21"/>
  <c r="AK263" i="21"/>
  <c r="AL263" i="21"/>
  <c r="AM263" i="21"/>
  <c r="L266" i="21"/>
  <c r="M266" i="21"/>
  <c r="N266" i="21"/>
  <c r="O266" i="21"/>
  <c r="S267" i="21"/>
  <c r="T266" i="21"/>
  <c r="T267" i="21"/>
  <c r="U266" i="21"/>
  <c r="U267" i="21"/>
  <c r="V266" i="21"/>
  <c r="V267" i="21"/>
  <c r="W266" i="21"/>
  <c r="W267" i="21"/>
  <c r="X266" i="21"/>
  <c r="X267" i="21"/>
  <c r="Y266" i="21"/>
  <c r="Y267" i="21"/>
  <c r="Z266" i="21"/>
  <c r="Z267" i="21"/>
  <c r="AA266" i="21"/>
  <c r="AA267" i="21"/>
  <c r="AB266" i="21"/>
  <c r="AB267" i="21"/>
  <c r="AC266" i="21"/>
  <c r="AC267" i="21"/>
  <c r="AD266" i="21"/>
  <c r="AD267" i="21"/>
  <c r="AE266" i="21"/>
  <c r="AE267" i="21"/>
  <c r="AF266" i="21"/>
  <c r="AF267" i="21"/>
  <c r="AG266" i="21"/>
  <c r="AG267" i="21"/>
  <c r="AH266" i="21"/>
  <c r="AH267" i="21"/>
  <c r="AI266" i="21"/>
  <c r="AI267" i="21"/>
  <c r="AJ266" i="21"/>
  <c r="AJ267" i="21"/>
  <c r="AK266" i="21"/>
  <c r="AK267" i="21"/>
  <c r="AL266" i="21"/>
  <c r="AL267" i="21"/>
  <c r="AM266" i="21"/>
  <c r="AM267" i="21"/>
  <c r="I268" i="21"/>
  <c r="E270" i="21"/>
  <c r="F270" i="21"/>
  <c r="G270" i="21"/>
  <c r="H270" i="21"/>
  <c r="I269" i="21"/>
  <c r="L269" i="21"/>
  <c r="M269" i="21"/>
  <c r="N269" i="21"/>
  <c r="O269" i="21"/>
  <c r="P269" i="21"/>
  <c r="Q269" i="21"/>
  <c r="R269" i="21"/>
  <c r="S269" i="21"/>
  <c r="T269" i="21"/>
  <c r="U269" i="21"/>
  <c r="V269" i="21"/>
  <c r="W269" i="21"/>
  <c r="X269" i="21"/>
  <c r="I271" i="21"/>
  <c r="P272" i="21"/>
  <c r="E272" i="21"/>
  <c r="Q272" i="21"/>
  <c r="F272" i="21"/>
  <c r="R272" i="21"/>
  <c r="G272" i="21"/>
  <c r="S272" i="21"/>
  <c r="H272" i="21"/>
  <c r="I272" i="21"/>
  <c r="T272" i="21"/>
  <c r="U272" i="21"/>
  <c r="V272" i="21"/>
  <c r="W272" i="21"/>
  <c r="X272" i="21"/>
  <c r="C273" i="21"/>
  <c r="D273" i="21"/>
  <c r="I273" i="21"/>
  <c r="E275" i="21"/>
  <c r="F275" i="21"/>
  <c r="G275" i="21"/>
  <c r="H275" i="21"/>
  <c r="I274" i="21"/>
  <c r="I276" i="21"/>
  <c r="I277" i="21"/>
  <c r="P278" i="21"/>
  <c r="E278" i="21"/>
  <c r="Q278" i="21"/>
  <c r="F278" i="21"/>
  <c r="R278" i="21"/>
  <c r="G278" i="21"/>
  <c r="S278" i="21"/>
  <c r="H278" i="21"/>
  <c r="I278" i="21"/>
  <c r="T278" i="21"/>
  <c r="U278" i="21"/>
  <c r="V278" i="21"/>
  <c r="W278" i="21"/>
  <c r="X278" i="21"/>
  <c r="I279" i="21"/>
  <c r="E280" i="21"/>
  <c r="F280" i="21"/>
  <c r="G280" i="21"/>
  <c r="H280" i="21"/>
  <c r="I280" i="21"/>
  <c r="I281" i="21"/>
  <c r="P282" i="21"/>
  <c r="E282" i="21"/>
  <c r="Q282" i="21"/>
  <c r="F282" i="21"/>
  <c r="R282" i="21"/>
  <c r="G282" i="21"/>
  <c r="S282" i="21"/>
  <c r="H282" i="21"/>
  <c r="I282" i="21"/>
  <c r="T282" i="21"/>
  <c r="U282" i="21"/>
  <c r="V282" i="21"/>
  <c r="W282" i="21"/>
  <c r="X282" i="21"/>
  <c r="L283" i="21"/>
  <c r="M283" i="21"/>
  <c r="N283" i="21"/>
  <c r="O283" i="21"/>
  <c r="P283" i="21"/>
  <c r="Q283" i="21"/>
  <c r="R283" i="21"/>
  <c r="S283" i="21"/>
  <c r="T283" i="21"/>
  <c r="U283" i="21"/>
  <c r="V283" i="21"/>
  <c r="W283" i="21"/>
  <c r="X283" i="21"/>
  <c r="Y283" i="21"/>
  <c r="Z283" i="21"/>
  <c r="AA283" i="21"/>
  <c r="AB283" i="21"/>
  <c r="AC283" i="21"/>
  <c r="AD283" i="21"/>
  <c r="AE283" i="21"/>
  <c r="AF283" i="21"/>
  <c r="AG283" i="21"/>
  <c r="AH283" i="21"/>
  <c r="AI283" i="21"/>
  <c r="AJ283" i="21"/>
  <c r="AK283" i="21"/>
  <c r="AL283" i="21"/>
  <c r="AM283" i="21"/>
  <c r="O285" i="21"/>
  <c r="P284" i="21"/>
  <c r="P285" i="21"/>
  <c r="Q284" i="21"/>
  <c r="Q285" i="21"/>
  <c r="R284" i="21"/>
  <c r="R285" i="21"/>
  <c r="S284" i="21"/>
  <c r="S285" i="21"/>
  <c r="T284" i="21"/>
  <c r="T285" i="21"/>
  <c r="U284" i="21"/>
  <c r="U285" i="21"/>
  <c r="V284" i="21"/>
  <c r="V285" i="21"/>
  <c r="W284" i="21"/>
  <c r="W285" i="21"/>
  <c r="X284" i="21"/>
  <c r="X285" i="21"/>
  <c r="Y284" i="21"/>
  <c r="Y285" i="21"/>
  <c r="Z284" i="21"/>
  <c r="Z285" i="21"/>
  <c r="AA284" i="21"/>
  <c r="AA285" i="21"/>
  <c r="AB284" i="21"/>
  <c r="AB285" i="21"/>
  <c r="AC284" i="21"/>
  <c r="AC285" i="21"/>
  <c r="AD284" i="21"/>
  <c r="AD285" i="21"/>
  <c r="AE284" i="21"/>
  <c r="AE285" i="21"/>
  <c r="AF284" i="21"/>
  <c r="AF285" i="21"/>
  <c r="AG284" i="21"/>
  <c r="AG285" i="21"/>
  <c r="AH284" i="21"/>
  <c r="AH285" i="21"/>
  <c r="AI284" i="21"/>
  <c r="AI285" i="21"/>
  <c r="AJ284" i="21"/>
  <c r="AJ285" i="21"/>
  <c r="AK284" i="21"/>
  <c r="AK285" i="21"/>
  <c r="AL284" i="21"/>
  <c r="AL285" i="21"/>
  <c r="AM284" i="21"/>
  <c r="AM285" i="21"/>
  <c r="O287" i="21"/>
  <c r="P286" i="21"/>
  <c r="P287" i="21"/>
  <c r="Q286" i="21"/>
  <c r="Q287" i="21"/>
  <c r="R286" i="21"/>
  <c r="R287" i="21"/>
  <c r="S286" i="21"/>
  <c r="S287" i="21"/>
  <c r="T286" i="21"/>
  <c r="T287" i="21"/>
  <c r="U286" i="21"/>
  <c r="U287" i="21"/>
  <c r="V286" i="21"/>
  <c r="V287" i="21"/>
  <c r="W286" i="21"/>
  <c r="W287" i="21"/>
  <c r="X286" i="21"/>
  <c r="X287" i="21"/>
  <c r="Y286" i="21"/>
  <c r="Y287" i="21"/>
  <c r="Z286" i="21"/>
  <c r="Z287" i="21"/>
  <c r="AA286" i="21"/>
  <c r="AA287" i="21"/>
  <c r="AB286" i="21"/>
  <c r="AB287" i="21"/>
  <c r="AC286" i="21"/>
  <c r="AC287" i="21"/>
  <c r="AD286" i="21"/>
  <c r="AD287" i="21"/>
  <c r="AE286" i="21"/>
  <c r="AE287" i="21"/>
  <c r="AF286" i="21"/>
  <c r="AF287" i="21"/>
  <c r="AG286" i="21"/>
  <c r="AG287" i="21"/>
  <c r="AH286" i="21"/>
  <c r="AH287" i="21"/>
  <c r="AI286" i="21"/>
  <c r="AI287" i="21"/>
  <c r="AJ286" i="21"/>
  <c r="AJ287" i="21"/>
  <c r="AK286" i="21"/>
  <c r="AK287" i="21"/>
  <c r="AL286" i="21"/>
  <c r="AL287" i="21"/>
  <c r="AM286" i="21"/>
  <c r="AM287" i="21"/>
  <c r="O289" i="21"/>
  <c r="P288" i="21"/>
  <c r="P289" i="21"/>
  <c r="Q288" i="21"/>
  <c r="Q289" i="21"/>
  <c r="R288" i="21"/>
  <c r="R289" i="21"/>
  <c r="S288" i="21"/>
  <c r="S289" i="21"/>
  <c r="T288" i="21"/>
  <c r="T289" i="21"/>
  <c r="U288" i="21"/>
  <c r="U289" i="21"/>
  <c r="V288" i="21"/>
  <c r="V289" i="21"/>
  <c r="W288" i="21"/>
  <c r="W289" i="21"/>
  <c r="X288" i="21"/>
  <c r="X289" i="21"/>
  <c r="Y288" i="21"/>
  <c r="Y289" i="21"/>
  <c r="Z288" i="21"/>
  <c r="Z289" i="21"/>
  <c r="AA288" i="21"/>
  <c r="AA289" i="21"/>
  <c r="AB288" i="21"/>
  <c r="AB289" i="21"/>
  <c r="AC288" i="21"/>
  <c r="AC289" i="21"/>
  <c r="AD288" i="21"/>
  <c r="AD289" i="21"/>
  <c r="AE288" i="21"/>
  <c r="AE289" i="21"/>
  <c r="AF288" i="21"/>
  <c r="AF289" i="21"/>
  <c r="AG288" i="21"/>
  <c r="AG289" i="21"/>
  <c r="AH288" i="21"/>
  <c r="AH289" i="21"/>
  <c r="AI288" i="21"/>
  <c r="AI289" i="21"/>
  <c r="AJ288" i="21"/>
  <c r="AJ289" i="21"/>
  <c r="AK288" i="21"/>
  <c r="AK289" i="21"/>
  <c r="AL288" i="21"/>
  <c r="AL289" i="21"/>
  <c r="AM288" i="21"/>
  <c r="AM289" i="21"/>
  <c r="K290" i="21"/>
  <c r="L291" i="21"/>
  <c r="M291" i="21"/>
  <c r="N291" i="21"/>
  <c r="O291" i="21"/>
  <c r="P290" i="21"/>
  <c r="P291" i="21"/>
  <c r="Q290" i="21"/>
  <c r="Q291" i="21"/>
  <c r="R290" i="21"/>
  <c r="R291" i="21"/>
  <c r="S290" i="21"/>
  <c r="S291" i="21"/>
  <c r="T290" i="21"/>
  <c r="T291" i="21"/>
  <c r="U290" i="21"/>
  <c r="U291" i="21"/>
  <c r="V290" i="21"/>
  <c r="V291" i="21"/>
  <c r="W290" i="21"/>
  <c r="W291" i="21"/>
  <c r="X290" i="21"/>
  <c r="X291" i="21"/>
  <c r="Y290" i="21"/>
  <c r="Y291" i="21"/>
  <c r="Z290" i="21"/>
  <c r="Z291" i="21"/>
  <c r="AA290" i="21"/>
  <c r="AA291" i="21"/>
  <c r="AB290" i="21"/>
  <c r="AB291" i="21"/>
  <c r="AC290" i="21"/>
  <c r="AC291" i="21"/>
  <c r="AD290" i="21"/>
  <c r="AD291" i="21"/>
  <c r="AE290" i="21"/>
  <c r="AE291" i="21"/>
  <c r="AF290" i="21"/>
  <c r="AF291" i="21"/>
  <c r="AG290" i="21"/>
  <c r="AG291" i="21"/>
  <c r="AH290" i="21"/>
  <c r="AH291" i="21"/>
  <c r="AI290" i="21"/>
  <c r="AI291" i="21"/>
  <c r="AJ290" i="21"/>
  <c r="AJ291" i="21"/>
  <c r="AK290" i="21"/>
  <c r="AK291" i="21"/>
  <c r="AL290" i="21"/>
  <c r="AL291" i="21"/>
  <c r="AM290" i="21"/>
  <c r="AM291" i="21"/>
  <c r="P292" i="21"/>
  <c r="Q292" i="21"/>
  <c r="R292" i="21"/>
  <c r="S292" i="21"/>
  <c r="T292" i="21"/>
  <c r="U292" i="21"/>
  <c r="V292" i="21"/>
  <c r="W292" i="21"/>
  <c r="X292" i="21"/>
  <c r="Y292" i="21"/>
  <c r="Z292" i="21"/>
  <c r="AA292" i="21"/>
  <c r="AB292" i="21"/>
  <c r="AC292" i="21"/>
  <c r="AD292" i="21"/>
  <c r="AE292" i="21"/>
  <c r="AF292" i="21"/>
  <c r="AG292" i="21"/>
  <c r="AH292" i="21"/>
  <c r="AI292" i="21"/>
  <c r="AJ292" i="21"/>
  <c r="AK292" i="21"/>
  <c r="AL292" i="21"/>
  <c r="AM292" i="21"/>
  <c r="L297" i="21"/>
  <c r="M297" i="21"/>
  <c r="N297" i="21"/>
  <c r="O297" i="21"/>
  <c r="P297" i="21"/>
  <c r="Q297" i="21"/>
  <c r="R297" i="21"/>
  <c r="S297" i="21"/>
  <c r="T297" i="21"/>
  <c r="U297" i="21"/>
  <c r="V297" i="21"/>
  <c r="W297" i="21"/>
  <c r="X297" i="21"/>
  <c r="Y297" i="21"/>
  <c r="Z297" i="21"/>
  <c r="AA297" i="21"/>
  <c r="AB297" i="21"/>
  <c r="AC297" i="21"/>
  <c r="AD297" i="21"/>
  <c r="AE297" i="21"/>
  <c r="AF297" i="21"/>
  <c r="AG297" i="21"/>
  <c r="AH297" i="21"/>
  <c r="AI297" i="21"/>
  <c r="AJ297" i="21"/>
  <c r="AK297" i="21"/>
  <c r="AL297" i="21"/>
  <c r="AM297" i="21"/>
  <c r="AN297" i="21"/>
  <c r="AO297" i="21"/>
  <c r="AP297" i="21"/>
  <c r="AQ297" i="21"/>
  <c r="AR297" i="21"/>
  <c r="AS297" i="21"/>
  <c r="AT297" i="21"/>
  <c r="AU297" i="21"/>
  <c r="AV297" i="21"/>
  <c r="AW297" i="21"/>
  <c r="AX297" i="21"/>
  <c r="AY297" i="21"/>
  <c r="AZ297" i="21"/>
  <c r="BA297" i="21"/>
  <c r="BB297" i="21"/>
  <c r="BC297" i="21"/>
  <c r="L298" i="21"/>
  <c r="M298" i="21"/>
  <c r="N298" i="21"/>
  <c r="O298" i="21"/>
  <c r="P298" i="21"/>
  <c r="Q298" i="21"/>
  <c r="R298" i="21"/>
  <c r="S298" i="21"/>
  <c r="T298" i="21"/>
  <c r="U298" i="21"/>
  <c r="V298" i="21"/>
  <c r="W298" i="21"/>
  <c r="X298" i="21"/>
  <c r="Y298" i="21"/>
  <c r="Z298" i="21"/>
  <c r="AA298" i="21"/>
  <c r="AB298" i="21"/>
  <c r="AC298" i="21"/>
  <c r="AD298" i="21"/>
  <c r="AE298" i="21"/>
  <c r="AF298" i="21"/>
  <c r="AG298" i="21"/>
  <c r="AH298" i="21"/>
  <c r="AI298" i="21"/>
  <c r="AJ298" i="21"/>
  <c r="AK298" i="21"/>
  <c r="AL298" i="21"/>
  <c r="AM298" i="21"/>
  <c r="AN298" i="21"/>
  <c r="AO298" i="21"/>
  <c r="AP298" i="21"/>
  <c r="AQ298" i="21"/>
  <c r="AR298" i="21"/>
  <c r="AS298" i="21"/>
  <c r="AT298" i="21"/>
  <c r="AU298" i="21"/>
  <c r="AV298" i="21"/>
  <c r="AW298" i="21"/>
  <c r="AX298" i="21"/>
  <c r="AY298" i="21"/>
  <c r="AZ298" i="21"/>
  <c r="BA298" i="21"/>
  <c r="BB298" i="21"/>
  <c r="BC298" i="21"/>
  <c r="I299" i="21"/>
  <c r="P299" i="21"/>
  <c r="Q299" i="21"/>
  <c r="R299" i="21"/>
  <c r="S299" i="21"/>
  <c r="I300" i="21"/>
  <c r="I301" i="21"/>
  <c r="E303" i="21"/>
  <c r="F303" i="21"/>
  <c r="G303" i="21"/>
  <c r="H303" i="21"/>
  <c r="I302" i="21"/>
  <c r="I304" i="21"/>
  <c r="D305" i="21"/>
  <c r="M304" i="21"/>
  <c r="N304" i="21"/>
  <c r="O304" i="21"/>
  <c r="P304" i="21"/>
  <c r="L305" i="21"/>
  <c r="M305" i="21"/>
  <c r="N305" i="21"/>
  <c r="O305" i="21"/>
  <c r="P305" i="21"/>
  <c r="O331" i="21"/>
  <c r="P330" i="21"/>
  <c r="P332" i="21"/>
  <c r="D338" i="21"/>
  <c r="M337" i="21"/>
  <c r="L331" i="21"/>
  <c r="P331" i="21"/>
  <c r="Q330" i="21"/>
  <c r="Q332" i="21"/>
  <c r="N337" i="21"/>
  <c r="Q331" i="21"/>
  <c r="R330" i="21"/>
  <c r="R332" i="21"/>
  <c r="O337" i="21"/>
  <c r="R331" i="21"/>
  <c r="S330" i="21"/>
  <c r="S332" i="21"/>
  <c r="P337" i="21"/>
  <c r="L338" i="21"/>
  <c r="E305" i="21"/>
  <c r="Q305" i="21"/>
  <c r="M331" i="21"/>
  <c r="M338" i="21"/>
  <c r="F305" i="21"/>
  <c r="R305" i="21"/>
  <c r="N331" i="21"/>
  <c r="N338" i="21"/>
  <c r="G305" i="21"/>
  <c r="S305" i="21"/>
  <c r="O338" i="21"/>
  <c r="H305" i="21"/>
  <c r="I305" i="21"/>
  <c r="T305" i="21"/>
  <c r="U305" i="21"/>
  <c r="V305" i="21"/>
  <c r="W305" i="21"/>
  <c r="X305" i="21"/>
  <c r="C306" i="21"/>
  <c r="D306" i="21"/>
  <c r="I306" i="21"/>
  <c r="C307" i="21"/>
  <c r="D307" i="21"/>
  <c r="I307" i="21"/>
  <c r="C308" i="21"/>
  <c r="D308" i="21"/>
  <c r="I308" i="21"/>
  <c r="E310" i="21"/>
  <c r="F310" i="21"/>
  <c r="G310" i="21"/>
  <c r="H310" i="21"/>
  <c r="I309" i="21"/>
  <c r="I311" i="21"/>
  <c r="I312" i="21"/>
  <c r="D313" i="21"/>
  <c r="M312" i="21"/>
  <c r="N312" i="21"/>
  <c r="O312" i="21"/>
  <c r="P312" i="21"/>
  <c r="L313" i="21"/>
  <c r="M313" i="21"/>
  <c r="N313" i="21"/>
  <c r="O313" i="21"/>
  <c r="P313" i="21"/>
  <c r="D346" i="21"/>
  <c r="M345" i="21"/>
  <c r="N345" i="21"/>
  <c r="O345" i="21"/>
  <c r="P345" i="21"/>
  <c r="L346" i="21"/>
  <c r="E313" i="21"/>
  <c r="Q313" i="21"/>
  <c r="M346" i="21"/>
  <c r="F313" i="21"/>
  <c r="R313" i="21"/>
  <c r="N346" i="21"/>
  <c r="G313" i="21"/>
  <c r="S313" i="21"/>
  <c r="O346" i="21"/>
  <c r="H313" i="21"/>
  <c r="I313" i="21"/>
  <c r="T313" i="21"/>
  <c r="U313" i="21"/>
  <c r="V313" i="21"/>
  <c r="W313" i="21"/>
  <c r="X313" i="21"/>
  <c r="I314" i="21"/>
  <c r="E315" i="21"/>
  <c r="F315" i="21"/>
  <c r="G315" i="21"/>
  <c r="H315" i="21"/>
  <c r="I315" i="21"/>
  <c r="I316" i="21"/>
  <c r="D317" i="21"/>
  <c r="M316" i="21"/>
  <c r="N316" i="21"/>
  <c r="O316" i="21"/>
  <c r="P316" i="21"/>
  <c r="L317" i="21"/>
  <c r="M317" i="21"/>
  <c r="N317" i="21"/>
  <c r="O317" i="21"/>
  <c r="P317" i="21"/>
  <c r="E317" i="21"/>
  <c r="Q317" i="21"/>
  <c r="F317" i="21"/>
  <c r="R317" i="21"/>
  <c r="G317" i="21"/>
  <c r="S317" i="21"/>
  <c r="H317" i="21"/>
  <c r="I317" i="21"/>
  <c r="T317" i="21"/>
  <c r="U317" i="21"/>
  <c r="V317" i="21"/>
  <c r="W317" i="21"/>
  <c r="X317" i="21"/>
  <c r="L318" i="21"/>
  <c r="M318" i="21"/>
  <c r="N318" i="21"/>
  <c r="O318" i="21"/>
  <c r="P318" i="21"/>
  <c r="Q318" i="21"/>
  <c r="R318" i="21"/>
  <c r="S318" i="21"/>
  <c r="T318" i="21"/>
  <c r="U318" i="21"/>
  <c r="V318" i="21"/>
  <c r="W318" i="21"/>
  <c r="X318" i="21"/>
  <c r="Y318" i="21"/>
  <c r="Z318" i="21"/>
  <c r="AA318" i="21"/>
  <c r="AB318" i="21"/>
  <c r="AC318" i="21"/>
  <c r="AD318" i="21"/>
  <c r="AE318" i="21"/>
  <c r="AF318" i="21"/>
  <c r="AG318" i="21"/>
  <c r="AH318" i="21"/>
  <c r="AI318" i="21"/>
  <c r="AJ318" i="21"/>
  <c r="AK318" i="21"/>
  <c r="AL318" i="21"/>
  <c r="AM318" i="21"/>
  <c r="AE320" i="21"/>
  <c r="AF319" i="21"/>
  <c r="AF320" i="21"/>
  <c r="AG319" i="21"/>
  <c r="AG320" i="21"/>
  <c r="AH319" i="21"/>
  <c r="AH320" i="21"/>
  <c r="AI319" i="21"/>
  <c r="AI320" i="21"/>
  <c r="AJ319" i="21"/>
  <c r="AJ320" i="21"/>
  <c r="AK319" i="21"/>
  <c r="AK320" i="21"/>
  <c r="AL319" i="21"/>
  <c r="AL320" i="21"/>
  <c r="AM319" i="21"/>
  <c r="AM320" i="21"/>
  <c r="AE322" i="21"/>
  <c r="AF321" i="21"/>
  <c r="AF322" i="21"/>
  <c r="AG321" i="21"/>
  <c r="AG322" i="21"/>
  <c r="AH321" i="21"/>
  <c r="AH322" i="21"/>
  <c r="AI321" i="21"/>
  <c r="AI322" i="21"/>
  <c r="AJ321" i="21"/>
  <c r="AJ322" i="21"/>
  <c r="AK321" i="21"/>
  <c r="AK322" i="21"/>
  <c r="AL321" i="21"/>
  <c r="AL322" i="21"/>
  <c r="AM321" i="21"/>
  <c r="AM322" i="21"/>
  <c r="AE324" i="21"/>
  <c r="AF323" i="21"/>
  <c r="AF324" i="21"/>
  <c r="AG323" i="21"/>
  <c r="AG324" i="21"/>
  <c r="AH323" i="21"/>
  <c r="AH324" i="21"/>
  <c r="AI323" i="21"/>
  <c r="AI324" i="21"/>
  <c r="AJ323" i="21"/>
  <c r="AJ324" i="21"/>
  <c r="AK323" i="21"/>
  <c r="AK324" i="21"/>
  <c r="AL323" i="21"/>
  <c r="AL324" i="21"/>
  <c r="AM323" i="21"/>
  <c r="AM324" i="21"/>
  <c r="AE326" i="21"/>
  <c r="AF325" i="21"/>
  <c r="AF326" i="21"/>
  <c r="AG325" i="21"/>
  <c r="AG326" i="21"/>
  <c r="AH325" i="21"/>
  <c r="AH326" i="21"/>
  <c r="AI325" i="21"/>
  <c r="AI326" i="21"/>
  <c r="AJ325" i="21"/>
  <c r="AJ326" i="21"/>
  <c r="AK325" i="21"/>
  <c r="AK326" i="21"/>
  <c r="AL325" i="21"/>
  <c r="AL326" i="21"/>
  <c r="AM325" i="21"/>
  <c r="AM326" i="21"/>
  <c r="P327" i="21"/>
  <c r="AF327" i="21"/>
  <c r="AG327" i="21"/>
  <c r="AH327" i="21"/>
  <c r="AI327" i="21"/>
  <c r="AJ327" i="21"/>
  <c r="AK327" i="21"/>
  <c r="AL327" i="21"/>
  <c r="AM327" i="21"/>
  <c r="L330" i="21"/>
  <c r="M330" i="21"/>
  <c r="N330" i="21"/>
  <c r="O330" i="21"/>
  <c r="S331" i="21"/>
  <c r="T330" i="21"/>
  <c r="T331" i="21"/>
  <c r="U330" i="21"/>
  <c r="U331" i="21"/>
  <c r="V330" i="21"/>
  <c r="V331" i="21"/>
  <c r="W330" i="21"/>
  <c r="W331" i="21"/>
  <c r="X330" i="21"/>
  <c r="X331" i="21"/>
  <c r="Y330" i="21"/>
  <c r="Y331" i="21"/>
  <c r="Z330" i="21"/>
  <c r="Z331" i="21"/>
  <c r="AA330" i="21"/>
  <c r="AA331" i="21"/>
  <c r="AB330" i="21"/>
  <c r="AB331" i="21"/>
  <c r="AC330" i="21"/>
  <c r="AC331" i="21"/>
  <c r="AD330" i="21"/>
  <c r="AD331" i="21"/>
  <c r="AE330" i="21"/>
  <c r="AE331" i="21"/>
  <c r="AF330" i="21"/>
  <c r="AF331" i="21"/>
  <c r="AG330" i="21"/>
  <c r="AG331" i="21"/>
  <c r="AH330" i="21"/>
  <c r="AH331" i="21"/>
  <c r="AI330" i="21"/>
  <c r="AI331" i="21"/>
  <c r="AJ330" i="21"/>
  <c r="AJ331" i="21"/>
  <c r="AK330" i="21"/>
  <c r="AK331" i="21"/>
  <c r="AL330" i="21"/>
  <c r="AL331" i="21"/>
  <c r="AM330" i="21"/>
  <c r="AM331" i="21"/>
  <c r="I332" i="21"/>
  <c r="D333" i="21"/>
  <c r="I333" i="21"/>
  <c r="D334" i="21"/>
  <c r="I334" i="21"/>
  <c r="E336" i="21"/>
  <c r="F336" i="21"/>
  <c r="G336" i="21"/>
  <c r="H336" i="21"/>
  <c r="I335" i="21"/>
  <c r="L335" i="21"/>
  <c r="M335" i="21"/>
  <c r="N335" i="21"/>
  <c r="O335" i="21"/>
  <c r="P335" i="21"/>
  <c r="Q335" i="21"/>
  <c r="R335" i="21"/>
  <c r="S335" i="21"/>
  <c r="T335" i="21"/>
  <c r="U335" i="21"/>
  <c r="V335" i="21"/>
  <c r="W335" i="21"/>
  <c r="X335" i="21"/>
  <c r="I337" i="21"/>
  <c r="P338" i="21"/>
  <c r="O364" i="21"/>
  <c r="P363" i="21"/>
  <c r="P365" i="21"/>
  <c r="D371" i="21"/>
  <c r="M370" i="21"/>
  <c r="L364" i="21"/>
  <c r="P364" i="21"/>
  <c r="Q363" i="21"/>
  <c r="Q365" i="21"/>
  <c r="N370" i="21"/>
  <c r="Q364" i="21"/>
  <c r="R363" i="21"/>
  <c r="R365" i="21"/>
  <c r="O370" i="21"/>
  <c r="R364" i="21"/>
  <c r="S363" i="21"/>
  <c r="S365" i="21"/>
  <c r="P370" i="21"/>
  <c r="L371" i="21"/>
  <c r="E338" i="21"/>
  <c r="Q338" i="21"/>
  <c r="M364" i="21"/>
  <c r="M371" i="21"/>
  <c r="F338" i="21"/>
  <c r="R338" i="21"/>
  <c r="N364" i="21"/>
  <c r="N371" i="21"/>
  <c r="G338" i="21"/>
  <c r="S338" i="21"/>
  <c r="O371" i="21"/>
  <c r="H338" i="21"/>
  <c r="I338" i="21"/>
  <c r="T338" i="21"/>
  <c r="U338" i="21"/>
  <c r="V338" i="21"/>
  <c r="W338" i="21"/>
  <c r="X338" i="21"/>
  <c r="D339" i="21"/>
  <c r="I339" i="21"/>
  <c r="D340" i="21"/>
  <c r="I340" i="21"/>
  <c r="D341" i="21"/>
  <c r="I341" i="21"/>
  <c r="E343" i="21"/>
  <c r="F343" i="21"/>
  <c r="G343" i="21"/>
  <c r="H343" i="21"/>
  <c r="I342" i="21"/>
  <c r="I344" i="21"/>
  <c r="I345" i="21"/>
  <c r="P346" i="21"/>
  <c r="D379" i="21"/>
  <c r="M378" i="21"/>
  <c r="N378" i="21"/>
  <c r="O378" i="21"/>
  <c r="P378" i="21"/>
  <c r="L379" i="21"/>
  <c r="E346" i="21"/>
  <c r="Q346" i="21"/>
  <c r="M379" i="21"/>
  <c r="F346" i="21"/>
  <c r="R346" i="21"/>
  <c r="N379" i="21"/>
  <c r="G346" i="21"/>
  <c r="S346" i="21"/>
  <c r="O379" i="21"/>
  <c r="H346" i="21"/>
  <c r="I346" i="21"/>
  <c r="T346" i="21"/>
  <c r="U346" i="21"/>
  <c r="V346" i="21"/>
  <c r="W346" i="21"/>
  <c r="X346" i="21"/>
  <c r="I347" i="21"/>
  <c r="E348" i="21"/>
  <c r="F348" i="21"/>
  <c r="G348" i="21"/>
  <c r="H348" i="21"/>
  <c r="I348" i="21"/>
  <c r="I349" i="21"/>
  <c r="D350" i="21"/>
  <c r="M349" i="21"/>
  <c r="N349" i="21"/>
  <c r="O349" i="21"/>
  <c r="P349" i="21"/>
  <c r="L350" i="21"/>
  <c r="M350" i="21"/>
  <c r="N350" i="21"/>
  <c r="O350" i="21"/>
  <c r="P350" i="21"/>
  <c r="D383" i="21"/>
  <c r="M382" i="21"/>
  <c r="N382" i="21"/>
  <c r="O382" i="21"/>
  <c r="P382" i="21"/>
  <c r="L383" i="21"/>
  <c r="E350" i="21"/>
  <c r="Q350" i="21"/>
  <c r="M383" i="21"/>
  <c r="F350" i="21"/>
  <c r="R350" i="21"/>
  <c r="N383" i="21"/>
  <c r="G350" i="21"/>
  <c r="S350" i="21"/>
  <c r="O383" i="21"/>
  <c r="H350" i="21"/>
  <c r="I350" i="21"/>
  <c r="T350" i="21"/>
  <c r="U350" i="21"/>
  <c r="V350" i="21"/>
  <c r="W350" i="21"/>
  <c r="X350" i="21"/>
  <c r="L351" i="21"/>
  <c r="M351" i="21"/>
  <c r="N351" i="21"/>
  <c r="O351" i="21"/>
  <c r="P351" i="21"/>
  <c r="Q351" i="21"/>
  <c r="R351" i="21"/>
  <c r="S351" i="21"/>
  <c r="T351" i="21"/>
  <c r="U351" i="21"/>
  <c r="V351" i="21"/>
  <c r="W351" i="21"/>
  <c r="X351" i="21"/>
  <c r="Y351" i="21"/>
  <c r="Z351" i="21"/>
  <c r="AA351" i="21"/>
  <c r="AB351" i="21"/>
  <c r="AC351" i="21"/>
  <c r="AD351" i="21"/>
  <c r="AE351" i="21"/>
  <c r="AF351" i="21"/>
  <c r="AG351" i="21"/>
  <c r="AH351" i="21"/>
  <c r="AI351" i="21"/>
  <c r="AJ351" i="21"/>
  <c r="AK351" i="21"/>
  <c r="AL351" i="21"/>
  <c r="AM351" i="21"/>
  <c r="AA353" i="21"/>
  <c r="AB352" i="21"/>
  <c r="AB353" i="21"/>
  <c r="AC352" i="21"/>
  <c r="AC353" i="21"/>
  <c r="AD352" i="21"/>
  <c r="AD353" i="21"/>
  <c r="AE352" i="21"/>
  <c r="AE353" i="21"/>
  <c r="AF352" i="21"/>
  <c r="AF353" i="21"/>
  <c r="AG352" i="21"/>
  <c r="AG353" i="21"/>
  <c r="AH352" i="21"/>
  <c r="AH353" i="21"/>
  <c r="AI352" i="21"/>
  <c r="AI353" i="21"/>
  <c r="AJ352" i="21"/>
  <c r="AJ353" i="21"/>
  <c r="AK352" i="21"/>
  <c r="AK353" i="21"/>
  <c r="AL352" i="21"/>
  <c r="AL353" i="21"/>
  <c r="AM352" i="21"/>
  <c r="AM353" i="21"/>
  <c r="AA355" i="21"/>
  <c r="AB354" i="21"/>
  <c r="AB355" i="21"/>
  <c r="AC354" i="21"/>
  <c r="AC355" i="21"/>
  <c r="AD354" i="21"/>
  <c r="AD355" i="21"/>
  <c r="AE354" i="21"/>
  <c r="AE355" i="21"/>
  <c r="AF354" i="21"/>
  <c r="AF355" i="21"/>
  <c r="AG354" i="21"/>
  <c r="AG355" i="21"/>
  <c r="AH354" i="21"/>
  <c r="AH355" i="21"/>
  <c r="AI354" i="21"/>
  <c r="AI355" i="21"/>
  <c r="AJ354" i="21"/>
  <c r="AJ355" i="21"/>
  <c r="AK354" i="21"/>
  <c r="AK355" i="21"/>
  <c r="AL354" i="21"/>
  <c r="AL355" i="21"/>
  <c r="AM354" i="21"/>
  <c r="AM355" i="21"/>
  <c r="AA357" i="21"/>
  <c r="AB356" i="21"/>
  <c r="AB357" i="21"/>
  <c r="AC356" i="21"/>
  <c r="AC357" i="21"/>
  <c r="AD356" i="21"/>
  <c r="AD357" i="21"/>
  <c r="AE356" i="21"/>
  <c r="AE357" i="21"/>
  <c r="AF356" i="21"/>
  <c r="AF357" i="21"/>
  <c r="AG356" i="21"/>
  <c r="AG357" i="21"/>
  <c r="AH356" i="21"/>
  <c r="AH357" i="21"/>
  <c r="AI356" i="21"/>
  <c r="AI357" i="21"/>
  <c r="AJ356" i="21"/>
  <c r="AJ357" i="21"/>
  <c r="AK356" i="21"/>
  <c r="AK357" i="21"/>
  <c r="AL356" i="21"/>
  <c r="AL357" i="21"/>
  <c r="AM356" i="21"/>
  <c r="AM357" i="21"/>
  <c r="AA359" i="21"/>
  <c r="AB358" i="21"/>
  <c r="AB359" i="21"/>
  <c r="AC358" i="21"/>
  <c r="AC359" i="21"/>
  <c r="AD358" i="21"/>
  <c r="AD359" i="21"/>
  <c r="AE358" i="21"/>
  <c r="AE359" i="21"/>
  <c r="AF358" i="21"/>
  <c r="AF359" i="21"/>
  <c r="AG358" i="21"/>
  <c r="AG359" i="21"/>
  <c r="AH358" i="21"/>
  <c r="AH359" i="21"/>
  <c r="AI358" i="21"/>
  <c r="AI359" i="21"/>
  <c r="AJ358" i="21"/>
  <c r="AJ359" i="21"/>
  <c r="AK358" i="21"/>
  <c r="AK359" i="21"/>
  <c r="AL358" i="21"/>
  <c r="AL359" i="21"/>
  <c r="AM358" i="21"/>
  <c r="AM359" i="21"/>
  <c r="P360" i="21"/>
  <c r="AB360" i="21"/>
  <c r="AC360" i="21"/>
  <c r="AD360" i="21"/>
  <c r="AE360" i="21"/>
  <c r="AF360" i="21"/>
  <c r="AG360" i="21"/>
  <c r="AH360" i="21"/>
  <c r="AI360" i="21"/>
  <c r="AJ360" i="21"/>
  <c r="AK360" i="21"/>
  <c r="AL360" i="21"/>
  <c r="AM360" i="21"/>
  <c r="L363" i="21"/>
  <c r="M363" i="21"/>
  <c r="N363" i="21"/>
  <c r="O363" i="21"/>
  <c r="S364" i="21"/>
  <c r="T363" i="21"/>
  <c r="T364" i="21"/>
  <c r="U363" i="21"/>
  <c r="U364" i="21"/>
  <c r="V363" i="21"/>
  <c r="V364" i="21"/>
  <c r="W363" i="21"/>
  <c r="W364" i="21"/>
  <c r="X363" i="21"/>
  <c r="X364" i="21"/>
  <c r="Y363" i="21"/>
  <c r="Y364" i="21"/>
  <c r="Z363" i="21"/>
  <c r="Z364" i="21"/>
  <c r="AA363" i="21"/>
  <c r="AA364" i="21"/>
  <c r="AB363" i="21"/>
  <c r="AB364" i="21"/>
  <c r="AC363" i="21"/>
  <c r="AC364" i="21"/>
  <c r="AD363" i="21"/>
  <c r="AD364" i="21"/>
  <c r="AE363" i="21"/>
  <c r="AE364" i="21"/>
  <c r="AF363" i="21"/>
  <c r="AF364" i="21"/>
  <c r="AG363" i="21"/>
  <c r="AG364" i="21"/>
  <c r="AH363" i="21"/>
  <c r="AH364" i="21"/>
  <c r="AI363" i="21"/>
  <c r="AI364" i="21"/>
  <c r="AJ363" i="21"/>
  <c r="AJ364" i="21"/>
  <c r="AK363" i="21"/>
  <c r="AK364" i="21"/>
  <c r="AL363" i="21"/>
  <c r="AL364" i="21"/>
  <c r="AM363" i="21"/>
  <c r="AM364" i="21"/>
  <c r="I365" i="21"/>
  <c r="I366" i="21"/>
  <c r="I367" i="21"/>
  <c r="E369" i="21"/>
  <c r="F369" i="21"/>
  <c r="G369" i="21"/>
  <c r="H369" i="21"/>
  <c r="I368" i="21"/>
  <c r="L368" i="21"/>
  <c r="M368" i="21"/>
  <c r="N368" i="21"/>
  <c r="O368" i="21"/>
  <c r="P368" i="21"/>
  <c r="Q368" i="21"/>
  <c r="R368" i="21"/>
  <c r="S368" i="21"/>
  <c r="T368" i="21"/>
  <c r="U368" i="21"/>
  <c r="V368" i="21"/>
  <c r="W368" i="21"/>
  <c r="X368" i="21"/>
  <c r="I370" i="21"/>
  <c r="P371" i="21"/>
  <c r="O397" i="21"/>
  <c r="P396" i="21"/>
  <c r="P398" i="21"/>
  <c r="D404" i="21"/>
  <c r="M403" i="21"/>
  <c r="L397" i="21"/>
  <c r="P397" i="21"/>
  <c r="Q396" i="21"/>
  <c r="Q398" i="21"/>
  <c r="N403" i="21"/>
  <c r="Q397" i="21"/>
  <c r="R396" i="21"/>
  <c r="R398" i="21"/>
  <c r="O403" i="21"/>
  <c r="R397" i="21"/>
  <c r="S396" i="21"/>
  <c r="S398" i="21"/>
  <c r="P403" i="21"/>
  <c r="L404" i="21"/>
  <c r="E371" i="21"/>
  <c r="Q371" i="21"/>
  <c r="M397" i="21"/>
  <c r="M404" i="21"/>
  <c r="F371" i="21"/>
  <c r="R371" i="21"/>
  <c r="N397" i="21"/>
  <c r="N404" i="21"/>
  <c r="G371" i="21"/>
  <c r="S371" i="21"/>
  <c r="O404" i="21"/>
  <c r="H371" i="21"/>
  <c r="I371" i="21"/>
  <c r="T371" i="21"/>
  <c r="U371" i="21"/>
  <c r="V371" i="21"/>
  <c r="W371" i="21"/>
  <c r="X371" i="21"/>
  <c r="C372" i="21"/>
  <c r="D372" i="21"/>
  <c r="I372" i="21"/>
  <c r="C373" i="21"/>
  <c r="D373" i="21"/>
  <c r="I373" i="21"/>
  <c r="C374" i="21"/>
  <c r="D374" i="21"/>
  <c r="I374" i="21"/>
  <c r="E376" i="21"/>
  <c r="F376" i="21"/>
  <c r="G376" i="21"/>
  <c r="H376" i="21"/>
  <c r="I375" i="21"/>
  <c r="I377" i="21"/>
  <c r="I378" i="21"/>
  <c r="P379" i="21"/>
  <c r="D412" i="21"/>
  <c r="M411" i="21"/>
  <c r="N411" i="21"/>
  <c r="O411" i="21"/>
  <c r="P411" i="21"/>
  <c r="L412" i="21"/>
  <c r="E379" i="21"/>
  <c r="Q379" i="21"/>
  <c r="M412" i="21"/>
  <c r="F379" i="21"/>
  <c r="R379" i="21"/>
  <c r="N412" i="21"/>
  <c r="G379" i="21"/>
  <c r="S379" i="21"/>
  <c r="O412" i="21"/>
  <c r="H379" i="21"/>
  <c r="I379" i="21"/>
  <c r="T379" i="21"/>
  <c r="U379" i="21"/>
  <c r="V379" i="21"/>
  <c r="W379" i="21"/>
  <c r="X379" i="21"/>
  <c r="I380" i="21"/>
  <c r="E381" i="21"/>
  <c r="F381" i="21"/>
  <c r="G381" i="21"/>
  <c r="H381" i="21"/>
  <c r="I381" i="21"/>
  <c r="I382" i="21"/>
  <c r="P383" i="21"/>
  <c r="D416" i="21"/>
  <c r="M415" i="21"/>
  <c r="N415" i="21"/>
  <c r="O415" i="21"/>
  <c r="P415" i="21"/>
  <c r="L416" i="21"/>
  <c r="E383" i="21"/>
  <c r="Q383" i="21"/>
  <c r="M416" i="21"/>
  <c r="F383" i="21"/>
  <c r="R383" i="21"/>
  <c r="N416" i="21"/>
  <c r="G383" i="21"/>
  <c r="S383" i="21"/>
  <c r="O416" i="21"/>
  <c r="H383" i="21"/>
  <c r="I383" i="21"/>
  <c r="T383" i="21"/>
  <c r="U383" i="21"/>
  <c r="V383" i="21"/>
  <c r="W383" i="21"/>
  <c r="X383" i="21"/>
  <c r="L384" i="21"/>
  <c r="M384" i="21"/>
  <c r="N384" i="21"/>
  <c r="O384" i="21"/>
  <c r="P384" i="21"/>
  <c r="Q384" i="21"/>
  <c r="R384" i="21"/>
  <c r="S384" i="21"/>
  <c r="T384" i="21"/>
  <c r="U384" i="21"/>
  <c r="V384" i="21"/>
  <c r="W384" i="21"/>
  <c r="X384" i="21"/>
  <c r="Y384" i="21"/>
  <c r="Z384" i="21"/>
  <c r="AA384" i="21"/>
  <c r="AB384" i="21"/>
  <c r="AC384" i="21"/>
  <c r="AD384" i="21"/>
  <c r="AE384" i="21"/>
  <c r="AF384" i="21"/>
  <c r="AG384" i="21"/>
  <c r="AH384" i="21"/>
  <c r="AI384" i="21"/>
  <c r="AJ384" i="21"/>
  <c r="AK384" i="21"/>
  <c r="AL384" i="21"/>
  <c r="AM384" i="21"/>
  <c r="W386" i="21"/>
  <c r="X385" i="21"/>
  <c r="X386" i="21"/>
  <c r="Y385" i="21"/>
  <c r="Y386" i="21"/>
  <c r="Z385" i="21"/>
  <c r="Z386" i="21"/>
  <c r="AA385" i="21"/>
  <c r="AA386" i="21"/>
  <c r="AB385" i="21"/>
  <c r="AB386" i="21"/>
  <c r="AC385" i="21"/>
  <c r="AC386" i="21"/>
  <c r="AD385" i="21"/>
  <c r="AD386" i="21"/>
  <c r="AE385" i="21"/>
  <c r="AE386" i="21"/>
  <c r="AF385" i="21"/>
  <c r="AF386" i="21"/>
  <c r="AG385" i="21"/>
  <c r="AG386" i="21"/>
  <c r="AH385" i="21"/>
  <c r="AH386" i="21"/>
  <c r="AI385" i="21"/>
  <c r="AI386" i="21"/>
  <c r="AJ385" i="21"/>
  <c r="AJ386" i="21"/>
  <c r="AK385" i="21"/>
  <c r="AK386" i="21"/>
  <c r="AL385" i="21"/>
  <c r="AL386" i="21"/>
  <c r="AM385" i="21"/>
  <c r="AM386" i="21"/>
  <c r="W388" i="21"/>
  <c r="X387" i="21"/>
  <c r="X388" i="21"/>
  <c r="Y387" i="21"/>
  <c r="Y388" i="21"/>
  <c r="Z387" i="21"/>
  <c r="Z388" i="21"/>
  <c r="AA387" i="21"/>
  <c r="AA388" i="21"/>
  <c r="AB387" i="21"/>
  <c r="AB388" i="21"/>
  <c r="AC387" i="21"/>
  <c r="AC388" i="21"/>
  <c r="AD387" i="21"/>
  <c r="AD388" i="21"/>
  <c r="AE387" i="21"/>
  <c r="AE388" i="21"/>
  <c r="AF387" i="21"/>
  <c r="AF388" i="21"/>
  <c r="AG387" i="21"/>
  <c r="AG388" i="21"/>
  <c r="AH387" i="21"/>
  <c r="AH388" i="21"/>
  <c r="AI387" i="21"/>
  <c r="AI388" i="21"/>
  <c r="AJ387" i="21"/>
  <c r="AJ388" i="21"/>
  <c r="AK387" i="21"/>
  <c r="AK388" i="21"/>
  <c r="AL387" i="21"/>
  <c r="AL388" i="21"/>
  <c r="AM387" i="21"/>
  <c r="AM388" i="21"/>
  <c r="W390" i="21"/>
  <c r="X389" i="21"/>
  <c r="X390" i="21"/>
  <c r="Y389" i="21"/>
  <c r="Y390" i="21"/>
  <c r="Z389" i="21"/>
  <c r="Z390" i="21"/>
  <c r="AA389" i="21"/>
  <c r="AA390" i="21"/>
  <c r="AB389" i="21"/>
  <c r="AB390" i="21"/>
  <c r="AC389" i="21"/>
  <c r="AC390" i="21"/>
  <c r="AD389" i="21"/>
  <c r="AD390" i="21"/>
  <c r="AE389" i="21"/>
  <c r="AE390" i="21"/>
  <c r="AF389" i="21"/>
  <c r="AF390" i="21"/>
  <c r="AG389" i="21"/>
  <c r="AG390" i="21"/>
  <c r="AH389" i="21"/>
  <c r="AH390" i="21"/>
  <c r="AI389" i="21"/>
  <c r="AI390" i="21"/>
  <c r="AJ389" i="21"/>
  <c r="AJ390" i="21"/>
  <c r="AK389" i="21"/>
  <c r="AK390" i="21"/>
  <c r="AL389" i="21"/>
  <c r="AL390" i="21"/>
  <c r="AM389" i="21"/>
  <c r="AM390" i="21"/>
  <c r="W392" i="21"/>
  <c r="X391" i="21"/>
  <c r="X392" i="21"/>
  <c r="Y391" i="21"/>
  <c r="Y392" i="21"/>
  <c r="Z391" i="21"/>
  <c r="Z392" i="21"/>
  <c r="AA391" i="21"/>
  <c r="AA392" i="21"/>
  <c r="AB391" i="21"/>
  <c r="AB392" i="21"/>
  <c r="AC391" i="21"/>
  <c r="AC392" i="21"/>
  <c r="AD391" i="21"/>
  <c r="AD392" i="21"/>
  <c r="AE391" i="21"/>
  <c r="AE392" i="21"/>
  <c r="AF391" i="21"/>
  <c r="AF392" i="21"/>
  <c r="AG391" i="21"/>
  <c r="AG392" i="21"/>
  <c r="AH391" i="21"/>
  <c r="AH392" i="21"/>
  <c r="AI391" i="21"/>
  <c r="AI392" i="21"/>
  <c r="AJ391" i="21"/>
  <c r="AJ392" i="21"/>
  <c r="AK391" i="21"/>
  <c r="AK392" i="21"/>
  <c r="AL391" i="21"/>
  <c r="AL392" i="21"/>
  <c r="AM391" i="21"/>
  <c r="AM392" i="21"/>
  <c r="X393" i="21"/>
  <c r="Y393" i="21"/>
  <c r="Z393" i="21"/>
  <c r="AA393" i="21"/>
  <c r="AB393" i="21"/>
  <c r="AC393" i="21"/>
  <c r="AD393" i="21"/>
  <c r="AE393" i="21"/>
  <c r="AF393" i="21"/>
  <c r="AG393" i="21"/>
  <c r="AH393" i="21"/>
  <c r="AI393" i="21"/>
  <c r="AJ393" i="21"/>
  <c r="AK393" i="21"/>
  <c r="AL393" i="21"/>
  <c r="AM393" i="21"/>
  <c r="L396" i="21"/>
  <c r="M396" i="21"/>
  <c r="N396" i="21"/>
  <c r="O396" i="21"/>
  <c r="S397" i="21"/>
  <c r="T396" i="21"/>
  <c r="T397" i="21"/>
  <c r="U396" i="21"/>
  <c r="U397" i="21"/>
  <c r="V396" i="21"/>
  <c r="V397" i="21"/>
  <c r="W396" i="21"/>
  <c r="W397" i="21"/>
  <c r="X396" i="21"/>
  <c r="X397" i="21"/>
  <c r="Y396" i="21"/>
  <c r="Y397" i="21"/>
  <c r="Z396" i="21"/>
  <c r="Z397" i="21"/>
  <c r="AA396" i="21"/>
  <c r="AA397" i="21"/>
  <c r="AB396" i="21"/>
  <c r="AB397" i="21"/>
  <c r="AC396" i="21"/>
  <c r="AC397" i="21"/>
  <c r="AD396" i="21"/>
  <c r="AD397" i="21"/>
  <c r="AE396" i="21"/>
  <c r="AE397" i="21"/>
  <c r="AF396" i="21"/>
  <c r="AF397" i="21"/>
  <c r="AG396" i="21"/>
  <c r="AG397" i="21"/>
  <c r="AH396" i="21"/>
  <c r="AH397" i="21"/>
  <c r="AI396" i="21"/>
  <c r="AI397" i="21"/>
  <c r="AJ396" i="21"/>
  <c r="AJ397" i="21"/>
  <c r="AK396" i="21"/>
  <c r="AK397" i="21"/>
  <c r="AL396" i="21"/>
  <c r="AL397" i="21"/>
  <c r="AM396" i="21"/>
  <c r="AM397" i="21"/>
  <c r="I398" i="21"/>
  <c r="I399" i="21"/>
  <c r="I400" i="21"/>
  <c r="E402" i="21"/>
  <c r="F402" i="21"/>
  <c r="G402" i="21"/>
  <c r="H402" i="21"/>
  <c r="I401" i="21"/>
  <c r="L401" i="21"/>
  <c r="M401" i="21"/>
  <c r="N401" i="21"/>
  <c r="O401" i="21"/>
  <c r="P401" i="21"/>
  <c r="Q401" i="21"/>
  <c r="R401" i="21"/>
  <c r="S401" i="21"/>
  <c r="T401" i="21"/>
  <c r="U401" i="21"/>
  <c r="V401" i="21"/>
  <c r="W401" i="21"/>
  <c r="X401" i="21"/>
  <c r="I403" i="21"/>
  <c r="P404" i="21"/>
  <c r="O430" i="21"/>
  <c r="P429" i="21"/>
  <c r="P431" i="21"/>
  <c r="D437" i="21"/>
  <c r="M436" i="21"/>
  <c r="L430" i="21"/>
  <c r="P430" i="21"/>
  <c r="Q429" i="21"/>
  <c r="Q431" i="21"/>
  <c r="N436" i="21"/>
  <c r="Q430" i="21"/>
  <c r="R429" i="21"/>
  <c r="R431" i="21"/>
  <c r="O436" i="21"/>
  <c r="R430" i="21"/>
  <c r="S429" i="21"/>
  <c r="S431" i="21"/>
  <c r="P436" i="21"/>
  <c r="L437" i="21"/>
  <c r="E404" i="21"/>
  <c r="Q404" i="21"/>
  <c r="M430" i="21"/>
  <c r="M437" i="21"/>
  <c r="F404" i="21"/>
  <c r="R404" i="21"/>
  <c r="N430" i="21"/>
  <c r="N437" i="21"/>
  <c r="G404" i="21"/>
  <c r="S404" i="21"/>
  <c r="O437" i="21"/>
  <c r="H404" i="21"/>
  <c r="I404" i="21"/>
  <c r="T404" i="21"/>
  <c r="U404" i="21"/>
  <c r="V404" i="21"/>
  <c r="W404" i="21"/>
  <c r="X404" i="21"/>
  <c r="C405" i="21"/>
  <c r="D405" i="21"/>
  <c r="I405" i="21"/>
  <c r="C406" i="21"/>
  <c r="D406" i="21"/>
  <c r="I406" i="21"/>
  <c r="C407" i="21"/>
  <c r="D407" i="21"/>
  <c r="I407" i="21"/>
  <c r="E409" i="21"/>
  <c r="F409" i="21"/>
  <c r="G409" i="21"/>
  <c r="H409" i="21"/>
  <c r="I408" i="21"/>
  <c r="I410" i="21"/>
  <c r="I411" i="21"/>
  <c r="P412" i="21"/>
  <c r="D445" i="21"/>
  <c r="M444" i="21"/>
  <c r="N444" i="21"/>
  <c r="O444" i="21"/>
  <c r="P444" i="21"/>
  <c r="L445" i="21"/>
  <c r="E412" i="21"/>
  <c r="Q412" i="21"/>
  <c r="M445" i="21"/>
  <c r="F412" i="21"/>
  <c r="R412" i="21"/>
  <c r="N445" i="21"/>
  <c r="G412" i="21"/>
  <c r="S412" i="21"/>
  <c r="O445" i="21"/>
  <c r="H412" i="21"/>
  <c r="I412" i="21"/>
  <c r="T412" i="21"/>
  <c r="U412" i="21"/>
  <c r="V412" i="21"/>
  <c r="W412" i="21"/>
  <c r="X412" i="21"/>
  <c r="I413" i="21"/>
  <c r="E414" i="21"/>
  <c r="F414" i="21"/>
  <c r="G414" i="21"/>
  <c r="H414" i="21"/>
  <c r="I414" i="21"/>
  <c r="I415" i="21"/>
  <c r="P416" i="21"/>
  <c r="D449" i="21"/>
  <c r="M448" i="21"/>
  <c r="N448" i="21"/>
  <c r="O448" i="21"/>
  <c r="P448" i="21"/>
  <c r="L449" i="21"/>
  <c r="E416" i="21"/>
  <c r="Q416" i="21"/>
  <c r="M449" i="21"/>
  <c r="F416" i="21"/>
  <c r="R416" i="21"/>
  <c r="N449" i="21"/>
  <c r="G416" i="21"/>
  <c r="S416" i="21"/>
  <c r="O449" i="21"/>
  <c r="H416" i="21"/>
  <c r="I416" i="21"/>
  <c r="T416" i="21"/>
  <c r="U416" i="21"/>
  <c r="V416" i="21"/>
  <c r="W416" i="21"/>
  <c r="X416" i="21"/>
  <c r="L417" i="21"/>
  <c r="M417" i="21"/>
  <c r="N417" i="21"/>
  <c r="O417" i="21"/>
  <c r="P417" i="21"/>
  <c r="Q417" i="21"/>
  <c r="R417" i="21"/>
  <c r="S417" i="21"/>
  <c r="T417" i="21"/>
  <c r="U417" i="21"/>
  <c r="V417" i="21"/>
  <c r="W417" i="21"/>
  <c r="X417" i="21"/>
  <c r="Y417" i="21"/>
  <c r="Z417" i="21"/>
  <c r="AA417" i="21"/>
  <c r="AB417" i="21"/>
  <c r="AC417" i="21"/>
  <c r="AD417" i="21"/>
  <c r="AE417" i="21"/>
  <c r="AF417" i="21"/>
  <c r="AG417" i="21"/>
  <c r="AH417" i="21"/>
  <c r="AI417" i="21"/>
  <c r="AJ417" i="21"/>
  <c r="AK417" i="21"/>
  <c r="AL417" i="21"/>
  <c r="AM417" i="21"/>
  <c r="S419" i="21"/>
  <c r="T418" i="21"/>
  <c r="T419" i="21"/>
  <c r="U418" i="21"/>
  <c r="U419" i="21"/>
  <c r="V418" i="21"/>
  <c r="V419" i="21"/>
  <c r="W418" i="21"/>
  <c r="W419" i="21"/>
  <c r="X418" i="21"/>
  <c r="X419" i="21"/>
  <c r="Y418" i="21"/>
  <c r="Y419" i="21"/>
  <c r="Z418" i="21"/>
  <c r="Z419" i="21"/>
  <c r="AA418" i="21"/>
  <c r="AA419" i="21"/>
  <c r="AB418" i="21"/>
  <c r="AB419" i="21"/>
  <c r="AC418" i="21"/>
  <c r="AC419" i="21"/>
  <c r="AD418" i="21"/>
  <c r="AD419" i="21"/>
  <c r="AE418" i="21"/>
  <c r="AE419" i="21"/>
  <c r="AF418" i="21"/>
  <c r="AF419" i="21"/>
  <c r="AG418" i="21"/>
  <c r="AG419" i="21"/>
  <c r="AH418" i="21"/>
  <c r="AH419" i="21"/>
  <c r="AI418" i="21"/>
  <c r="AI419" i="21"/>
  <c r="AJ418" i="21"/>
  <c r="AJ419" i="21"/>
  <c r="AK418" i="21"/>
  <c r="AK419" i="21"/>
  <c r="AL418" i="21"/>
  <c r="AL419" i="21"/>
  <c r="AM418" i="21"/>
  <c r="AM419" i="21"/>
  <c r="S421" i="21"/>
  <c r="T420" i="21"/>
  <c r="T421" i="21"/>
  <c r="U420" i="21"/>
  <c r="U421" i="21"/>
  <c r="V420" i="21"/>
  <c r="V421" i="21"/>
  <c r="W420" i="21"/>
  <c r="W421" i="21"/>
  <c r="X420" i="21"/>
  <c r="X421" i="21"/>
  <c r="Y420" i="21"/>
  <c r="Y421" i="21"/>
  <c r="Z420" i="21"/>
  <c r="Z421" i="21"/>
  <c r="AA420" i="21"/>
  <c r="AA421" i="21"/>
  <c r="AB420" i="21"/>
  <c r="AB421" i="21"/>
  <c r="AC420" i="21"/>
  <c r="AC421" i="21"/>
  <c r="AD420" i="21"/>
  <c r="AD421" i="21"/>
  <c r="AE420" i="21"/>
  <c r="AE421" i="21"/>
  <c r="AF420" i="21"/>
  <c r="AF421" i="21"/>
  <c r="AG420" i="21"/>
  <c r="AG421" i="21"/>
  <c r="AH420" i="21"/>
  <c r="AH421" i="21"/>
  <c r="AI420" i="21"/>
  <c r="AI421" i="21"/>
  <c r="AJ420" i="21"/>
  <c r="AJ421" i="21"/>
  <c r="AK420" i="21"/>
  <c r="AK421" i="21"/>
  <c r="AL420" i="21"/>
  <c r="AL421" i="21"/>
  <c r="AM420" i="21"/>
  <c r="AM421" i="21"/>
  <c r="S423" i="21"/>
  <c r="T422" i="21"/>
  <c r="T423" i="21"/>
  <c r="U422" i="21"/>
  <c r="U423" i="21"/>
  <c r="V422" i="21"/>
  <c r="V423" i="21"/>
  <c r="W422" i="21"/>
  <c r="W423" i="21"/>
  <c r="X422" i="21"/>
  <c r="X423" i="21"/>
  <c r="Y422" i="21"/>
  <c r="Y423" i="21"/>
  <c r="Z422" i="21"/>
  <c r="Z423" i="21"/>
  <c r="AA422" i="21"/>
  <c r="AA423" i="21"/>
  <c r="AB422" i="21"/>
  <c r="AB423" i="21"/>
  <c r="AC422" i="21"/>
  <c r="AC423" i="21"/>
  <c r="AD422" i="21"/>
  <c r="AD423" i="21"/>
  <c r="AE422" i="21"/>
  <c r="AE423" i="21"/>
  <c r="AF422" i="21"/>
  <c r="AF423" i="21"/>
  <c r="AG422" i="21"/>
  <c r="AG423" i="21"/>
  <c r="AH422" i="21"/>
  <c r="AH423" i="21"/>
  <c r="AI422" i="21"/>
  <c r="AI423" i="21"/>
  <c r="AJ422" i="21"/>
  <c r="AJ423" i="21"/>
  <c r="AK422" i="21"/>
  <c r="AK423" i="21"/>
  <c r="AL422" i="21"/>
  <c r="AL423" i="21"/>
  <c r="AM422" i="21"/>
  <c r="AM423" i="21"/>
  <c r="S425" i="21"/>
  <c r="T424" i="21"/>
  <c r="T425" i="21"/>
  <c r="U424" i="21"/>
  <c r="U425" i="21"/>
  <c r="V424" i="21"/>
  <c r="V425" i="21"/>
  <c r="W424" i="21"/>
  <c r="W425" i="21"/>
  <c r="X424" i="21"/>
  <c r="X425" i="21"/>
  <c r="Y424" i="21"/>
  <c r="Y425" i="21"/>
  <c r="Z424" i="21"/>
  <c r="Z425" i="21"/>
  <c r="AA424" i="21"/>
  <c r="AA425" i="21"/>
  <c r="AB424" i="21"/>
  <c r="AB425" i="21"/>
  <c r="AC424" i="21"/>
  <c r="AC425" i="21"/>
  <c r="AD424" i="21"/>
  <c r="AD425" i="21"/>
  <c r="AE424" i="21"/>
  <c r="AE425" i="21"/>
  <c r="AF424" i="21"/>
  <c r="AF425" i="21"/>
  <c r="AG424" i="21"/>
  <c r="AG425" i="21"/>
  <c r="AH424" i="21"/>
  <c r="AH425" i="21"/>
  <c r="AI424" i="21"/>
  <c r="AI425" i="21"/>
  <c r="AJ424" i="21"/>
  <c r="AJ425" i="21"/>
  <c r="AK424" i="21"/>
  <c r="AK425" i="21"/>
  <c r="AL424" i="21"/>
  <c r="AL425" i="21"/>
  <c r="AM424" i="21"/>
  <c r="AM425" i="21"/>
  <c r="T426" i="21"/>
  <c r="U426" i="21"/>
  <c r="V426" i="21"/>
  <c r="W426" i="21"/>
  <c r="X426" i="21"/>
  <c r="Y426" i="21"/>
  <c r="Z426" i="21"/>
  <c r="AA426" i="21"/>
  <c r="AB426" i="21"/>
  <c r="AC426" i="21"/>
  <c r="AD426" i="21"/>
  <c r="AE426" i="21"/>
  <c r="AF426" i="21"/>
  <c r="AG426" i="21"/>
  <c r="AH426" i="21"/>
  <c r="AI426" i="21"/>
  <c r="AJ426" i="21"/>
  <c r="AK426" i="21"/>
  <c r="AL426" i="21"/>
  <c r="AM426" i="21"/>
  <c r="L429" i="21"/>
  <c r="M429" i="21"/>
  <c r="N429" i="21"/>
  <c r="O429" i="21"/>
  <c r="S430" i="21"/>
  <c r="T429" i="21"/>
  <c r="T430" i="21"/>
  <c r="U429" i="21"/>
  <c r="U430" i="21"/>
  <c r="V429" i="21"/>
  <c r="V430" i="21"/>
  <c r="W429" i="21"/>
  <c r="W430" i="21"/>
  <c r="X429" i="21"/>
  <c r="X430" i="21"/>
  <c r="Y429" i="21"/>
  <c r="Y430" i="21"/>
  <c r="Z429" i="21"/>
  <c r="Z430" i="21"/>
  <c r="AA429" i="21"/>
  <c r="AA430" i="21"/>
  <c r="AB429" i="21"/>
  <c r="AB430" i="21"/>
  <c r="AC429" i="21"/>
  <c r="AC430" i="21"/>
  <c r="AD429" i="21"/>
  <c r="AD430" i="21"/>
  <c r="AE429" i="21"/>
  <c r="AE430" i="21"/>
  <c r="AF429" i="21"/>
  <c r="AF430" i="21"/>
  <c r="AG429" i="21"/>
  <c r="AG430" i="21"/>
  <c r="AH429" i="21"/>
  <c r="AH430" i="21"/>
  <c r="AI429" i="21"/>
  <c r="AI430" i="21"/>
  <c r="AJ429" i="21"/>
  <c r="AJ430" i="21"/>
  <c r="AK429" i="21"/>
  <c r="AK430" i="21"/>
  <c r="AL429" i="21"/>
  <c r="AL430" i="21"/>
  <c r="AM429" i="21"/>
  <c r="AM430" i="21"/>
  <c r="I431" i="21"/>
  <c r="I432" i="21"/>
  <c r="I433" i="21"/>
  <c r="E435" i="21"/>
  <c r="F435" i="21"/>
  <c r="G435" i="21"/>
  <c r="H435" i="21"/>
  <c r="I434" i="21"/>
  <c r="L434" i="21"/>
  <c r="M434" i="21"/>
  <c r="N434" i="21"/>
  <c r="O434" i="21"/>
  <c r="P434" i="21"/>
  <c r="Q434" i="21"/>
  <c r="R434" i="21"/>
  <c r="S434" i="21"/>
  <c r="T434" i="21"/>
  <c r="U434" i="21"/>
  <c r="V434" i="21"/>
  <c r="W434" i="21"/>
  <c r="X434" i="21"/>
  <c r="I436" i="21"/>
  <c r="P437" i="21"/>
  <c r="E437" i="21"/>
  <c r="Q437" i="21"/>
  <c r="F437" i="21"/>
  <c r="R437" i="21"/>
  <c r="G437" i="21"/>
  <c r="S437" i="21"/>
  <c r="H437" i="21"/>
  <c r="I437" i="21"/>
  <c r="T437" i="21"/>
  <c r="U437" i="21"/>
  <c r="V437" i="21"/>
  <c r="W437" i="21"/>
  <c r="X437" i="21"/>
  <c r="C438" i="21"/>
  <c r="D438" i="21"/>
  <c r="I438" i="21"/>
  <c r="C439" i="21"/>
  <c r="D439" i="21"/>
  <c r="I439" i="21"/>
  <c r="C440" i="21"/>
  <c r="D440" i="21"/>
  <c r="I440" i="21"/>
  <c r="E442" i="21"/>
  <c r="F442" i="21"/>
  <c r="G442" i="21"/>
  <c r="H442" i="21"/>
  <c r="I441" i="21"/>
  <c r="I443" i="21"/>
  <c r="I444" i="21"/>
  <c r="P445" i="21"/>
  <c r="E445" i="21"/>
  <c r="Q445" i="21"/>
  <c r="F445" i="21"/>
  <c r="R445" i="21"/>
  <c r="G445" i="21"/>
  <c r="S445" i="21"/>
  <c r="H445" i="21"/>
  <c r="I445" i="21"/>
  <c r="T445" i="21"/>
  <c r="U445" i="21"/>
  <c r="V445" i="21"/>
  <c r="W445" i="21"/>
  <c r="X445" i="21"/>
  <c r="I446" i="21"/>
  <c r="E447" i="21"/>
  <c r="F447" i="21"/>
  <c r="G447" i="21"/>
  <c r="H447" i="21"/>
  <c r="I447" i="21"/>
  <c r="I448" i="21"/>
  <c r="P449" i="21"/>
  <c r="E449" i="21"/>
  <c r="Q449" i="21"/>
  <c r="F449" i="21"/>
  <c r="R449" i="21"/>
  <c r="G449" i="21"/>
  <c r="S449" i="21"/>
  <c r="H449" i="21"/>
  <c r="I449" i="21"/>
  <c r="T449" i="21"/>
  <c r="U449" i="21"/>
  <c r="V449" i="21"/>
  <c r="W449" i="21"/>
  <c r="X449" i="21"/>
  <c r="L450" i="21"/>
  <c r="M450" i="21"/>
  <c r="N450" i="21"/>
  <c r="O450" i="21"/>
  <c r="P450" i="21"/>
  <c r="Q450" i="21"/>
  <c r="R450" i="21"/>
  <c r="S450" i="21"/>
  <c r="T450" i="21"/>
  <c r="U450" i="21"/>
  <c r="V450" i="21"/>
  <c r="W450" i="21"/>
  <c r="X450" i="21"/>
  <c r="Y450" i="21"/>
  <c r="Z450" i="21"/>
  <c r="AA450" i="21"/>
  <c r="AB450" i="21"/>
  <c r="AC450" i="21"/>
  <c r="AD450" i="21"/>
  <c r="AE450" i="21"/>
  <c r="AF450" i="21"/>
  <c r="AG450" i="21"/>
  <c r="AH450" i="21"/>
  <c r="AI450" i="21"/>
  <c r="AJ450" i="21"/>
  <c r="AK450" i="21"/>
  <c r="AL450" i="21"/>
  <c r="AM450" i="21"/>
  <c r="O452" i="21"/>
  <c r="P451" i="21"/>
  <c r="P452" i="21"/>
  <c r="Q451" i="21"/>
  <c r="Q452" i="21"/>
  <c r="R451" i="21"/>
  <c r="R452" i="21"/>
  <c r="S451" i="21"/>
  <c r="S452" i="21"/>
  <c r="T451" i="21"/>
  <c r="T452" i="21"/>
  <c r="U451" i="21"/>
  <c r="U452" i="21"/>
  <c r="V451" i="21"/>
  <c r="V452" i="21"/>
  <c r="W451" i="21"/>
  <c r="W452" i="21"/>
  <c r="X451" i="21"/>
  <c r="X452" i="21"/>
  <c r="Y451" i="21"/>
  <c r="Y452" i="21"/>
  <c r="Z451" i="21"/>
  <c r="Z452" i="21"/>
  <c r="AA451" i="21"/>
  <c r="AA452" i="21"/>
  <c r="AB451" i="21"/>
  <c r="AB452" i="21"/>
  <c r="AC451" i="21"/>
  <c r="AC452" i="21"/>
  <c r="AD451" i="21"/>
  <c r="AD452" i="21"/>
  <c r="AE451" i="21"/>
  <c r="AE452" i="21"/>
  <c r="AF451" i="21"/>
  <c r="AF452" i="21"/>
  <c r="AG451" i="21"/>
  <c r="AG452" i="21"/>
  <c r="AH451" i="21"/>
  <c r="AH452" i="21"/>
  <c r="AI451" i="21"/>
  <c r="AI452" i="21"/>
  <c r="AJ451" i="21"/>
  <c r="AJ452" i="21"/>
  <c r="AK451" i="21"/>
  <c r="AK452" i="21"/>
  <c r="AL451" i="21"/>
  <c r="AL452" i="21"/>
  <c r="AM451" i="21"/>
  <c r="AM452" i="21"/>
  <c r="O454" i="21"/>
  <c r="P453" i="21"/>
  <c r="P454" i="21"/>
  <c r="Q453" i="21"/>
  <c r="Q454" i="21"/>
  <c r="R453" i="21"/>
  <c r="R454" i="21"/>
  <c r="S453" i="21"/>
  <c r="S454" i="21"/>
  <c r="T453" i="21"/>
  <c r="T454" i="21"/>
  <c r="U453" i="21"/>
  <c r="U454" i="21"/>
  <c r="V453" i="21"/>
  <c r="V454" i="21"/>
  <c r="W453" i="21"/>
  <c r="W454" i="21"/>
  <c r="X453" i="21"/>
  <c r="X454" i="21"/>
  <c r="Y453" i="21"/>
  <c r="Y454" i="21"/>
  <c r="Z453" i="21"/>
  <c r="Z454" i="21"/>
  <c r="AA453" i="21"/>
  <c r="AA454" i="21"/>
  <c r="AB453" i="21"/>
  <c r="AB454" i="21"/>
  <c r="AC453" i="21"/>
  <c r="AC454" i="21"/>
  <c r="AD453" i="21"/>
  <c r="AD454" i="21"/>
  <c r="AE453" i="21"/>
  <c r="AE454" i="21"/>
  <c r="AF453" i="21"/>
  <c r="AF454" i="21"/>
  <c r="AG453" i="21"/>
  <c r="AG454" i="21"/>
  <c r="AH453" i="21"/>
  <c r="AH454" i="21"/>
  <c r="AI453" i="21"/>
  <c r="AI454" i="21"/>
  <c r="AJ453" i="21"/>
  <c r="AJ454" i="21"/>
  <c r="AK453" i="21"/>
  <c r="AK454" i="21"/>
  <c r="AL453" i="21"/>
  <c r="AL454" i="21"/>
  <c r="AM453" i="21"/>
  <c r="AM454" i="21"/>
  <c r="O456" i="21"/>
  <c r="P455" i="21"/>
  <c r="P456" i="21"/>
  <c r="Q455" i="21"/>
  <c r="Q456" i="21"/>
  <c r="R455" i="21"/>
  <c r="R456" i="21"/>
  <c r="S455" i="21"/>
  <c r="S456" i="21"/>
  <c r="T455" i="21"/>
  <c r="T456" i="21"/>
  <c r="U455" i="21"/>
  <c r="U456" i="21"/>
  <c r="V455" i="21"/>
  <c r="V456" i="21"/>
  <c r="W455" i="21"/>
  <c r="W456" i="21"/>
  <c r="X455" i="21"/>
  <c r="X456" i="21"/>
  <c r="Y455" i="21"/>
  <c r="Y456" i="21"/>
  <c r="Z455" i="21"/>
  <c r="Z456" i="21"/>
  <c r="AA455" i="21"/>
  <c r="AA456" i="21"/>
  <c r="AB455" i="21"/>
  <c r="AB456" i="21"/>
  <c r="AC455" i="21"/>
  <c r="AC456" i="21"/>
  <c r="AD455" i="21"/>
  <c r="AD456" i="21"/>
  <c r="AE455" i="21"/>
  <c r="AE456" i="21"/>
  <c r="AF455" i="21"/>
  <c r="AF456" i="21"/>
  <c r="AG455" i="21"/>
  <c r="AG456" i="21"/>
  <c r="AH455" i="21"/>
  <c r="AH456" i="21"/>
  <c r="AI455" i="21"/>
  <c r="AI456" i="21"/>
  <c r="AJ455" i="21"/>
  <c r="AJ456" i="21"/>
  <c r="AK455" i="21"/>
  <c r="AK456" i="21"/>
  <c r="AL455" i="21"/>
  <c r="AL456" i="21"/>
  <c r="AM455" i="21"/>
  <c r="AM456" i="21"/>
  <c r="K457" i="21"/>
  <c r="L458" i="21"/>
  <c r="M458" i="21"/>
  <c r="N458" i="21"/>
  <c r="O458" i="21"/>
  <c r="P457" i="21"/>
  <c r="P458" i="21"/>
  <c r="Q457" i="21"/>
  <c r="Q458" i="21"/>
  <c r="R457" i="21"/>
  <c r="R458" i="21"/>
  <c r="S457" i="21"/>
  <c r="S458" i="21"/>
  <c r="T457" i="21"/>
  <c r="T458" i="21"/>
  <c r="U457" i="21"/>
  <c r="U458" i="21"/>
  <c r="V457" i="21"/>
  <c r="V458" i="21"/>
  <c r="W457" i="21"/>
  <c r="W458" i="21"/>
  <c r="X457" i="21"/>
  <c r="X458" i="21"/>
  <c r="Y457" i="21"/>
  <c r="Y458" i="21"/>
  <c r="Z457" i="21"/>
  <c r="Z458" i="21"/>
  <c r="AA457" i="21"/>
  <c r="AA458" i="21"/>
  <c r="AB457" i="21"/>
  <c r="AB458" i="21"/>
  <c r="AC457" i="21"/>
  <c r="AC458" i="21"/>
  <c r="AD457" i="21"/>
  <c r="AD458" i="21"/>
  <c r="AE457" i="21"/>
  <c r="AE458" i="21"/>
  <c r="AF457" i="21"/>
  <c r="AF458" i="21"/>
  <c r="AG457" i="21"/>
  <c r="AG458" i="21"/>
  <c r="AH457" i="21"/>
  <c r="AH458" i="21"/>
  <c r="AI457" i="21"/>
  <c r="AI458" i="21"/>
  <c r="AJ457" i="21"/>
  <c r="AJ458" i="21"/>
  <c r="AK457" i="21"/>
  <c r="AK458" i="21"/>
  <c r="AL457" i="21"/>
  <c r="AL458" i="21"/>
  <c r="AM457" i="21"/>
  <c r="AM458" i="21"/>
  <c r="P459" i="21"/>
  <c r="Q459" i="21"/>
  <c r="R459" i="21"/>
  <c r="S459" i="21"/>
  <c r="T459" i="21"/>
  <c r="U459" i="21"/>
  <c r="V459" i="21"/>
  <c r="W459" i="21"/>
  <c r="X459" i="21"/>
  <c r="Y459" i="21"/>
  <c r="Z459" i="21"/>
  <c r="AA459" i="21"/>
  <c r="AB459" i="21"/>
  <c r="AC459" i="21"/>
  <c r="AD459" i="21"/>
  <c r="AE459" i="21"/>
  <c r="AF459" i="21"/>
  <c r="AG459" i="21"/>
  <c r="AH459" i="21"/>
  <c r="AI459" i="21"/>
  <c r="AJ459" i="21"/>
  <c r="AK459" i="21"/>
  <c r="AL459" i="21"/>
  <c r="AM459" i="21"/>
</calcChain>
</file>

<file path=xl/sharedStrings.xml><?xml version="1.0" encoding="utf-8"?>
<sst xmlns="http://schemas.openxmlformats.org/spreadsheetml/2006/main" count="1668" uniqueCount="500">
  <si>
    <t>Equipment's Cost (Total in 2015)</t>
    <phoneticPr fontId="10" type="noConversion"/>
  </si>
  <si>
    <t>Equipment's Cost (Total in 2016)</t>
    <phoneticPr fontId="10" type="noConversion"/>
  </si>
  <si>
    <t>Initial available Liftoil Cash</t>
    <phoneticPr fontId="10" type="noConversion"/>
  </si>
  <si>
    <t>US$/€ Rate</t>
    <phoneticPr fontId="10" type="noConversion"/>
  </si>
  <si>
    <t>Cash Flow Need Variation</t>
    <phoneticPr fontId="10" type="noConversion"/>
  </si>
  <si>
    <t>Service/Operating Contract</t>
    <phoneticPr fontId="10" type="noConversion"/>
  </si>
  <si>
    <t>% of Sales deals</t>
    <phoneticPr fontId="10" type="noConversion"/>
  </si>
  <si>
    <t>% of Rental deals</t>
    <phoneticPr fontId="10" type="noConversion"/>
  </si>
  <si>
    <t># days of prod.</t>
    <phoneticPr fontId="10" type="noConversion"/>
  </si>
  <si>
    <t>Average Production (Bpd)</t>
    <phoneticPr fontId="10" type="noConversion"/>
  </si>
  <si>
    <t>Maintenance Contracts</t>
    <phoneticPr fontId="10" type="noConversion"/>
  </si>
  <si>
    <t>% of Value to be financed</t>
    <phoneticPr fontId="10" type="noConversion"/>
  </si>
  <si>
    <t>Leasing Rate</t>
    <phoneticPr fontId="10" type="noConversion"/>
  </si>
  <si>
    <t>Leasing Term (months)</t>
    <phoneticPr fontId="10" type="noConversion"/>
  </si>
  <si>
    <t>Financing Parameters</t>
    <phoneticPr fontId="10" type="noConversion"/>
  </si>
  <si>
    <t>Business Model Parameters</t>
    <phoneticPr fontId="10" type="noConversion"/>
  </si>
  <si>
    <t>Rental Fee/Barrel</t>
    <phoneticPr fontId="10" type="noConversion"/>
  </si>
  <si>
    <t>GM on Mainten.</t>
    <phoneticPr fontId="10" type="noConversion"/>
  </si>
  <si>
    <r>
      <t>Gross Margin</t>
    </r>
    <r>
      <rPr>
        <sz val="9"/>
        <rFont val="Verdana"/>
      </rPr>
      <t xml:space="preserve"> on Service contracts</t>
    </r>
    <phoneticPr fontId="10" type="noConversion"/>
  </si>
  <si>
    <t>Commissions on Rental deals</t>
    <phoneticPr fontId="10" type="noConversion"/>
  </si>
  <si>
    <t>Commissions on Sales deals</t>
    <phoneticPr fontId="10" type="noConversion"/>
  </si>
  <si>
    <t>% of deals</t>
    <phoneticPr fontId="10" type="noConversion"/>
  </si>
  <si>
    <t>Production Parameters</t>
    <phoneticPr fontId="10" type="noConversion"/>
  </si>
  <si>
    <t>Technical Manager (Installation &amp; Training)</t>
    <phoneticPr fontId="10"/>
  </si>
  <si>
    <t>Total Units Sold/Installed</t>
    <phoneticPr fontId="10" type="noConversion"/>
  </si>
  <si>
    <t>Fee / Year</t>
    <phoneticPr fontId="10" type="noConversion"/>
  </si>
  <si>
    <t>Units Sold</t>
    <phoneticPr fontId="10" type="noConversion"/>
  </si>
  <si>
    <t>Units Leased</t>
    <phoneticPr fontId="10" type="noConversion"/>
  </si>
  <si>
    <t>Revenues from Sales</t>
    <phoneticPr fontId="10" type="noConversion"/>
  </si>
  <si>
    <t>Revenues from Rental</t>
    <phoneticPr fontId="10" type="noConversion"/>
  </si>
  <si>
    <t>Revenues from Service</t>
    <phoneticPr fontId="10" type="noConversion"/>
  </si>
  <si>
    <t>Total Units</t>
    <phoneticPr fontId="10" type="noConversion"/>
  </si>
  <si>
    <t>Total</t>
    <phoneticPr fontId="10" type="noConversion"/>
  </si>
  <si>
    <t>REVENUES</t>
    <phoneticPr fontId="10" type="noConversion"/>
  </si>
  <si>
    <t>Total Revenues</t>
    <phoneticPr fontId="10" type="noConversion"/>
  </si>
  <si>
    <t>COG's and Production</t>
    <phoneticPr fontId="10" type="noConversion"/>
  </si>
  <si>
    <t>Commissions to partners</t>
    <phoneticPr fontId="10" type="noConversion"/>
  </si>
  <si>
    <t>Operating &amp; Service costs</t>
    <phoneticPr fontId="10" type="noConversion"/>
  </si>
  <si>
    <t>Depreciation &amp; others</t>
    <phoneticPr fontId="10" type="noConversion"/>
  </si>
  <si>
    <t>General &amp; Admin</t>
    <phoneticPr fontId="10" type="noConversion"/>
  </si>
  <si>
    <t>Investments &amp; setup fees</t>
    <phoneticPr fontId="10" type="noConversion"/>
  </si>
  <si>
    <t>Total Expenses</t>
    <phoneticPr fontId="10" type="noConversion"/>
  </si>
  <si>
    <t>EXPENSES</t>
    <phoneticPr fontId="10" type="noConversion"/>
  </si>
  <si>
    <t>EBIT</t>
    <phoneticPr fontId="10" type="noConversion"/>
  </si>
  <si>
    <t>BUSINESS PLAN</t>
    <phoneticPr fontId="10" type="noConversion"/>
  </si>
  <si>
    <r>
      <t xml:space="preserve">OPTIMOIL &amp; LIFTOIL: </t>
    </r>
    <r>
      <rPr>
        <b/>
        <sz val="16"/>
        <rFont val="Verdana"/>
      </rPr>
      <t>Global Business Plan v3.2</t>
    </r>
    <r>
      <rPr>
        <sz val="16"/>
        <rFont val="Verdana"/>
      </rPr>
      <t xml:space="preserve"> (2012-2016)</t>
    </r>
    <phoneticPr fontId="10" type="noConversion"/>
  </si>
  <si>
    <t>Cash Flow Need</t>
    <phoneticPr fontId="10" type="noConversion"/>
  </si>
  <si>
    <t>Unit's Sales Price</t>
    <phoneticPr fontId="10" type="noConversion"/>
  </si>
  <si>
    <t>Minimum Monthly Guarantee</t>
    <phoneticPr fontId="10" type="noConversion"/>
  </si>
  <si>
    <t>Upfront Rental Payment</t>
    <phoneticPr fontId="10" type="noConversion"/>
  </si>
  <si>
    <t>% of Equipments to be financed</t>
    <phoneticPr fontId="10" type="noConversion"/>
  </si>
  <si>
    <t>Africa Sales &amp; Service Team</t>
    <phoneticPr fontId="10"/>
  </si>
  <si>
    <t>Sales  Installations (Cumulative)</t>
    <phoneticPr fontId="10"/>
  </si>
  <si>
    <t>Investments</t>
    <phoneticPr fontId="10"/>
  </si>
  <si>
    <t>Liftoil</t>
    <phoneticPr fontId="10"/>
  </si>
  <si>
    <t>Equipments</t>
    <phoneticPr fontId="10"/>
  </si>
  <si>
    <t>Setup Fees</t>
    <phoneticPr fontId="10"/>
  </si>
  <si>
    <t>EMEA &amp; Asia</t>
    <phoneticPr fontId="10"/>
  </si>
  <si>
    <t>Technician/Engineer (Africa)</t>
    <phoneticPr fontId="10"/>
  </si>
  <si>
    <t>Africa Installation Manager</t>
    <phoneticPr fontId="10"/>
  </si>
  <si>
    <t>EMEA &amp; ASIA-PACIFIC</t>
    <phoneticPr fontId="10"/>
  </si>
  <si>
    <t>Office Setup / Setup Fees</t>
    <phoneticPr fontId="10"/>
  </si>
  <si>
    <r>
      <t>Shipping</t>
    </r>
    <r>
      <rPr>
        <sz val="10"/>
        <rFont val="Verdana"/>
      </rPr>
      <t xml:space="preserve"> &amp; Installation fees</t>
    </r>
  </si>
  <si>
    <t>USA Canada</t>
    <phoneticPr fontId="10"/>
  </si>
  <si>
    <t>South America</t>
    <phoneticPr fontId="10"/>
  </si>
  <si>
    <t>Sales Revenue</t>
    <phoneticPr fontId="10"/>
  </si>
  <si>
    <t>Units Sales Price</t>
    <phoneticPr fontId="10" type="noConversion"/>
  </si>
  <si>
    <t>Rental</t>
    <phoneticPr fontId="10" type="noConversion"/>
  </si>
  <si>
    <t>Financing of Equipments</t>
  </si>
  <si>
    <t>EMEA / Asia-Pacific</t>
    <phoneticPr fontId="10" type="noConversion"/>
  </si>
  <si>
    <t>CALCULATIONS</t>
    <phoneticPr fontId="10"/>
  </si>
  <si>
    <t>Office Rent</t>
  </si>
  <si>
    <t>CFO</t>
  </si>
  <si>
    <t>Assistant to the CFO</t>
  </si>
  <si>
    <t>C.E.O. Incentive/Bonus</t>
    <phoneticPr fontId="10"/>
  </si>
  <si>
    <t>RENTAL REVENUES</t>
    <phoneticPr fontId="10"/>
  </si>
  <si>
    <t>Technician/Engineer (Europe/Middle East)</t>
    <phoneticPr fontId="10"/>
  </si>
  <si>
    <t>RENTAL</t>
    <phoneticPr fontId="10"/>
  </si>
  <si>
    <t>Accounting &amp; Admin Manager</t>
  </si>
  <si>
    <r>
      <t>Service</t>
    </r>
    <r>
      <rPr>
        <sz val="10"/>
        <rFont val="Verdana"/>
      </rPr>
      <t xml:space="preserve"> &amp; Maintenance fees</t>
    </r>
  </si>
  <si>
    <r>
      <t xml:space="preserve">Purchase </t>
    </r>
    <r>
      <rPr>
        <sz val="10"/>
        <rFont val="Verdana"/>
      </rPr>
      <t>of Equipments &amp; spare parts</t>
    </r>
  </si>
  <si>
    <t>General Business Parameters</t>
  </si>
  <si>
    <t>GENERAL PARAMETERS</t>
  </si>
  <si>
    <t>Lawyers &amp; Legal fees</t>
  </si>
  <si>
    <t>Revenues split per quarter</t>
  </si>
  <si>
    <t>Setup Fees &amp; Investments</t>
    <phoneticPr fontId="10"/>
  </si>
  <si>
    <t>Setup Fees &amp; Investments</t>
    <phoneticPr fontId="10"/>
  </si>
  <si>
    <t>COG's &amp; Manufacturing</t>
    <phoneticPr fontId="10" type="noConversion"/>
  </si>
  <si>
    <t>Equipment's COG's</t>
    <phoneticPr fontId="10" type="noConversion"/>
  </si>
  <si>
    <t>Assistant to the CTO</t>
  </si>
  <si>
    <t>Total Net Revenues</t>
    <phoneticPr fontId="10"/>
  </si>
  <si>
    <t>Liftoil</t>
    <phoneticPr fontId="10" type="noConversion"/>
  </si>
  <si>
    <t>Optimoil</t>
    <phoneticPr fontId="10" type="noConversion"/>
  </si>
  <si>
    <t>Total</t>
    <phoneticPr fontId="10" type="noConversion"/>
  </si>
  <si>
    <t>Service &amp; Maintenance</t>
  </si>
  <si>
    <t>Provision for Depreciation</t>
    <phoneticPr fontId="10" type="noConversion"/>
  </si>
  <si>
    <t>Year 1</t>
    <phoneticPr fontId="10" type="noConversion"/>
  </si>
  <si>
    <t>Year 2</t>
    <phoneticPr fontId="10" type="noConversion"/>
  </si>
  <si>
    <t>Sales Revenues</t>
    <phoneticPr fontId="10" type="noConversion"/>
  </si>
  <si>
    <t>Maintenance Contracts</t>
    <phoneticPr fontId="10" type="noConversion"/>
  </si>
  <si>
    <t>Managing Director</t>
    <phoneticPr fontId="10"/>
  </si>
  <si>
    <t>MD Incentive/Bonus</t>
    <phoneticPr fontId="10"/>
  </si>
  <si>
    <t>Deputy Managing Director</t>
    <phoneticPr fontId="10"/>
  </si>
  <si>
    <t>DMD Incentive/Bonus</t>
    <phoneticPr fontId="10"/>
  </si>
  <si>
    <t>Production Unit Setup Fees</t>
    <phoneticPr fontId="10"/>
  </si>
  <si>
    <t>Commissions to Business Partners (Sales)</t>
    <phoneticPr fontId="10" type="noConversion"/>
  </si>
  <si>
    <t>General &amp; Admin</t>
    <phoneticPr fontId="10"/>
  </si>
  <si>
    <t>Leasing Parameters</t>
    <phoneticPr fontId="10" type="noConversion"/>
  </si>
  <si>
    <r>
      <t xml:space="preserve">Sales &amp; Rental Installations </t>
    </r>
    <r>
      <rPr>
        <b/>
        <sz val="20"/>
        <rFont val="Verdana"/>
      </rPr>
      <t>Forecast</t>
    </r>
    <r>
      <rPr>
        <sz val="20"/>
        <rFont val="Verdana"/>
      </rPr>
      <t xml:space="preserve"> (2012-2016)</t>
    </r>
    <phoneticPr fontId="10"/>
  </si>
  <si>
    <t>Purchase of Equipments (Rental)</t>
    <phoneticPr fontId="10"/>
  </si>
  <si>
    <t>CTO / Reservoir Engineer</t>
    <phoneticPr fontId="10"/>
  </si>
  <si>
    <t>Additional Taxes</t>
  </si>
  <si>
    <t>Equipment's Cost (Total in 2012)</t>
    <phoneticPr fontId="10" type="noConversion"/>
  </si>
  <si>
    <t>Equipment's Cost (Total in 2013)</t>
    <phoneticPr fontId="10" type="noConversion"/>
  </si>
  <si>
    <t>Equipment's Cost (Total in 2014)</t>
    <phoneticPr fontId="10" type="noConversion"/>
  </si>
  <si>
    <t>Total Sales &amp; Representation</t>
  </si>
  <si>
    <t>Company Valuation</t>
  </si>
  <si>
    <t>Africa</t>
  </si>
  <si>
    <t>Hungary</t>
  </si>
  <si>
    <t>Asia-Pacific Installation Manager</t>
    <phoneticPr fontId="10"/>
  </si>
  <si>
    <t>Average Tax on Profit</t>
  </si>
  <si>
    <t>C.T.O. Optimoil Americas</t>
  </si>
  <si>
    <t>General Management &amp; Sales Team</t>
    <phoneticPr fontId="10"/>
  </si>
  <si>
    <t>Other Operating Costs</t>
    <phoneticPr fontId="10" type="noConversion"/>
  </si>
  <si>
    <t>General &amp; Admin</t>
    <phoneticPr fontId="10" type="noConversion"/>
  </si>
  <si>
    <t>Equipment's Purchase price (Liftoil)</t>
    <phoneticPr fontId="10" type="noConversion"/>
  </si>
  <si>
    <t>RENTAL</t>
    <phoneticPr fontId="10" type="noConversion"/>
  </si>
  <si>
    <t>Business Development Travel Expenses</t>
  </si>
  <si>
    <t>Other Travel Expenses</t>
  </si>
  <si>
    <t>GENERAL &amp; ADMIN</t>
  </si>
  <si>
    <t>Total Cash Flow Need (Peak)</t>
    <phoneticPr fontId="10"/>
  </si>
  <si>
    <t>Business Manager Incentive/Bonus</t>
    <phoneticPr fontId="10"/>
  </si>
  <si>
    <t>Production Unit Team</t>
    <phoneticPr fontId="10"/>
  </si>
  <si>
    <t>Administrative expenses</t>
  </si>
  <si>
    <t>PAO Engineer</t>
  </si>
  <si>
    <t>30000+</t>
    <phoneticPr fontId="10"/>
  </si>
  <si>
    <t>Other Operating costs</t>
  </si>
  <si>
    <t>Total Expenses</t>
  </si>
  <si>
    <t>Amount</t>
  </si>
  <si>
    <t>Total</t>
  </si>
  <si>
    <t>Other Production costs</t>
    <phoneticPr fontId="10" type="noConversion"/>
  </si>
  <si>
    <t>Equipment's Manufacturing (external)</t>
    <phoneticPr fontId="10" type="noConversion"/>
  </si>
  <si>
    <t>Equipment's Total Cost of Production</t>
    <phoneticPr fontId="10" type="noConversion"/>
  </si>
  <si>
    <t>Production Margin</t>
    <phoneticPr fontId="10" type="noConversion"/>
  </si>
  <si>
    <t>Holding &amp; General Management Team</t>
    <phoneticPr fontId="10"/>
  </si>
  <si>
    <t>OPTIMOIL Technologies Global : General &amp; Admin Fees (2012-2016)</t>
    <phoneticPr fontId="10"/>
  </si>
  <si>
    <t>General &amp; Admin Expenses Split</t>
    <phoneticPr fontId="10" type="noConversion"/>
  </si>
  <si>
    <t>Purchase Payment Terms</t>
  </si>
  <si>
    <r>
      <t>Service</t>
    </r>
    <r>
      <rPr>
        <sz val="10"/>
        <rFont val="Verdana"/>
      </rPr>
      <t xml:space="preserve"> (Quarterly Service Fees)</t>
    </r>
  </si>
  <si>
    <r>
      <t>General</t>
    </r>
    <r>
      <rPr>
        <sz val="10"/>
        <rFont val="Verdana"/>
      </rPr>
      <t xml:space="preserve"> &amp; Admin</t>
    </r>
  </si>
  <si>
    <t>Cumulative Value of installed Equipments (Rental)</t>
    <phoneticPr fontId="10"/>
  </si>
  <si>
    <t>Earn Out Liftoil (50%)</t>
    <phoneticPr fontId="10" type="noConversion"/>
  </si>
  <si>
    <t>Sales</t>
    <phoneticPr fontId="10"/>
  </si>
  <si>
    <t>Technical Manager</t>
  </si>
  <si>
    <t>Algeria</t>
  </si>
  <si>
    <t>Egypt</t>
  </si>
  <si>
    <t>Lybia</t>
  </si>
  <si>
    <t>Total EXPENSES</t>
    <phoneticPr fontId="10"/>
  </si>
  <si>
    <r>
      <t xml:space="preserve">Total </t>
    </r>
    <r>
      <rPr>
        <b/>
        <sz val="10"/>
        <rFont val="Verdana"/>
      </rPr>
      <t>Asia-Pacific</t>
    </r>
  </si>
  <si>
    <t>BUSINESS PLAN</t>
  </si>
  <si>
    <t>Total Revenues from SALES</t>
    <phoneticPr fontId="10" type="noConversion"/>
  </si>
  <si>
    <t>Units Sold</t>
    <phoneticPr fontId="10" type="noConversion"/>
  </si>
  <si>
    <t>North America</t>
    <phoneticPr fontId="10"/>
  </si>
  <si>
    <t>Europe/Middle East Sales Team Incentive/Bonus</t>
    <phoneticPr fontId="10"/>
  </si>
  <si>
    <t>Revenues (Sales - Service)</t>
    <phoneticPr fontId="10"/>
  </si>
  <si>
    <t>Average Tax on Profits</t>
  </si>
  <si>
    <t>Operating &amp; Production</t>
  </si>
  <si>
    <t>Purchase of Equipments (Sales)</t>
    <phoneticPr fontId="10"/>
  </si>
  <si>
    <t>Rental Fee Revenue</t>
    <phoneticPr fontId="10"/>
  </si>
  <si>
    <t>SALES</t>
    <phoneticPr fontId="10"/>
  </si>
  <si>
    <t>Business Development Travel Expenses (Asia)</t>
    <phoneticPr fontId="10"/>
  </si>
  <si>
    <t>Assistant to General Manager</t>
    <phoneticPr fontId="10"/>
  </si>
  <si>
    <t>Total Employees</t>
  </si>
  <si>
    <t>Average # of Days of Prod.</t>
  </si>
  <si>
    <t>Installations Forecast (Rental)</t>
    <phoneticPr fontId="10"/>
  </si>
  <si>
    <t>General &amp; Admin</t>
    <phoneticPr fontId="10"/>
  </si>
  <si>
    <t>Optimoil</t>
    <phoneticPr fontId="10"/>
  </si>
  <si>
    <t>Spare Parts</t>
  </si>
  <si>
    <t>TOTAL SETUP FEES &amp; INVESTMENTS</t>
    <phoneticPr fontId="10"/>
  </si>
  <si>
    <t>Others</t>
  </si>
  <si>
    <t>Philipines</t>
  </si>
  <si>
    <t>Rental Installations (Cumulative)</t>
    <phoneticPr fontId="10"/>
  </si>
  <si>
    <t>Units Installed</t>
    <phoneticPr fontId="10" type="noConversion"/>
  </si>
  <si>
    <t>Cumulative Value of installed Equipments (Sales)</t>
    <phoneticPr fontId="10"/>
  </si>
  <si>
    <t>Europe/Middle East Sales Manager</t>
    <phoneticPr fontId="10"/>
  </si>
  <si>
    <t>North America</t>
    <phoneticPr fontId="10"/>
  </si>
  <si>
    <t>Cash Flow (Euro)</t>
    <phoneticPr fontId="10" type="noConversion"/>
  </si>
  <si>
    <r>
      <t>Total</t>
    </r>
    <r>
      <rPr>
        <b/>
        <sz val="10"/>
        <rFont val="Verdana"/>
      </rPr>
      <t xml:space="preserve"> Africa</t>
    </r>
  </si>
  <si>
    <t>India</t>
  </si>
  <si>
    <t>Indonesia</t>
  </si>
  <si>
    <t>Grand TOTAL</t>
  </si>
  <si>
    <t>Technician/Engineer</t>
  </si>
  <si>
    <t>Sales &amp; Business Assistant</t>
  </si>
  <si>
    <t>%</t>
  </si>
  <si>
    <t>Leased</t>
  </si>
  <si>
    <t>EBIT</t>
  </si>
  <si>
    <t>Due Date</t>
  </si>
  <si>
    <t>Initial Cash Flow</t>
    <phoneticPr fontId="10" type="noConversion"/>
  </si>
  <si>
    <t>Base</t>
  </si>
  <si>
    <t>Test Equipments</t>
    <phoneticPr fontId="10"/>
  </si>
  <si>
    <t>Test Campaigns</t>
    <phoneticPr fontId="10"/>
  </si>
  <si>
    <t>Installation &amp; Maintenance Team</t>
    <phoneticPr fontId="10"/>
  </si>
  <si>
    <t>Asia-Pacific Sales Manager</t>
    <phoneticPr fontId="10"/>
  </si>
  <si>
    <t>Asia-Pacific Sales Assistant</t>
    <phoneticPr fontId="10"/>
  </si>
  <si>
    <t>Attached expenditures (Energy, Insurances, etc)</t>
  </si>
  <si>
    <t>Represententation fees</t>
  </si>
  <si>
    <t>Financing</t>
  </si>
  <si>
    <t>Net Revenues from Sales</t>
    <phoneticPr fontId="10"/>
  </si>
  <si>
    <r>
      <t>Service</t>
    </r>
    <r>
      <rPr>
        <sz val="10"/>
        <rFont val="Verdana"/>
      </rPr>
      <t xml:space="preserve"> (Setup Fees)</t>
    </r>
  </si>
  <si>
    <t>Purchase of Equipment (Leasing)</t>
    <phoneticPr fontId="10"/>
  </si>
  <si>
    <t>EMEA / ASIA-PACIFIC</t>
    <phoneticPr fontId="10"/>
  </si>
  <si>
    <t>Equipment's Leasing</t>
    <phoneticPr fontId="10" type="noConversion"/>
  </si>
  <si>
    <t>Accounting &amp; Admin Manager North America</t>
  </si>
  <si>
    <t>Rental Revenues</t>
    <phoneticPr fontId="10" type="noConversion"/>
  </si>
  <si>
    <t>Total Revenues from Rental</t>
    <phoneticPr fontId="10"/>
  </si>
  <si>
    <t>Expenses Annual Average Increase %</t>
  </si>
  <si>
    <t>Stationary &amp; Office expenses</t>
  </si>
  <si>
    <t>Total</t>
    <phoneticPr fontId="10"/>
  </si>
  <si>
    <t>Malaysia</t>
  </si>
  <si>
    <t>Austria</t>
  </si>
  <si>
    <r>
      <t xml:space="preserve">Caspian Republics </t>
    </r>
    <r>
      <rPr>
        <sz val="6"/>
        <rFont val="Verdana"/>
      </rPr>
      <t>(1)</t>
    </r>
  </si>
  <si>
    <t>Birmania</t>
  </si>
  <si>
    <t>Total Revenues</t>
  </si>
  <si>
    <t>Production Unit Manager</t>
    <phoneticPr fontId="10"/>
  </si>
  <si>
    <t>Europe/Middle East Sales &amp; Service Team</t>
    <phoneticPr fontId="10"/>
  </si>
  <si>
    <t>General Management Team</t>
    <phoneticPr fontId="10"/>
  </si>
  <si>
    <t>Total Revenues from RENTAL</t>
  </si>
  <si>
    <t>General &amp; Admin</t>
    <phoneticPr fontId="10"/>
  </si>
  <si>
    <t>N/A</t>
  </si>
  <si>
    <t>Asia-Pacific Sales Team Incentive/Bonus</t>
    <phoneticPr fontId="10"/>
  </si>
  <si>
    <t>Shipping &amp; Installation</t>
    <phoneticPr fontId="10" type="noConversion"/>
  </si>
  <si>
    <r>
      <t>Other Operating Costs</t>
    </r>
    <r>
      <rPr>
        <sz val="8"/>
        <rFont val="Verdana"/>
      </rPr>
      <t xml:space="preserve"> (6)</t>
    </r>
  </si>
  <si>
    <t>Contribution to R&amp;D</t>
  </si>
  <si>
    <t>Business Development Travel Expenses (Europe)</t>
    <phoneticPr fontId="10"/>
  </si>
  <si>
    <t>Uruguay</t>
    <phoneticPr fontId="10"/>
  </si>
  <si>
    <t>Accounting &amp; Admin Secretary (Export)</t>
    <phoneticPr fontId="10"/>
  </si>
  <si>
    <t>Assistant to the CEO / BDM</t>
    <phoneticPr fontId="10"/>
  </si>
  <si>
    <t>Revenues (Sales - Units)</t>
    <phoneticPr fontId="10"/>
  </si>
  <si>
    <t>Prodution Technician</t>
    <phoneticPr fontId="10"/>
  </si>
  <si>
    <t>Italy</t>
  </si>
  <si>
    <t>Poland</t>
  </si>
  <si>
    <t>Romania</t>
  </si>
  <si>
    <t>Russia</t>
  </si>
  <si>
    <t>Ukraine</t>
  </si>
  <si>
    <t>Accountant</t>
  </si>
  <si>
    <t>Other Accounting &amp; Legal Fees</t>
  </si>
  <si>
    <t>Other Operating Costs</t>
  </si>
  <si>
    <t>Asia</t>
  </si>
  <si>
    <r>
      <t xml:space="preserve">Total </t>
    </r>
    <r>
      <rPr>
        <b/>
        <sz val="10"/>
        <rFont val="Verdana"/>
      </rPr>
      <t>Europe</t>
    </r>
  </si>
  <si>
    <t>Units</t>
    <phoneticPr fontId="10"/>
  </si>
  <si>
    <t>Peak</t>
    <phoneticPr fontId="10"/>
  </si>
  <si>
    <t>Depreciation of Equipments</t>
  </si>
  <si>
    <t>Liftoil</t>
    <phoneticPr fontId="10"/>
  </si>
  <si>
    <t>Optimoil</t>
    <phoneticPr fontId="10"/>
  </si>
  <si>
    <t>SOUTH AMERICA ONLY</t>
    <phoneticPr fontId="10" type="noConversion"/>
  </si>
  <si>
    <t>OPTIMOIL ONLY</t>
    <phoneticPr fontId="10" type="noConversion"/>
  </si>
  <si>
    <t>(1) Kazakhstan, Kyrgystan, Tajikistan, Turkmenistan, Azerbaijan</t>
  </si>
  <si>
    <t>NET PROFIT</t>
  </si>
  <si>
    <t>EXPENSES</t>
  </si>
  <si>
    <t>Market Potential (Estim.)</t>
  </si>
  <si>
    <r>
      <t xml:space="preserve">Total </t>
    </r>
    <r>
      <rPr>
        <b/>
        <sz val="10"/>
        <rFont val="Verdana"/>
      </rPr>
      <t>North America</t>
    </r>
    <phoneticPr fontId="10"/>
  </si>
  <si>
    <t>Peru</t>
    <phoneticPr fontId="10"/>
  </si>
  <si>
    <t>Brasil</t>
    <phoneticPr fontId="10"/>
  </si>
  <si>
    <t>Technician (Installation &amp; Maintenance)</t>
    <phoneticPr fontId="10"/>
  </si>
  <si>
    <t>Europe/Middle East Sales Assistant</t>
    <phoneticPr fontId="10"/>
  </si>
  <si>
    <t>Total Employes &amp; Taxes</t>
    <phoneticPr fontId="10"/>
  </si>
  <si>
    <t>Leasing Average Term (Months)</t>
  </si>
  <si>
    <t>Trinidad</t>
    <phoneticPr fontId="10"/>
  </si>
  <si>
    <t>Cuba</t>
    <phoneticPr fontId="10"/>
  </si>
  <si>
    <t>Total Revenues</t>
    <phoneticPr fontId="10"/>
  </si>
  <si>
    <t>Maintenance Contracts Revenue</t>
    <phoneticPr fontId="10"/>
  </si>
  <si>
    <t>Operating Contracts Revenue</t>
    <phoneticPr fontId="10"/>
  </si>
  <si>
    <t>Equipment's Transfer price (Financing)</t>
    <phoneticPr fontId="10" type="noConversion"/>
  </si>
  <si>
    <t>Sales Payment Terms</t>
  </si>
  <si>
    <r>
      <t xml:space="preserve">Other </t>
    </r>
    <r>
      <rPr>
        <sz val="10"/>
        <rFont val="Verdana"/>
      </rPr>
      <t>Revenues</t>
    </r>
  </si>
  <si>
    <r>
      <t>Other</t>
    </r>
    <r>
      <rPr>
        <sz val="10"/>
        <rFont val="Verdana"/>
      </rPr>
      <t xml:space="preserve"> Operating Costs</t>
    </r>
  </si>
  <si>
    <t>Assistant to the C.F.O.</t>
  </si>
  <si>
    <t>Equity Investment Parameters</t>
  </si>
  <si>
    <t>REVENUES</t>
  </si>
  <si>
    <t>Total Legal &amp; Accounting</t>
  </si>
  <si>
    <t>Total Value</t>
  </si>
  <si>
    <t>% of Purchase price Leased</t>
  </si>
  <si>
    <r>
      <t xml:space="preserve">Leasing </t>
    </r>
    <r>
      <rPr>
        <sz val="10"/>
        <rFont val="Verdana"/>
      </rPr>
      <t>of Equipments</t>
    </r>
  </si>
  <si>
    <t>Europe/Middle East Installations Manager</t>
    <phoneticPr fontId="10"/>
  </si>
  <si>
    <t>Com.%</t>
  </si>
  <si>
    <t>% of Sold Units</t>
    <phoneticPr fontId="10" type="noConversion"/>
  </si>
  <si>
    <t>Total Office Rent &amp; Attached Expenses</t>
  </si>
  <si>
    <t>Upfront Minimum Guaranteed Payment</t>
    <phoneticPr fontId="10"/>
  </si>
  <si>
    <r>
      <t>Commissions</t>
    </r>
    <r>
      <rPr>
        <sz val="10"/>
        <rFont val="Verdana"/>
      </rPr>
      <t xml:space="preserve"> to Business Partners</t>
    </r>
  </si>
  <si>
    <t>Monhly Expenses</t>
  </si>
  <si>
    <t>USA Canada</t>
    <phoneticPr fontId="10" type="noConversion"/>
  </si>
  <si>
    <t>USA Canada</t>
    <phoneticPr fontId="10"/>
  </si>
  <si>
    <t>Sales &amp; Business Assistant Incentive/Bonus</t>
    <phoneticPr fontId="10"/>
  </si>
  <si>
    <t>General Manager South America</t>
  </si>
  <si>
    <t>Croatia</t>
  </si>
  <si>
    <t>N/C</t>
  </si>
  <si>
    <t>SALES</t>
    <phoneticPr fontId="10"/>
  </si>
  <si>
    <r>
      <t xml:space="preserve">Installations </t>
    </r>
    <r>
      <rPr>
        <b/>
        <sz val="20"/>
        <rFont val="Verdana"/>
      </rPr>
      <t>Forecast</t>
    </r>
    <r>
      <rPr>
        <sz val="20"/>
        <rFont val="Verdana"/>
      </rPr>
      <t xml:space="preserve"> (2012-2016)</t>
    </r>
    <phoneticPr fontId="10"/>
  </si>
  <si>
    <t>Equipment's Purchase</t>
    <phoneticPr fontId="10" type="noConversion"/>
  </si>
  <si>
    <t>Total Other Costs</t>
  </si>
  <si>
    <t>Breakdown</t>
    <phoneticPr fontId="10" type="noConversion"/>
  </si>
  <si>
    <t>General Manager Incentive/Bonus</t>
    <phoneticPr fontId="10"/>
  </si>
  <si>
    <t>North America Sales &amp; Service Team</t>
    <phoneticPr fontId="10"/>
  </si>
  <si>
    <t>Other General &amp; Admin Costs</t>
  </si>
  <si>
    <t>Maintenance Contracts Costs</t>
    <phoneticPr fontId="10"/>
  </si>
  <si>
    <t>Total Employees</t>
    <phoneticPr fontId="10"/>
  </si>
  <si>
    <t>Total Employes &amp; Taxes</t>
  </si>
  <si>
    <t>Month of Production (1st Quarter)</t>
  </si>
  <si>
    <t>Cash Flow Need</t>
  </si>
  <si>
    <t>Period</t>
  </si>
  <si>
    <t>Equipment's COG's &amp; Manufacturing</t>
    <phoneticPr fontId="10" type="noConversion"/>
  </si>
  <si>
    <t>Leasing Average Rate (Annual)</t>
  </si>
  <si>
    <t>Asia-Pacific Sales &amp; Service Team</t>
    <phoneticPr fontId="10"/>
  </si>
  <si>
    <t>N/C</t>
    <phoneticPr fontId="10"/>
  </si>
  <si>
    <t>Rental</t>
    <phoneticPr fontId="10"/>
  </si>
  <si>
    <t>Rental Installations</t>
    <phoneticPr fontId="10"/>
  </si>
  <si>
    <t>Commissions</t>
    <phoneticPr fontId="10" type="noConversion"/>
  </si>
  <si>
    <t>Number of Financed/Leased Equipments</t>
  </si>
  <si>
    <t>Purchases</t>
  </si>
  <si>
    <t>Other Sales expenses</t>
  </si>
  <si>
    <t>Production &amp; COG's Parameters</t>
    <phoneticPr fontId="10" type="noConversion"/>
  </si>
  <si>
    <t>Change Rate</t>
    <phoneticPr fontId="10" type="noConversion"/>
  </si>
  <si>
    <t>Total Revenues from RENTAL</t>
    <phoneticPr fontId="10"/>
  </si>
  <si>
    <t>Colombia</t>
    <phoneticPr fontId="10"/>
  </si>
  <si>
    <t>Ecuador</t>
    <phoneticPr fontId="10"/>
  </si>
  <si>
    <t>% Total</t>
  </si>
  <si>
    <t>USA</t>
  </si>
  <si>
    <t>Canada</t>
  </si>
  <si>
    <t>Albania</t>
  </si>
  <si>
    <t>% Rev.</t>
  </si>
  <si>
    <t>5 Years Target</t>
  </si>
  <si>
    <t>Cumulative</t>
  </si>
  <si>
    <t>Payable</t>
  </si>
  <si>
    <t>Revenues (Upfront MG)</t>
    <phoneticPr fontId="10" type="noConversion"/>
  </si>
  <si>
    <t>Net Revenue from Rental</t>
    <phoneticPr fontId="10"/>
  </si>
  <si>
    <t>South America</t>
    <phoneticPr fontId="10"/>
  </si>
  <si>
    <t>Telecom &amp; Internet</t>
  </si>
  <si>
    <t>SALES</t>
    <phoneticPr fontId="10" type="noConversion"/>
  </si>
  <si>
    <t>Total REVENUES</t>
    <phoneticPr fontId="10"/>
  </si>
  <si>
    <t>Total Revenues from SALES</t>
    <phoneticPr fontId="10"/>
  </si>
  <si>
    <t>Business Development Travel Expenses (Africa)</t>
    <phoneticPr fontId="10"/>
  </si>
  <si>
    <t>Europe</t>
  </si>
  <si>
    <t>Africa Sales Manager</t>
    <phoneticPr fontId="10"/>
  </si>
  <si>
    <t>SALES OPERATING COSTS</t>
    <phoneticPr fontId="10"/>
  </si>
  <si>
    <t>RENTAL OPERATING EXPENSES</t>
    <phoneticPr fontId="10"/>
  </si>
  <si>
    <r>
      <t xml:space="preserve">Total </t>
    </r>
    <r>
      <rPr>
        <b/>
        <sz val="10"/>
        <rFont val="Verdana"/>
      </rPr>
      <t>South America</t>
    </r>
    <phoneticPr fontId="10"/>
  </si>
  <si>
    <t>Assistant to the C.E.O.</t>
  </si>
  <si>
    <t>Number of Purchased/Self-Financed Equipments</t>
  </si>
  <si>
    <t>Commissions to Business Partners (Rental)</t>
    <phoneticPr fontId="10" type="noConversion"/>
  </si>
  <si>
    <t>Technician/Engineer (Asia-Pacific)</t>
    <phoneticPr fontId="10"/>
  </si>
  <si>
    <t>Africa Sales Assistant</t>
    <phoneticPr fontId="10"/>
  </si>
  <si>
    <t>Bolivia</t>
    <phoneticPr fontId="10"/>
  </si>
  <si>
    <t>Revenues (Service Fees)</t>
  </si>
  <si>
    <t>EMEA Asia</t>
    <phoneticPr fontId="10"/>
  </si>
  <si>
    <t>Purchase of Equipment (Cash Part)</t>
    <phoneticPr fontId="10"/>
  </si>
  <si>
    <t>EMEA Asia Pac.</t>
    <phoneticPr fontId="10"/>
  </si>
  <si>
    <t>South America</t>
    <phoneticPr fontId="10" type="noConversion"/>
  </si>
  <si>
    <t>GRAND TOTAL</t>
    <phoneticPr fontId="10"/>
  </si>
  <si>
    <t>Territories</t>
  </si>
  <si>
    <t>Provision for Depreciation</t>
  </si>
  <si>
    <t>Minimum Guaranteed Monthly Revenue</t>
  </si>
  <si>
    <t>Sales</t>
    <phoneticPr fontId="10" type="noConversion"/>
  </si>
  <si>
    <t>Africa Sales Team Incentive/Bonus</t>
    <phoneticPr fontId="10"/>
  </si>
  <si>
    <t>Mexico</t>
    <phoneticPr fontId="10"/>
  </si>
  <si>
    <t>Revenues from Service/Rental Contracts</t>
  </si>
  <si>
    <t>Additional Taxes</t>
    <phoneticPr fontId="10"/>
  </si>
  <si>
    <t>Checksum</t>
  </si>
  <si>
    <t>Business Manager North America</t>
  </si>
  <si>
    <t>TOTAL GENERAL &amp; ADMIN</t>
  </si>
  <si>
    <t>Commissions to Business Partners (Rental)</t>
    <phoneticPr fontId="10"/>
  </si>
  <si>
    <t>Commissions to Business Partners (Sales)</t>
    <phoneticPr fontId="10"/>
  </si>
  <si>
    <t>OPTIMOIL Technologies Global</t>
    <phoneticPr fontId="10"/>
  </si>
  <si>
    <t>-</t>
    <phoneticPr fontId="10" type="noConversion"/>
  </si>
  <si>
    <t>Revenues from Sales &amp; Service/Operating Contracts</t>
    <phoneticPr fontId="10"/>
  </si>
  <si>
    <t>S. Amer.</t>
    <phoneticPr fontId="10"/>
  </si>
  <si>
    <t>N. Amer</t>
    <phoneticPr fontId="10"/>
  </si>
  <si>
    <t>NORTH AMERICA</t>
    <phoneticPr fontId="10"/>
  </si>
  <si>
    <t>Total</t>
    <phoneticPr fontId="10" type="noConversion"/>
  </si>
  <si>
    <t>Grand Total</t>
  </si>
  <si>
    <t>Guaranteed Revenue</t>
  </si>
  <si>
    <t>General &amp; Admin</t>
  </si>
  <si>
    <t>Grand Total</t>
    <phoneticPr fontId="10"/>
  </si>
  <si>
    <t>TOTAL TERRITORY MANAGEMENT &amp; STAFF</t>
  </si>
  <si>
    <t>BFR</t>
    <phoneticPr fontId="10" type="noConversion"/>
  </si>
  <si>
    <t>Cash Out MP</t>
    <phoneticPr fontId="10" type="noConversion"/>
  </si>
  <si>
    <t>Cash Out DC</t>
    <phoneticPr fontId="10" type="noConversion"/>
  </si>
  <si>
    <t>Total</t>
    <phoneticPr fontId="10" type="noConversion"/>
  </si>
  <si>
    <t>Tunisia</t>
  </si>
  <si>
    <t>Production (Barrels)</t>
  </si>
  <si>
    <t>Shipping &amp; Installation</t>
  </si>
  <si>
    <t>Leasing Payments</t>
  </si>
  <si>
    <t>Leasing</t>
  </si>
  <si>
    <r>
      <t xml:space="preserve">OPTIMOIL &amp; LIFTOIL: </t>
    </r>
    <r>
      <rPr>
        <b/>
        <sz val="24"/>
        <rFont val="Verdana"/>
      </rPr>
      <t>Global Business Plan v3.2</t>
    </r>
    <r>
      <rPr>
        <sz val="24"/>
        <rFont val="Verdana"/>
      </rPr>
      <t xml:space="preserve"> (2012-2016)</t>
    </r>
    <phoneticPr fontId="10" type="noConversion"/>
  </si>
  <si>
    <t>Black Africa</t>
    <phoneticPr fontId="10"/>
  </si>
  <si>
    <t>N/C</t>
    <phoneticPr fontId="10"/>
  </si>
  <si>
    <t>Middle East</t>
    <phoneticPr fontId="10"/>
  </si>
  <si>
    <t>Liftoil</t>
    <phoneticPr fontId="10" type="noConversion"/>
  </si>
  <si>
    <t>Total Office &amp; Administrative Expenses</t>
  </si>
  <si>
    <t>Venezuela</t>
    <phoneticPr fontId="10"/>
  </si>
  <si>
    <t>Argentina</t>
    <phoneticPr fontId="10"/>
  </si>
  <si>
    <t>OPTIMOIL</t>
    <phoneticPr fontId="10" type="noConversion"/>
  </si>
  <si>
    <t>Others</t>
    <phoneticPr fontId="10"/>
  </si>
  <si>
    <t>Asia-Pacific</t>
  </si>
  <si>
    <t>South America</t>
    <phoneticPr fontId="10"/>
  </si>
  <si>
    <t>Other sales expenses</t>
  </si>
  <si>
    <t>Booked</t>
  </si>
  <si>
    <t>Q1</t>
  </si>
  <si>
    <t>Q2</t>
  </si>
  <si>
    <t>Q3</t>
  </si>
  <si>
    <t>Q4</t>
  </si>
  <si>
    <t>Financing Calculations</t>
  </si>
  <si>
    <t>Value of Purchased Equipments</t>
  </si>
  <si>
    <t>Value</t>
  </si>
  <si>
    <t>Cash</t>
  </si>
  <si>
    <t>Total Expenses</t>
    <phoneticPr fontId="10" type="noConversion"/>
  </si>
  <si>
    <t>Revenues</t>
    <phoneticPr fontId="10" type="noConversion"/>
  </si>
  <si>
    <t>Expenses</t>
    <phoneticPr fontId="10" type="noConversion"/>
  </si>
  <si>
    <r>
      <t>Depreciation Annual Rate</t>
    </r>
    <r>
      <rPr>
        <sz val="8"/>
        <rFont val="Verdana"/>
      </rPr>
      <t xml:space="preserve"> (5)</t>
    </r>
  </si>
  <si>
    <t>Contribution to R&amp;D (4)</t>
  </si>
  <si>
    <t>Sales (Units)</t>
    <phoneticPr fontId="10"/>
  </si>
  <si>
    <r>
      <t>Shipping, Handling &amp; Installation Costs</t>
    </r>
    <r>
      <rPr>
        <sz val="8"/>
        <rFont val="Verdana"/>
      </rPr>
      <t xml:space="preserve"> (1)</t>
    </r>
  </si>
  <si>
    <t>LIFTOIL</t>
    <phoneticPr fontId="10" type="noConversion"/>
  </si>
  <si>
    <t>LIFTOIL</t>
    <phoneticPr fontId="10" type="noConversion"/>
  </si>
  <si>
    <t>OPTIMOIL</t>
    <phoneticPr fontId="10" type="noConversion"/>
  </si>
  <si>
    <t>Company Cars &amp; attached expenses</t>
  </si>
  <si>
    <t>Equipment's Leasing</t>
  </si>
  <si>
    <t>US$ -&gt; Euro</t>
  </si>
  <si>
    <t>Total Units Sold</t>
    <phoneticPr fontId="10"/>
  </si>
  <si>
    <t>Total Units Installed</t>
    <phoneticPr fontId="10"/>
  </si>
  <si>
    <t>Maintenance Contracts Costs</t>
    <phoneticPr fontId="10"/>
  </si>
  <si>
    <t>Service Contracts Costs</t>
    <phoneticPr fontId="10"/>
  </si>
  <si>
    <t>Without Contract</t>
    <phoneticPr fontId="10" type="noConversion"/>
  </si>
  <si>
    <t>% Rented Units</t>
    <phoneticPr fontId="10" type="noConversion"/>
  </si>
  <si>
    <r>
      <t>Spare Parts &amp; Maintenance</t>
    </r>
    <r>
      <rPr>
        <sz val="8"/>
        <rFont val="Verdana"/>
      </rPr>
      <t xml:space="preserve"> (2)</t>
    </r>
    <phoneticPr fontId="10" type="noConversion"/>
  </si>
  <si>
    <t>Spare Parts &amp; Maintenance (No Contracts)</t>
    <phoneticPr fontId="10"/>
  </si>
  <si>
    <t>Installations Forecast (Sales)</t>
    <phoneticPr fontId="10"/>
  </si>
  <si>
    <t>Equipment Sales (Units)</t>
    <phoneticPr fontId="10"/>
  </si>
  <si>
    <t>TERRITORY MANAGEMENT &amp; STAFF</t>
  </si>
  <si>
    <t>Test Campaign Fees</t>
    <phoneticPr fontId="10"/>
  </si>
  <si>
    <t>Total Inventory &amp; Test Equipments</t>
    <phoneticPr fontId="10"/>
  </si>
  <si>
    <t>Others</t>
    <phoneticPr fontId="10"/>
  </si>
  <si>
    <t>Total Inventory &amp; Equipments</t>
    <phoneticPr fontId="10"/>
  </si>
  <si>
    <t>Service Contracts Costs</t>
    <phoneticPr fontId="10"/>
  </si>
  <si>
    <t>Service &amp; Maintenance Costs</t>
  </si>
  <si>
    <t>Other Legal &amp; Accounting Fees</t>
  </si>
  <si>
    <t>Equipments &amp; Production Inventory</t>
    <phoneticPr fontId="10"/>
  </si>
  <si>
    <t>Setup &amp; Infrastructures</t>
    <phoneticPr fontId="10"/>
  </si>
  <si>
    <t>Service &amp; Maintenance Costs</t>
    <phoneticPr fontId="10"/>
  </si>
  <si>
    <t>Contribution to R&amp;D</t>
    <phoneticPr fontId="10" type="noConversion"/>
  </si>
  <si>
    <t>Service/Operating Contracts</t>
    <phoneticPr fontId="10" type="noConversion"/>
  </si>
  <si>
    <r>
      <t xml:space="preserve">OPTIMOIL &amp; LIFTOIL: </t>
    </r>
    <r>
      <rPr>
        <b/>
        <sz val="24"/>
        <rFont val="Verdana"/>
      </rPr>
      <t xml:space="preserve">OPTIMOIL Business Plan v3.2 </t>
    </r>
    <r>
      <rPr>
        <sz val="24"/>
        <rFont val="Verdana"/>
      </rPr>
      <t>(2012-2016)</t>
    </r>
    <phoneticPr fontId="10" type="noConversion"/>
  </si>
  <si>
    <t>Revenues (Upfront MG)</t>
    <phoneticPr fontId="10" type="noConversion"/>
  </si>
  <si>
    <t>Revenues (Rental &amp; Service Contracts)</t>
    <phoneticPr fontId="10" type="noConversion"/>
  </si>
  <si>
    <r>
      <t xml:space="preserve">OPTIMOIL &amp; LIFTOIL : </t>
    </r>
    <r>
      <rPr>
        <b/>
        <sz val="24"/>
        <rFont val="Verdana"/>
      </rPr>
      <t>LIFTOIL Business Plan v3.2</t>
    </r>
    <r>
      <rPr>
        <sz val="24"/>
        <rFont val="Verdana"/>
      </rPr>
      <t xml:space="preserve"> (2012-2016)</t>
    </r>
    <phoneticPr fontId="10" type="noConversion"/>
  </si>
  <si>
    <t>OPTIMOIL Technologies Global - BUSINESS PLAN v3.2</t>
    <phoneticPr fontId="10"/>
  </si>
  <si>
    <t>Production Unit Rent</t>
    <phoneticPr fontId="10"/>
  </si>
  <si>
    <t>South America Office Setup</t>
    <phoneticPr fontId="10"/>
  </si>
  <si>
    <t>South America Workshop Setup</t>
    <phoneticPr fontId="10"/>
  </si>
  <si>
    <t>South America Office Rent</t>
    <phoneticPr fontId="10"/>
  </si>
  <si>
    <t>South America Production Unit Rent</t>
    <phoneticPr fontId="10"/>
  </si>
  <si>
    <t>North America Office Setup</t>
    <phoneticPr fontId="10"/>
  </si>
  <si>
    <t>North America Office Rent</t>
    <phoneticPr fontId="10"/>
  </si>
  <si>
    <t>Production rolling Inventory</t>
    <phoneticPr fontId="10"/>
  </si>
  <si>
    <t>RENTAL</t>
    <phoneticPr fontId="10" type="noConversion"/>
  </si>
  <si>
    <t>SALES</t>
    <phoneticPr fontId="10" type="noConversion"/>
  </si>
  <si>
    <t>PRODUCTION</t>
    <phoneticPr fontId="10" type="noConversion"/>
  </si>
  <si>
    <t>Business Parameters</t>
    <phoneticPr fontId="10" type="noConversion"/>
  </si>
  <si>
    <t>Maintenance Contracts</t>
    <phoneticPr fontId="10"/>
  </si>
  <si>
    <t>Service Contracts</t>
    <phoneticPr fontId="10"/>
  </si>
  <si>
    <t>Amount</t>
    <phoneticPr fontId="10" type="noConversion"/>
  </si>
  <si>
    <t>% of Contracts</t>
    <phoneticPr fontId="10" type="noConversion"/>
  </si>
  <si>
    <t>Sales</t>
    <phoneticPr fontId="10" type="noConversion"/>
  </si>
  <si>
    <t>Margin % on Service Contracts</t>
    <phoneticPr fontId="10" type="noConversion"/>
  </si>
  <si>
    <t>Maintenance &amp; Service Contracts Parameters</t>
    <phoneticPr fontId="10" type="noConversion"/>
  </si>
  <si>
    <t>% of Rented Units</t>
    <phoneticPr fontId="10" type="noConversion"/>
  </si>
  <si>
    <t>% of Rented Units</t>
    <phoneticPr fontId="10" type="noConversion"/>
  </si>
  <si>
    <t>Margin % on Maintenance Contracts</t>
    <phoneticPr fontId="10" type="noConversion"/>
  </si>
  <si>
    <t>Maintenance Contracts</t>
    <phoneticPr fontId="10" type="noConversion"/>
  </si>
  <si>
    <t>Service/Operating Contract</t>
    <phoneticPr fontId="10" type="noConversion"/>
  </si>
  <si>
    <t>% of Rented Equipments to be Leased</t>
    <phoneticPr fontId="10" type="noConversion"/>
  </si>
  <si>
    <t>COSTS PARAMETERS</t>
    <phoneticPr fontId="10" type="noConversion"/>
  </si>
  <si>
    <t>Chile</t>
    <phoneticPr fontId="10"/>
  </si>
  <si>
    <t>SALES REVENUE</t>
    <phoneticPr fontId="10"/>
  </si>
  <si>
    <t>Commissions</t>
  </si>
  <si>
    <t>Upfront Minimum Guaranteed Payment</t>
    <phoneticPr fontId="10" type="noConversion"/>
  </si>
  <si>
    <t>C.E.O. Optimoil Americas</t>
  </si>
  <si>
    <t>GLOBAL</t>
    <phoneticPr fontId="10" type="noConversion"/>
  </si>
  <si>
    <t>Average Production per Unit (barrels of Oil per day / Bpd)</t>
  </si>
  <si>
    <t>Invoiced Fee per Barrel of Oil produced</t>
  </si>
  <si>
    <t>Equipment Installations (Units)</t>
  </si>
  <si>
    <t>Cash Flow (US$)</t>
    <phoneticPr fontId="10" type="noConversion"/>
  </si>
  <si>
    <t>Equity Share</t>
  </si>
  <si>
    <t>Equity Valuation</t>
  </si>
  <si>
    <t>Revenues (Upfront MG payback)</t>
    <phoneticPr fontId="10" type="noConversion"/>
  </si>
  <si>
    <t>Total Setup Fees</t>
    <phoneticPr fontId="10"/>
  </si>
  <si>
    <t>Others</t>
    <phoneticPr fontId="10"/>
  </si>
  <si>
    <t>RENTAL</t>
    <phoneticPr fontId="10"/>
  </si>
  <si>
    <t>C.F.O. Optimoil Americas</t>
  </si>
  <si>
    <t>TOTAL</t>
  </si>
  <si>
    <t>SOUTH AMERICA</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</si>
</sst>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64" formatCode="#,##0&quot; €&quot;;[Red]\-#,##0&quot; €&quot;"/>
    <numFmt numFmtId="169" formatCode="\$\k#,##0"/>
    <numFmt numFmtId="170" formatCode="[$$-409]#,##0"/>
    <numFmt numFmtId="171" formatCode="0.0"/>
    <numFmt numFmtId="172" formatCode="[$$-409]#,##0.00"/>
    <numFmt numFmtId="173" formatCode="0.0%"/>
    <numFmt numFmtId="174" formatCode="[&lt;&gt;0]#,##0;"/>
    <numFmt numFmtId="175" formatCode="[&lt;&gt;0][$$-409]#,##0;"/>
    <numFmt numFmtId="176" formatCode="[&lt;&gt;0]0%;"/>
    <numFmt numFmtId="177" formatCode="0&quot; Days&quot;"/>
    <numFmt numFmtId="178" formatCode="[$$-409]#,##0_ ;[Red]\-[$$-409]#,##0\ "/>
    <numFmt numFmtId="179" formatCode="[$$-409]#,##0_ ;\-[$$-409]#,##0\ "/>
    <numFmt numFmtId="180" formatCode="#,##0&quot; €&quot;"/>
    <numFmt numFmtId="181" formatCode="0&quot; Months&quot;"/>
    <numFmt numFmtId="182" formatCode="#,##0.00&quot; €&quot;"/>
    <numFmt numFmtId="183" formatCode="[&lt;&gt;0]\+0%;"/>
    <numFmt numFmtId="184" formatCode="#,##0\+"/>
    <numFmt numFmtId="185" formatCode="[&gt;0]\+0%;[&lt;0]\-0%;"/>
    <numFmt numFmtId="186" formatCode="[&lt;&gt;0]#,##0&quot; €&quot;;"/>
    <numFmt numFmtId="187" formatCode="#,##0.0"/>
    <numFmt numFmtId="188" formatCode="_ * #,##0_ \ [$€-1]_ ;_ * \-#,##0\ \ [$€-1]_ ;_ * &quot;-&quot;??_ \ [$€-1]_ ;_ @_ "/>
    <numFmt numFmtId="189" formatCode="#,##0\ [$€-1]_ ;\-#,##0\ [$€-1]\ "/>
    <numFmt numFmtId="190" formatCode="[&lt;&gt;0]#,##0&quot;€&quot;;"/>
    <numFmt numFmtId="191" formatCode="[&gt;0][$$-409]#,##0_ ;[Red][&lt;0]\-[$$-409]#,##0\ ;"/>
    <numFmt numFmtId="192" formatCode="[&gt;0]#,##0\ &quot;€&quot;\ ;[Red][&lt;0]\-#,##0\ &quot;€&quot;;"/>
    <numFmt numFmtId="193" formatCode="[&lt;&gt;0][$$-409]#,##0_ ;[Red]\-[$$-409]#,##0\ ;"/>
  </numFmts>
  <fonts count="37" x14ac:knownFonts="1">
    <font>
      <sz val="10"/>
      <name val="Verdana"/>
    </font>
    <font>
      <b/>
      <sz val="10"/>
      <name val="Verdana"/>
    </font>
    <font>
      <i/>
      <sz val="10"/>
      <name val="Verdana"/>
    </font>
    <font>
      <b/>
      <i/>
      <sz val="10"/>
      <name val="Verdana"/>
    </font>
    <font>
      <sz val="10"/>
      <name val="Verdana"/>
    </font>
    <font>
      <b/>
      <sz val="10"/>
      <color indexed="12"/>
      <name val="Verdana"/>
    </font>
    <font>
      <b/>
      <sz val="14"/>
      <name val="Verdana"/>
    </font>
    <font>
      <b/>
      <sz val="12"/>
      <name val="Verdana"/>
    </font>
    <font>
      <b/>
      <sz val="11"/>
      <name val="Verdana"/>
    </font>
    <font>
      <sz val="10"/>
      <color indexed="12"/>
      <name val="Verdana"/>
    </font>
    <font>
      <sz val="8"/>
      <name val="Verdana"/>
    </font>
    <font>
      <b/>
      <sz val="9"/>
      <color indexed="12"/>
      <name val="Verdana"/>
    </font>
    <font>
      <b/>
      <sz val="9"/>
      <name val="Verdana"/>
    </font>
    <font>
      <sz val="9"/>
      <name val="Verdana"/>
    </font>
    <font>
      <b/>
      <sz val="18"/>
      <color indexed="9"/>
      <name val="Verdana"/>
    </font>
    <font>
      <i/>
      <sz val="9"/>
      <name val="Verdana"/>
    </font>
    <font>
      <b/>
      <sz val="22"/>
      <name val="Verdana"/>
    </font>
    <font>
      <sz val="24"/>
      <name val="Verdana"/>
    </font>
    <font>
      <sz val="6"/>
      <name val="Verdana"/>
    </font>
    <font>
      <b/>
      <sz val="8"/>
      <name val="Verdana"/>
    </font>
    <font>
      <b/>
      <sz val="26"/>
      <name val="Verdana"/>
    </font>
    <font>
      <b/>
      <i/>
      <sz val="9"/>
      <name val="Verdana"/>
    </font>
    <font>
      <sz val="9"/>
      <color indexed="12"/>
      <name val="Verdana"/>
    </font>
    <font>
      <sz val="11"/>
      <name val="Verdana"/>
    </font>
    <font>
      <sz val="20"/>
      <name val="Verdana"/>
    </font>
    <font>
      <i/>
      <sz val="10"/>
      <color indexed="12"/>
      <name val="Verdana"/>
    </font>
    <font>
      <sz val="12"/>
      <name val="Verdana"/>
    </font>
    <font>
      <b/>
      <i/>
      <sz val="10"/>
      <color indexed="12"/>
      <name val="Verdana"/>
    </font>
    <font>
      <i/>
      <sz val="9"/>
      <color indexed="12"/>
      <name val="Verdana"/>
    </font>
    <font>
      <b/>
      <sz val="24"/>
      <name val="Verdana"/>
    </font>
    <font>
      <b/>
      <sz val="18"/>
      <name val="Verdana"/>
    </font>
    <font>
      <sz val="18"/>
      <name val="Verdana"/>
    </font>
    <font>
      <b/>
      <sz val="20"/>
      <name val="Verdana"/>
    </font>
    <font>
      <b/>
      <i/>
      <sz val="11"/>
      <name val="Verdana"/>
    </font>
    <font>
      <b/>
      <sz val="8"/>
      <color indexed="12"/>
      <name val="Verdana"/>
    </font>
    <font>
      <sz val="16"/>
      <name val="Verdana"/>
    </font>
    <font>
      <b/>
      <sz val="16"/>
      <name val="Verdana"/>
    </font>
  </fonts>
  <fills count="13">
    <fill>
      <patternFill patternType="none"/>
    </fill>
    <fill>
      <patternFill patternType="gray125"/>
    </fill>
    <fill>
      <patternFill patternType="solid">
        <fgColor indexed="44"/>
        <bgColor indexed="64"/>
      </patternFill>
    </fill>
    <fill>
      <patternFill patternType="solid">
        <fgColor indexed="18"/>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46"/>
        <bgColor indexed="64"/>
      </patternFill>
    </fill>
    <fill>
      <patternFill patternType="solid">
        <fgColor indexed="23"/>
        <bgColor indexed="64"/>
      </patternFill>
    </fill>
    <fill>
      <patternFill patternType="solid">
        <fgColor indexed="57"/>
        <bgColor indexed="64"/>
      </patternFill>
    </fill>
    <fill>
      <patternFill patternType="solid">
        <fgColor indexed="4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9" fontId="4" fillId="0" borderId="0" applyFont="0" applyFill="0" applyBorder="0" applyAlignment="0" applyProtection="0"/>
  </cellStyleXfs>
  <cellXfs count="926">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5" fillId="0" borderId="0" xfId="0" applyFont="1" applyAlignment="1">
      <alignment horizontal="center" vertical="center"/>
    </xf>
    <xf numFmtId="0" fontId="0" fillId="0" borderId="1" xfId="0" applyBorder="1" applyAlignment="1">
      <alignment vertical="center"/>
    </xf>
    <xf numFmtId="169" fontId="0" fillId="0" borderId="0" xfId="0" applyNumberFormat="1" applyAlignment="1">
      <alignment vertical="center"/>
    </xf>
    <xf numFmtId="170" fontId="0" fillId="0" borderId="0" xfId="0" applyNumberFormat="1" applyAlignment="1">
      <alignment horizontal="right" vertical="center"/>
    </xf>
    <xf numFmtId="170" fontId="0" fillId="0" borderId="0" xfId="0" applyNumberFormat="1" applyAlignment="1">
      <alignment vertical="center"/>
    </xf>
    <xf numFmtId="0" fontId="1" fillId="0" borderId="0" xfId="0" applyFont="1" applyBorder="1" applyAlignment="1">
      <alignment horizontal="center" vertical="center"/>
    </xf>
    <xf numFmtId="174" fontId="1" fillId="0" borderId="1" xfId="0" applyNumberFormat="1" applyFont="1" applyFill="1" applyBorder="1" applyAlignment="1">
      <alignment horizontal="center" vertical="center"/>
    </xf>
    <xf numFmtId="175" fontId="0" fillId="0" borderId="1" xfId="0" applyNumberFormat="1" applyBorder="1" applyAlignment="1">
      <alignment horizontal="right" vertical="center"/>
    </xf>
    <xf numFmtId="175" fontId="8" fillId="0" borderId="1" xfId="0" applyNumberFormat="1" applyFont="1" applyBorder="1" applyAlignment="1">
      <alignment horizontal="right" vertical="center"/>
    </xf>
    <xf numFmtId="175" fontId="1" fillId="0" borderId="0" xfId="0" applyNumberFormat="1" applyFont="1" applyBorder="1" applyAlignment="1">
      <alignment horizontal="right" vertical="center"/>
    </xf>
    <xf numFmtId="174" fontId="4" fillId="0" borderId="1" xfId="0" applyNumberFormat="1" applyFont="1" applyFill="1" applyBorder="1" applyAlignment="1">
      <alignment horizontal="center" vertical="center"/>
    </xf>
    <xf numFmtId="174" fontId="2" fillId="0" borderId="1" xfId="0" applyNumberFormat="1" applyFont="1" applyFill="1" applyBorder="1" applyAlignment="1">
      <alignment horizontal="center" vertical="center"/>
    </xf>
    <xf numFmtId="0" fontId="12" fillId="0" borderId="0" xfId="0" applyFont="1" applyBorder="1" applyAlignment="1">
      <alignment horizontal="center" vertical="center"/>
    </xf>
    <xf numFmtId="0" fontId="7" fillId="0" borderId="0" xfId="0" applyFont="1" applyAlignment="1">
      <alignment horizontal="center" vertical="center"/>
    </xf>
    <xf numFmtId="0" fontId="0" fillId="0" borderId="2" xfId="0" applyBorder="1" applyAlignment="1">
      <alignment vertical="center"/>
    </xf>
    <xf numFmtId="0" fontId="0" fillId="0" borderId="3" xfId="0" applyBorder="1" applyAlignment="1">
      <alignment vertical="center"/>
    </xf>
    <xf numFmtId="175" fontId="0" fillId="0" borderId="4" xfId="0" applyNumberFormat="1" applyBorder="1" applyAlignment="1">
      <alignment horizontal="right" vertical="center"/>
    </xf>
    <xf numFmtId="175" fontId="0" fillId="0" borderId="5" xfId="0" applyNumberFormat="1" applyBorder="1" applyAlignment="1">
      <alignment horizontal="right" vertical="center"/>
    </xf>
    <xf numFmtId="170" fontId="7" fillId="0" borderId="6" xfId="0" applyNumberFormat="1" applyFont="1" applyBorder="1" applyAlignment="1">
      <alignment horizontal="right" vertical="center"/>
    </xf>
    <xf numFmtId="3" fontId="1" fillId="0" borderId="4" xfId="0" applyNumberFormat="1" applyFont="1" applyBorder="1" applyAlignment="1">
      <alignment horizontal="center" vertical="center"/>
    </xf>
    <xf numFmtId="173" fontId="4" fillId="0" borderId="7" xfId="1" applyNumberFormat="1" applyFont="1" applyFill="1" applyBorder="1" applyAlignment="1">
      <alignment horizontal="center" vertical="center"/>
    </xf>
    <xf numFmtId="0" fontId="7" fillId="2" borderId="2" xfId="0" applyFont="1" applyFill="1" applyBorder="1" applyAlignment="1">
      <alignment horizontal="center" vertical="center"/>
    </xf>
    <xf numFmtId="0" fontId="0" fillId="0" borderId="8" xfId="0" applyBorder="1" applyAlignment="1">
      <alignment vertical="center"/>
    </xf>
    <xf numFmtId="170" fontId="11" fillId="0" borderId="9" xfId="0" applyNumberFormat="1" applyFont="1" applyBorder="1" applyAlignment="1">
      <alignment horizontal="center" vertical="center"/>
    </xf>
    <xf numFmtId="170" fontId="5" fillId="0" borderId="10" xfId="0" applyNumberFormat="1" applyFont="1" applyBorder="1" applyAlignment="1">
      <alignment horizontal="center" vertical="center"/>
    </xf>
    <xf numFmtId="170" fontId="11" fillId="0" borderId="11" xfId="0" applyNumberFormat="1" applyFont="1" applyBorder="1" applyAlignment="1">
      <alignment horizontal="center" vertical="center"/>
    </xf>
    <xf numFmtId="170" fontId="5" fillId="0" borderId="12" xfId="0" applyNumberFormat="1" applyFont="1" applyBorder="1" applyAlignment="1">
      <alignment horizontal="center" vertical="center"/>
    </xf>
    <xf numFmtId="0" fontId="0" fillId="0" borderId="13" xfId="0" applyBorder="1" applyAlignment="1">
      <alignment vertical="center"/>
    </xf>
    <xf numFmtId="9" fontId="11" fillId="0" borderId="14" xfId="0" applyNumberFormat="1" applyFont="1" applyBorder="1" applyAlignment="1">
      <alignment horizontal="center" vertical="center"/>
    </xf>
    <xf numFmtId="170" fontId="4" fillId="0" borderId="15" xfId="0" applyNumberFormat="1" applyFont="1" applyBorder="1" applyAlignment="1">
      <alignment horizontal="center" vertical="center"/>
    </xf>
    <xf numFmtId="175" fontId="0" fillId="0" borderId="16" xfId="0" applyNumberFormat="1" applyBorder="1" applyAlignment="1">
      <alignment horizontal="right" vertical="center"/>
    </xf>
    <xf numFmtId="0" fontId="1" fillId="0" borderId="17" xfId="0" applyFont="1" applyBorder="1" applyAlignment="1">
      <alignment vertical="center"/>
    </xf>
    <xf numFmtId="175" fontId="8" fillId="0" borderId="18" xfId="0" applyNumberFormat="1" applyFont="1" applyBorder="1" applyAlignment="1">
      <alignment horizontal="right" vertical="center"/>
    </xf>
    <xf numFmtId="170" fontId="11" fillId="0" borderId="14" xfId="0" applyNumberFormat="1" applyFont="1" applyBorder="1" applyAlignment="1">
      <alignment horizontal="center" vertical="center"/>
    </xf>
    <xf numFmtId="170" fontId="5" fillId="0" borderId="15" xfId="0" applyNumberFormat="1" applyFont="1" applyBorder="1" applyAlignment="1">
      <alignment horizontal="center" vertical="center"/>
    </xf>
    <xf numFmtId="0" fontId="13" fillId="0" borderId="14" xfId="0" applyFont="1" applyBorder="1" applyAlignment="1">
      <alignment vertical="center"/>
    </xf>
    <xf numFmtId="0" fontId="8" fillId="0" borderId="17" xfId="0" applyFont="1" applyBorder="1" applyAlignment="1">
      <alignment vertical="center"/>
    </xf>
    <xf numFmtId="0" fontId="14" fillId="3" borderId="18" xfId="0" applyFont="1" applyFill="1" applyBorder="1" applyAlignment="1">
      <alignment horizontal="center" vertical="center"/>
    </xf>
    <xf numFmtId="0" fontId="8" fillId="2" borderId="17" xfId="0" applyFont="1" applyFill="1" applyBorder="1" applyAlignment="1">
      <alignment horizontal="center" vertical="center"/>
    </xf>
    <xf numFmtId="0" fontId="0" fillId="0" borderId="19" xfId="0" applyBorder="1" applyAlignment="1">
      <alignment vertical="center"/>
    </xf>
    <xf numFmtId="0" fontId="13" fillId="0" borderId="20" xfId="0" applyFont="1" applyBorder="1" applyAlignment="1">
      <alignment vertical="center"/>
    </xf>
    <xf numFmtId="170" fontId="5" fillId="0" borderId="21" xfId="0" applyNumberFormat="1" applyFont="1" applyBorder="1" applyAlignment="1">
      <alignment horizontal="center" vertical="center"/>
    </xf>
    <xf numFmtId="175" fontId="0" fillId="0" borderId="22" xfId="0" applyNumberFormat="1" applyBorder="1" applyAlignment="1">
      <alignment horizontal="right" vertical="center"/>
    </xf>
    <xf numFmtId="175" fontId="0" fillId="0" borderId="23" xfId="0" applyNumberFormat="1" applyBorder="1" applyAlignment="1">
      <alignment horizontal="right" vertical="center"/>
    </xf>
    <xf numFmtId="175" fontId="0" fillId="0" borderId="10" xfId="0" applyNumberFormat="1" applyBorder="1" applyAlignment="1">
      <alignment horizontal="right" vertical="center"/>
    </xf>
    <xf numFmtId="175" fontId="0" fillId="0" borderId="24" xfId="0" applyNumberFormat="1" applyBorder="1" applyAlignment="1">
      <alignment horizontal="right" vertical="center"/>
    </xf>
    <xf numFmtId="175" fontId="0" fillId="0" borderId="15" xfId="0" applyNumberFormat="1" applyBorder="1" applyAlignment="1">
      <alignment horizontal="right" vertical="center"/>
    </xf>
    <xf numFmtId="175" fontId="0" fillId="0" borderId="12" xfId="0" applyNumberFormat="1" applyBorder="1" applyAlignment="1">
      <alignment horizontal="right" vertical="center"/>
    </xf>
    <xf numFmtId="175" fontId="0" fillId="0" borderId="25" xfId="0" applyNumberFormat="1" applyBorder="1" applyAlignment="1">
      <alignment horizontal="right" vertical="center"/>
    </xf>
    <xf numFmtId="175" fontId="0" fillId="0" borderId="21" xfId="0" applyNumberFormat="1" applyBorder="1" applyAlignment="1">
      <alignment horizontal="right" vertical="center"/>
    </xf>
    <xf numFmtId="1" fontId="5" fillId="0" borderId="0" xfId="0" applyNumberFormat="1" applyFont="1" applyBorder="1" applyAlignment="1">
      <alignment horizontal="center" vertical="center"/>
    </xf>
    <xf numFmtId="1" fontId="5" fillId="0" borderId="0" xfId="0" applyNumberFormat="1" applyFont="1" applyAlignment="1">
      <alignment horizontal="center" vertical="center"/>
    </xf>
    <xf numFmtId="1" fontId="5" fillId="0" borderId="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1" xfId="0" applyNumberFormat="1" applyFont="1" applyBorder="1" applyAlignment="1">
      <alignment horizontal="center" vertical="center"/>
    </xf>
    <xf numFmtId="1" fontId="5" fillId="0" borderId="20" xfId="0" applyNumberFormat="1" applyFont="1" applyBorder="1" applyAlignment="1">
      <alignment horizontal="center" vertical="center"/>
    </xf>
    <xf numFmtId="0" fontId="0" fillId="0" borderId="1" xfId="0" applyBorder="1" applyAlignment="1">
      <alignment horizontal="center" vertical="center"/>
    </xf>
    <xf numFmtId="0" fontId="1" fillId="0" borderId="2" xfId="0" applyFont="1" applyBorder="1" applyAlignment="1">
      <alignment vertical="center"/>
    </xf>
    <xf numFmtId="175" fontId="1" fillId="0" borderId="4" xfId="0" applyNumberFormat="1" applyFont="1" applyBorder="1" applyAlignment="1">
      <alignment horizontal="right" vertical="center"/>
    </xf>
    <xf numFmtId="9" fontId="11" fillId="0" borderId="26" xfId="0" applyNumberFormat="1" applyFont="1" applyBorder="1" applyAlignment="1">
      <alignment horizontal="center" vertical="center"/>
    </xf>
    <xf numFmtId="0" fontId="6" fillId="0" borderId="18" xfId="0" applyFont="1" applyBorder="1" applyAlignment="1">
      <alignment horizontal="center" vertical="center"/>
    </xf>
    <xf numFmtId="0" fontId="1" fillId="0" borderId="1" xfId="0" applyFont="1" applyBorder="1" applyAlignment="1">
      <alignment vertical="center"/>
    </xf>
    <xf numFmtId="175" fontId="13" fillId="0" borderId="1" xfId="0" applyNumberFormat="1" applyFont="1" applyFill="1" applyBorder="1" applyAlignment="1">
      <alignment horizontal="center" vertical="center"/>
    </xf>
    <xf numFmtId="14" fontId="12" fillId="0" borderId="1" xfId="0" applyNumberFormat="1" applyFont="1" applyBorder="1" applyAlignment="1">
      <alignment horizontal="center" vertical="center"/>
    </xf>
    <xf numFmtId="175" fontId="13" fillId="0" borderId="1" xfId="0" applyNumberFormat="1" applyFont="1" applyBorder="1" applyAlignment="1">
      <alignment vertical="center"/>
    </xf>
    <xf numFmtId="0" fontId="13" fillId="0" borderId="1" xfId="0" applyFont="1" applyBorder="1" applyAlignment="1">
      <alignment horizontal="center"/>
    </xf>
    <xf numFmtId="0" fontId="0" fillId="0" borderId="27" xfId="0" applyBorder="1" applyAlignment="1">
      <alignment vertical="center"/>
    </xf>
    <xf numFmtId="175" fontId="13" fillId="0" borderId="24" xfId="0" applyNumberFormat="1" applyFont="1" applyFill="1" applyBorder="1" applyAlignment="1">
      <alignment horizontal="center" vertical="center"/>
    </xf>
    <xf numFmtId="175" fontId="13" fillId="0" borderId="28"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5" fontId="13" fillId="0" borderId="5" xfId="0" applyNumberFormat="1" applyFont="1" applyFill="1" applyBorder="1" applyAlignment="1">
      <alignment horizontal="center" vertical="center"/>
    </xf>
    <xf numFmtId="0" fontId="0" fillId="0" borderId="24" xfId="0" applyBorder="1" applyAlignment="1">
      <alignment vertical="center"/>
    </xf>
    <xf numFmtId="177" fontId="1" fillId="0" borderId="15" xfId="0" applyNumberFormat="1" applyFont="1" applyFill="1" applyBorder="1" applyAlignment="1">
      <alignment horizontal="center" vertical="center"/>
    </xf>
    <xf numFmtId="175" fontId="13" fillId="0" borderId="16" xfId="0" applyNumberFormat="1" applyFont="1" applyFill="1" applyBorder="1" applyAlignment="1">
      <alignment horizontal="center" vertical="center"/>
    </xf>
    <xf numFmtId="175" fontId="15" fillId="0" borderId="5" xfId="0" applyNumberFormat="1" applyFont="1" applyFill="1" applyBorder="1" applyAlignment="1">
      <alignment horizontal="center" vertical="center"/>
    </xf>
    <xf numFmtId="14" fontId="12" fillId="4" borderId="1" xfId="0" applyNumberFormat="1" applyFont="1" applyFill="1" applyBorder="1" applyAlignment="1">
      <alignment horizontal="center" vertical="center"/>
    </xf>
    <xf numFmtId="14" fontId="11" fillId="5" borderId="1" xfId="0" applyNumberFormat="1" applyFont="1" applyFill="1" applyBorder="1" applyAlignment="1">
      <alignment horizontal="center" vertical="center"/>
    </xf>
    <xf numFmtId="175" fontId="15" fillId="0" borderId="28" xfId="0" applyNumberFormat="1" applyFont="1" applyFill="1" applyBorder="1" applyAlignment="1">
      <alignment horizontal="center" vertical="center"/>
    </xf>
    <xf numFmtId="0" fontId="0" fillId="0" borderId="0" xfId="0" applyAlignment="1"/>
    <xf numFmtId="0" fontId="0" fillId="0" borderId="0" xfId="0" applyFill="1" applyAlignment="1">
      <alignment vertical="center"/>
    </xf>
    <xf numFmtId="177" fontId="1" fillId="0" borderId="29"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xf>
    <xf numFmtId="175" fontId="13" fillId="0" borderId="30" xfId="0" applyNumberFormat="1" applyFont="1" applyFill="1" applyBorder="1" applyAlignment="1">
      <alignment horizontal="center" vertical="center"/>
    </xf>
    <xf numFmtId="9" fontId="1" fillId="0" borderId="12" xfId="0" applyNumberFormat="1" applyFont="1" applyBorder="1" applyAlignment="1">
      <alignment horizontal="center" vertical="center"/>
    </xf>
    <xf numFmtId="0" fontId="0" fillId="6" borderId="1" xfId="0" applyFill="1" applyBorder="1" applyAlignment="1">
      <alignment horizontal="center" vertical="center"/>
    </xf>
    <xf numFmtId="175" fontId="13" fillId="0" borderId="7" xfId="0" applyNumberFormat="1" applyFont="1" applyFill="1" applyBorder="1" applyAlignment="1">
      <alignment horizontal="center" vertical="center"/>
    </xf>
    <xf numFmtId="175" fontId="0" fillId="0" borderId="0" xfId="0" applyNumberFormat="1" applyAlignment="1">
      <alignment vertical="center"/>
    </xf>
    <xf numFmtId="175" fontId="13" fillId="0" borderId="0" xfId="0" applyNumberFormat="1" applyFont="1" applyBorder="1" applyAlignment="1">
      <alignment vertical="center"/>
    </xf>
    <xf numFmtId="174" fontId="1" fillId="0" borderId="31" xfId="0" applyNumberFormat="1" applyFont="1" applyFill="1" applyBorder="1" applyAlignment="1">
      <alignment horizontal="center" vertical="center"/>
    </xf>
    <xf numFmtId="174" fontId="12" fillId="0" borderId="1" xfId="0" applyNumberFormat="1" applyFont="1" applyBorder="1" applyAlignment="1">
      <alignment horizontal="center" vertical="center"/>
    </xf>
    <xf numFmtId="9" fontId="1" fillId="0" borderId="10" xfId="0" applyNumberFormat="1" applyFont="1" applyBorder="1" applyAlignment="1">
      <alignment horizontal="center" vertical="center" wrapText="1"/>
    </xf>
    <xf numFmtId="0" fontId="0" fillId="0" borderId="23" xfId="0" applyBorder="1" applyAlignment="1">
      <alignment horizontal="center" vertical="center" wrapText="1"/>
    </xf>
    <xf numFmtId="174" fontId="4" fillId="0" borderId="32" xfId="0" applyNumberFormat="1" applyFont="1" applyFill="1" applyBorder="1" applyAlignment="1">
      <alignment horizontal="center" vertical="center"/>
    </xf>
    <xf numFmtId="174" fontId="4" fillId="0" borderId="23" xfId="0" applyNumberFormat="1" applyFont="1" applyFill="1" applyBorder="1" applyAlignment="1">
      <alignment horizontal="center" vertical="center"/>
    </xf>
    <xf numFmtId="174" fontId="4" fillId="0" borderId="31" xfId="0" applyNumberFormat="1" applyFont="1" applyFill="1" applyBorder="1" applyAlignment="1">
      <alignment horizontal="center" vertical="center"/>
    </xf>
    <xf numFmtId="174" fontId="4" fillId="0" borderId="25" xfId="0" applyNumberFormat="1" applyFont="1" applyFill="1" applyBorder="1" applyAlignment="1">
      <alignment horizontal="center" vertical="center"/>
    </xf>
    <xf numFmtId="174" fontId="4" fillId="0" borderId="33" xfId="0" applyNumberFormat="1" applyFont="1" applyFill="1" applyBorder="1" applyAlignment="1">
      <alignment horizontal="center" vertical="center"/>
    </xf>
    <xf numFmtId="174" fontId="1" fillId="0" borderId="30" xfId="0" applyNumberFormat="1" applyFont="1" applyFill="1" applyBorder="1" applyAlignment="1">
      <alignment horizontal="center" vertical="center"/>
    </xf>
    <xf numFmtId="174" fontId="4" fillId="0" borderId="22" xfId="0" applyNumberFormat="1" applyFont="1" applyFill="1" applyBorder="1" applyAlignment="1">
      <alignment horizontal="center" vertical="center"/>
    </xf>
    <xf numFmtId="174" fontId="4" fillId="0" borderId="4" xfId="0" applyNumberFormat="1" applyFont="1" applyFill="1" applyBorder="1" applyAlignment="1">
      <alignment horizontal="center" vertical="center"/>
    </xf>
    <xf numFmtId="170" fontId="1" fillId="0" borderId="12" xfId="0" applyNumberFormat="1" applyFont="1" applyBorder="1" applyAlignment="1">
      <alignment horizontal="center" vertical="center"/>
    </xf>
    <xf numFmtId="174" fontId="2" fillId="0" borderId="28" xfId="0" applyNumberFormat="1" applyFont="1" applyFill="1" applyBorder="1" applyAlignment="1">
      <alignment horizontal="center" vertical="center"/>
    </xf>
    <xf numFmtId="175" fontId="12" fillId="0" borderId="5" xfId="0" applyNumberFormat="1" applyFont="1" applyFill="1" applyBorder="1" applyAlignment="1">
      <alignment horizontal="center" vertical="center"/>
    </xf>
    <xf numFmtId="175" fontId="0" fillId="0" borderId="1" xfId="0" applyNumberFormat="1" applyBorder="1" applyAlignment="1">
      <alignment horizontal="center" vertical="center"/>
    </xf>
    <xf numFmtId="175" fontId="13" fillId="0" borderId="1" xfId="0" applyNumberFormat="1" applyFont="1" applyBorder="1" applyAlignment="1">
      <alignment horizontal="center" vertical="center"/>
    </xf>
    <xf numFmtId="175" fontId="15" fillId="0" borderId="1" xfId="0" applyNumberFormat="1" applyFont="1" applyBorder="1" applyAlignment="1">
      <alignment horizontal="center" vertical="center"/>
    </xf>
    <xf numFmtId="175" fontId="12" fillId="0" borderId="1" xfId="0" applyNumberFormat="1" applyFont="1" applyBorder="1" applyAlignment="1">
      <alignment horizontal="center" vertical="center"/>
    </xf>
    <xf numFmtId="175" fontId="13" fillId="6" borderId="1" xfId="0" applyNumberFormat="1" applyFont="1" applyFill="1" applyBorder="1" applyAlignment="1">
      <alignment horizontal="center" vertical="center"/>
    </xf>
    <xf numFmtId="175" fontId="13" fillId="0" borderId="34" xfId="0" applyNumberFormat="1" applyFont="1" applyFill="1" applyBorder="1" applyAlignment="1">
      <alignment horizontal="center" vertical="center"/>
    </xf>
    <xf numFmtId="0" fontId="1" fillId="0" borderId="1" xfId="0" applyFont="1" applyBorder="1" applyAlignment="1">
      <alignment horizontal="center" vertical="center"/>
    </xf>
    <xf numFmtId="0" fontId="13" fillId="0" borderId="1" xfId="0" applyFont="1" applyBorder="1" applyAlignment="1">
      <alignment horizontal="center" vertical="center" wrapText="1"/>
    </xf>
    <xf numFmtId="0" fontId="0" fillId="0" borderId="1" xfId="0" applyFill="1" applyBorder="1" applyAlignment="1">
      <alignment vertical="center"/>
    </xf>
    <xf numFmtId="174" fontId="0" fillId="0" borderId="0" xfId="0" applyNumberFormat="1" applyAlignment="1">
      <alignment vertical="center"/>
    </xf>
    <xf numFmtId="170" fontId="2" fillId="0" borderId="0" xfId="0" applyNumberFormat="1" applyFont="1" applyAlignment="1">
      <alignment vertical="center"/>
    </xf>
    <xf numFmtId="0" fontId="4" fillId="0" borderId="30" xfId="0" applyFont="1" applyBorder="1" applyAlignment="1">
      <alignment horizontal="center" vertical="center"/>
    </xf>
    <xf numFmtId="0" fontId="1"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3" fontId="9" fillId="0" borderId="1" xfId="0" applyNumberFormat="1" applyFont="1" applyFill="1" applyBorder="1" applyAlignment="1">
      <alignment vertical="center"/>
    </xf>
    <xf numFmtId="174" fontId="4" fillId="0" borderId="1" xfId="0" applyNumberFormat="1" applyFont="1" applyFill="1" applyBorder="1" applyAlignment="1">
      <alignment vertical="center"/>
    </xf>
    <xf numFmtId="173" fontId="4" fillId="0" borderId="1" xfId="1" applyNumberFormat="1" applyFont="1" applyFill="1" applyBorder="1" applyAlignment="1">
      <alignment vertical="center"/>
    </xf>
    <xf numFmtId="170" fontId="9" fillId="0" borderId="1" xfId="0" applyNumberFormat="1" applyFont="1" applyBorder="1" applyAlignment="1">
      <alignment horizontal="center" vertical="center"/>
    </xf>
    <xf numFmtId="175" fontId="4" fillId="0" borderId="1" xfId="0" applyNumberFormat="1" applyFont="1" applyFill="1" applyBorder="1" applyAlignment="1">
      <alignment vertical="center"/>
    </xf>
    <xf numFmtId="182" fontId="4" fillId="0" borderId="30" xfId="0" applyNumberFormat="1" applyFont="1" applyBorder="1" applyAlignment="1">
      <alignment horizontal="center" vertical="center"/>
    </xf>
    <xf numFmtId="174" fontId="1" fillId="0" borderId="1" xfId="0" applyNumberFormat="1" applyFont="1" applyFill="1" applyBorder="1" applyAlignment="1">
      <alignment vertical="center"/>
    </xf>
    <xf numFmtId="173" fontId="1" fillId="0" borderId="1" xfId="1" applyNumberFormat="1" applyFont="1" applyFill="1" applyBorder="1" applyAlignment="1">
      <alignment vertical="center"/>
    </xf>
    <xf numFmtId="182" fontId="0" fillId="0" borderId="0" xfId="0" applyNumberFormat="1" applyFill="1" applyAlignment="1">
      <alignment vertical="center"/>
    </xf>
    <xf numFmtId="172" fontId="0" fillId="0" borderId="0" xfId="0" applyNumberFormat="1" applyFill="1" applyAlignment="1">
      <alignment horizontal="center" vertical="center"/>
    </xf>
    <xf numFmtId="172" fontId="0" fillId="0" borderId="0" xfId="0" applyNumberFormat="1" applyAlignment="1">
      <alignment horizontal="center" vertical="center"/>
    </xf>
    <xf numFmtId="2" fontId="0" fillId="0" borderId="0" xfId="0" applyNumberFormat="1" applyAlignment="1">
      <alignment horizontal="center" vertical="center"/>
    </xf>
    <xf numFmtId="175" fontId="4" fillId="0" borderId="1" xfId="0" applyNumberFormat="1" applyFont="1" applyFill="1" applyBorder="1" applyAlignment="1">
      <alignment horizontal="right" vertical="center"/>
    </xf>
    <xf numFmtId="175" fontId="8" fillId="0" borderId="1" xfId="0" applyNumberFormat="1" applyFont="1" applyFill="1" applyBorder="1" applyAlignment="1">
      <alignment horizontal="right" vertical="center"/>
    </xf>
    <xf numFmtId="176" fontId="15" fillId="0" borderId="1" xfId="1"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174" fontId="7" fillId="0" borderId="1" xfId="0" applyNumberFormat="1" applyFont="1" applyFill="1" applyBorder="1" applyAlignment="1">
      <alignment horizontal="center" vertical="center"/>
    </xf>
    <xf numFmtId="173" fontId="9" fillId="0" borderId="1" xfId="1" applyNumberFormat="1" applyFont="1" applyFill="1" applyBorder="1" applyAlignment="1">
      <alignment horizontal="center" vertical="center"/>
    </xf>
    <xf numFmtId="184" fontId="1" fillId="0" borderId="1" xfId="0" applyNumberFormat="1" applyFont="1" applyFill="1" applyBorder="1" applyAlignment="1">
      <alignment horizontal="center" vertical="center"/>
    </xf>
    <xf numFmtId="184" fontId="9" fillId="0" borderId="1" xfId="0" applyNumberFormat="1" applyFont="1" applyFill="1" applyBorder="1" applyAlignment="1">
      <alignment horizontal="center" vertical="center"/>
    </xf>
    <xf numFmtId="184" fontId="9" fillId="0" borderId="1" xfId="0" applyNumberFormat="1" applyFont="1" applyBorder="1" applyAlignment="1">
      <alignment horizontal="center" vertical="center"/>
    </xf>
    <xf numFmtId="184" fontId="1" fillId="0" borderId="1" xfId="0" applyNumberFormat="1" applyFont="1" applyFill="1" applyBorder="1" applyAlignment="1">
      <alignment vertical="center"/>
    </xf>
    <xf numFmtId="9" fontId="1" fillId="0" borderId="0" xfId="1" applyNumberFormat="1" applyFont="1" applyFill="1" applyBorder="1" applyAlignment="1">
      <alignment vertical="center"/>
    </xf>
    <xf numFmtId="185" fontId="19" fillId="0" borderId="1" xfId="1" applyNumberFormat="1" applyFont="1" applyFill="1" applyBorder="1" applyAlignment="1">
      <alignment vertical="center"/>
    </xf>
    <xf numFmtId="184" fontId="1" fillId="0" borderId="0" xfId="0" applyNumberFormat="1" applyFont="1" applyFill="1" applyBorder="1" applyAlignment="1">
      <alignment horizontal="center" vertical="center"/>
    </xf>
    <xf numFmtId="173" fontId="10" fillId="0" borderId="1" xfId="1" applyNumberFormat="1" applyFont="1" applyFill="1" applyBorder="1" applyAlignment="1">
      <alignment vertical="center"/>
    </xf>
    <xf numFmtId="173" fontId="10" fillId="0" borderId="0" xfId="1" applyNumberFormat="1" applyFont="1" applyFill="1" applyBorder="1" applyAlignment="1">
      <alignment vertical="center"/>
    </xf>
    <xf numFmtId="185" fontId="19" fillId="0" borderId="0" xfId="1" applyNumberFormat="1" applyFont="1" applyFill="1" applyBorder="1" applyAlignment="1">
      <alignment vertical="center"/>
    </xf>
    <xf numFmtId="185" fontId="12" fillId="0" borderId="0" xfId="1" applyNumberFormat="1" applyFont="1" applyFill="1" applyBorder="1" applyAlignment="1">
      <alignment vertical="center"/>
    </xf>
    <xf numFmtId="9" fontId="1" fillId="0" borderId="21" xfId="0" applyNumberFormat="1" applyFont="1" applyBorder="1" applyAlignment="1">
      <alignment horizontal="center" vertical="center" wrapText="1"/>
    </xf>
    <xf numFmtId="9" fontId="9" fillId="0" borderId="1" xfId="1" applyNumberFormat="1" applyFont="1" applyFill="1" applyBorder="1" applyAlignment="1">
      <alignment horizontal="center" vertical="center"/>
    </xf>
    <xf numFmtId="175" fontId="1" fillId="0" borderId="1" xfId="0" applyNumberFormat="1" applyFont="1" applyFill="1" applyBorder="1" applyAlignment="1">
      <alignment horizontal="right" vertical="center"/>
    </xf>
    <xf numFmtId="186" fontId="0" fillId="0" borderId="23" xfId="0" applyNumberFormat="1" applyBorder="1" applyAlignment="1">
      <alignment horizontal="right" vertical="center"/>
    </xf>
    <xf numFmtId="186" fontId="0" fillId="0" borderId="1" xfId="0" applyNumberFormat="1" applyBorder="1" applyAlignment="1">
      <alignment horizontal="right" vertical="center"/>
    </xf>
    <xf numFmtId="186" fontId="0" fillId="0" borderId="24" xfId="0" applyNumberFormat="1" applyBorder="1" applyAlignment="1">
      <alignment horizontal="right" vertical="center"/>
    </xf>
    <xf numFmtId="186" fontId="0" fillId="0" borderId="25" xfId="0" applyNumberFormat="1" applyBorder="1" applyAlignment="1">
      <alignment horizontal="right" vertical="center"/>
    </xf>
    <xf numFmtId="186" fontId="5" fillId="0" borderId="10" xfId="0" applyNumberFormat="1" applyFont="1" applyBorder="1" applyAlignment="1">
      <alignment horizontal="center" vertical="center"/>
    </xf>
    <xf numFmtId="186" fontId="4" fillId="0" borderId="15" xfId="0" applyNumberFormat="1" applyFont="1" applyBorder="1" applyAlignment="1">
      <alignment horizontal="center" vertical="center"/>
    </xf>
    <xf numFmtId="186" fontId="5" fillId="0" borderId="12" xfId="0" applyNumberFormat="1" applyFont="1" applyBorder="1" applyAlignment="1">
      <alignment horizontal="center" vertical="center"/>
    </xf>
    <xf numFmtId="186" fontId="5" fillId="0" borderId="15" xfId="0" applyNumberFormat="1" applyFont="1" applyBorder="1" applyAlignment="1">
      <alignment horizontal="center" vertical="center"/>
    </xf>
    <xf numFmtId="186" fontId="4" fillId="0" borderId="29" xfId="0" applyNumberFormat="1" applyFont="1" applyBorder="1" applyAlignment="1">
      <alignment horizontal="center" vertical="center"/>
    </xf>
    <xf numFmtId="186" fontId="5" fillId="0" borderId="21" xfId="0" applyNumberFormat="1" applyFont="1" applyBorder="1" applyAlignment="1">
      <alignment horizontal="center" vertical="center"/>
    </xf>
    <xf numFmtId="186" fontId="0" fillId="0" borderId="4" xfId="0" applyNumberFormat="1" applyBorder="1" applyAlignment="1">
      <alignment horizontal="right" vertical="center"/>
    </xf>
    <xf numFmtId="186" fontId="0" fillId="0" borderId="16" xfId="0" applyNumberFormat="1" applyBorder="1" applyAlignment="1">
      <alignment horizontal="right" vertical="center"/>
    </xf>
    <xf numFmtId="186" fontId="8" fillId="0" borderId="18" xfId="0" applyNumberFormat="1" applyFont="1" applyBorder="1" applyAlignment="1">
      <alignment horizontal="right" vertical="center"/>
    </xf>
    <xf numFmtId="186" fontId="0" fillId="0" borderId="5" xfId="0" applyNumberFormat="1" applyBorder="1" applyAlignment="1">
      <alignment horizontal="right" vertical="center"/>
    </xf>
    <xf numFmtId="186" fontId="1" fillId="0" borderId="4" xfId="0" applyNumberFormat="1" applyFont="1" applyBorder="1" applyAlignment="1">
      <alignment horizontal="right" vertical="center"/>
    </xf>
    <xf numFmtId="186" fontId="0" fillId="0" borderId="7" xfId="0" applyNumberFormat="1" applyBorder="1" applyAlignment="1">
      <alignment horizontal="right" vertical="center"/>
    </xf>
    <xf numFmtId="186" fontId="0" fillId="0" borderId="22" xfId="0" applyNumberFormat="1" applyBorder="1" applyAlignment="1">
      <alignment horizontal="right" vertical="center"/>
    </xf>
    <xf numFmtId="186" fontId="7" fillId="0" borderId="6" xfId="0" applyNumberFormat="1" applyFont="1" applyBorder="1" applyAlignment="1">
      <alignment horizontal="right" vertical="center"/>
    </xf>
    <xf numFmtId="0" fontId="8" fillId="2" borderId="18" xfId="0" applyFont="1" applyFill="1" applyBorder="1" applyAlignment="1">
      <alignment horizontal="center" vertical="center"/>
    </xf>
    <xf numFmtId="176" fontId="21" fillId="0" borderId="1" xfId="1" applyNumberFormat="1" applyFont="1" applyFill="1" applyBorder="1" applyAlignment="1">
      <alignment horizontal="center" vertical="center"/>
    </xf>
    <xf numFmtId="175" fontId="8" fillId="0" borderId="30" xfId="0" applyNumberFormat="1" applyFont="1" applyBorder="1" applyAlignment="1">
      <alignment horizontal="center" vertical="center" wrapText="1"/>
    </xf>
    <xf numFmtId="175" fontId="7" fillId="4" borderId="30" xfId="0" applyNumberFormat="1" applyFont="1" applyFill="1" applyBorder="1" applyAlignment="1">
      <alignment horizontal="center" vertical="center" wrapText="1"/>
    </xf>
    <xf numFmtId="176" fontId="1" fillId="0" borderId="1" xfId="1" applyNumberFormat="1" applyFont="1" applyBorder="1" applyAlignment="1">
      <alignment horizontal="center" vertical="center" wrapText="1"/>
    </xf>
    <xf numFmtId="176" fontId="7" fillId="4" borderId="1" xfId="1" applyNumberFormat="1" applyFont="1" applyFill="1" applyBorder="1" applyAlignment="1">
      <alignment horizontal="center" vertical="center" wrapText="1"/>
    </xf>
    <xf numFmtId="176" fontId="15" fillId="0" borderId="1" xfId="1" applyNumberFormat="1" applyFont="1" applyFill="1" applyBorder="1" applyAlignment="1">
      <alignment horizontal="center" vertical="center" wrapText="1"/>
    </xf>
    <xf numFmtId="175" fontId="4" fillId="0" borderId="1" xfId="0" applyNumberFormat="1" applyFont="1" applyFill="1" applyBorder="1" applyAlignment="1">
      <alignment horizontal="center" vertical="center" wrapText="1"/>
    </xf>
    <xf numFmtId="183" fontId="15" fillId="0" borderId="1" xfId="1" applyNumberFormat="1" applyFont="1" applyFill="1" applyBorder="1" applyAlignment="1">
      <alignment horizontal="center" vertical="center" wrapText="1"/>
    </xf>
    <xf numFmtId="175" fontId="8" fillId="0" borderId="1" xfId="0" applyNumberFormat="1" applyFont="1" applyBorder="1" applyAlignment="1">
      <alignment horizontal="center" vertical="center" wrapText="1"/>
    </xf>
    <xf numFmtId="175" fontId="7" fillId="4" borderId="1" xfId="0" applyNumberFormat="1" applyFont="1" applyFill="1" applyBorder="1" applyAlignment="1">
      <alignment horizontal="center" vertical="center" wrapText="1"/>
    </xf>
    <xf numFmtId="183" fontId="15" fillId="0" borderId="1" xfId="1" applyNumberFormat="1" applyFont="1" applyFill="1" applyBorder="1" applyAlignment="1">
      <alignment horizontal="center" vertical="center"/>
    </xf>
    <xf numFmtId="170" fontId="22" fillId="0" borderId="1" xfId="0" applyNumberFormat="1" applyFont="1" applyBorder="1" applyAlignment="1">
      <alignment horizontal="center" vertical="center"/>
    </xf>
    <xf numFmtId="177" fontId="9" fillId="0" borderId="1" xfId="0" applyNumberFormat="1" applyFont="1" applyFill="1" applyBorder="1" applyAlignment="1">
      <alignment horizontal="center" vertical="center"/>
    </xf>
    <xf numFmtId="0" fontId="0" fillId="0" borderId="0" xfId="0" applyAlignment="1">
      <alignment horizontal="center"/>
    </xf>
    <xf numFmtId="0" fontId="1" fillId="0" borderId="0" xfId="0" applyFont="1" applyAlignment="1">
      <alignment horizontal="center"/>
    </xf>
    <xf numFmtId="174" fontId="8" fillId="0" borderId="0" xfId="0" applyNumberFormat="1" applyFont="1" applyFill="1" applyBorder="1" applyAlignment="1">
      <alignment horizontal="center" vertical="center"/>
    </xf>
    <xf numFmtId="0" fontId="10" fillId="0" borderId="0" xfId="0" applyFont="1" applyAlignment="1">
      <alignment vertical="top"/>
    </xf>
    <xf numFmtId="3" fontId="13" fillId="0" borderId="1" xfId="0" applyNumberFormat="1" applyFont="1" applyFill="1" applyBorder="1" applyAlignment="1">
      <alignment horizontal="center" vertical="center"/>
    </xf>
    <xf numFmtId="3" fontId="13" fillId="0" borderId="23" xfId="0" applyNumberFormat="1" applyFont="1" applyFill="1" applyBorder="1" applyAlignment="1">
      <alignment horizontal="center" vertical="center"/>
    </xf>
    <xf numFmtId="0" fontId="12" fillId="0" borderId="27" xfId="0" applyFont="1" applyBorder="1" applyAlignment="1">
      <alignment horizontal="center" vertical="center"/>
    </xf>
    <xf numFmtId="0" fontId="12" fillId="0" borderId="26" xfId="0" applyFont="1" applyBorder="1" applyAlignment="1">
      <alignment horizontal="center" vertical="center"/>
    </xf>
    <xf numFmtId="0" fontId="12" fillId="0" borderId="29" xfId="0" applyFont="1" applyBorder="1" applyAlignment="1">
      <alignment horizontal="center" vertical="center"/>
    </xf>
    <xf numFmtId="3" fontId="13" fillId="0" borderId="9" xfId="0" applyNumberFormat="1" applyFont="1" applyFill="1" applyBorder="1" applyAlignment="1">
      <alignment horizontal="center" vertical="center"/>
    </xf>
    <xf numFmtId="3" fontId="13" fillId="0" borderId="10" xfId="0" applyNumberFormat="1" applyFont="1" applyFill="1" applyBorder="1" applyAlignment="1">
      <alignment horizontal="center" vertical="center"/>
    </xf>
    <xf numFmtId="3" fontId="13" fillId="0" borderId="11" xfId="0" applyNumberFormat="1" applyFont="1" applyFill="1" applyBorder="1" applyAlignment="1">
      <alignment horizontal="center" vertical="center"/>
    </xf>
    <xf numFmtId="3" fontId="13" fillId="0" borderId="12" xfId="0" applyNumberFormat="1" applyFont="1" applyFill="1" applyBorder="1" applyAlignment="1">
      <alignment horizontal="center" vertical="center"/>
    </xf>
    <xf numFmtId="3" fontId="12" fillId="0" borderId="35" xfId="0" applyNumberFormat="1" applyFont="1" applyFill="1" applyBorder="1" applyAlignment="1">
      <alignment horizontal="center" vertical="center"/>
    </xf>
    <xf numFmtId="3" fontId="12" fillId="0" borderId="36" xfId="0" applyNumberFormat="1" applyFont="1" applyFill="1" applyBorder="1" applyAlignment="1">
      <alignment horizontal="center" vertical="center"/>
    </xf>
    <xf numFmtId="3" fontId="13" fillId="0" borderId="14" xfId="0" applyNumberFormat="1" applyFont="1" applyFill="1" applyBorder="1" applyAlignment="1">
      <alignment horizontal="center" vertical="center"/>
    </xf>
    <xf numFmtId="3" fontId="13" fillId="0" borderId="24" xfId="0" applyNumberFormat="1" applyFont="1" applyFill="1" applyBorder="1" applyAlignment="1">
      <alignment horizontal="center" vertical="center"/>
    </xf>
    <xf numFmtId="3" fontId="13" fillId="0" borderId="15" xfId="0" applyNumberFormat="1" applyFont="1" applyFill="1" applyBorder="1" applyAlignment="1">
      <alignment horizontal="center" vertical="center"/>
    </xf>
    <xf numFmtId="3" fontId="12" fillId="0" borderId="37" xfId="0" applyNumberFormat="1" applyFont="1" applyFill="1" applyBorder="1" applyAlignment="1">
      <alignment horizontal="center" vertical="center"/>
    </xf>
    <xf numFmtId="3" fontId="12" fillId="0" borderId="38" xfId="0" applyNumberFormat="1" applyFont="1" applyFill="1" applyBorder="1" applyAlignment="1">
      <alignment horizontal="center" vertical="center"/>
    </xf>
    <xf numFmtId="3" fontId="12" fillId="0" borderId="39" xfId="0" applyNumberFormat="1" applyFont="1" applyFill="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3" fontId="15" fillId="0" borderId="9" xfId="0" applyNumberFormat="1" applyFont="1" applyFill="1" applyBorder="1" applyAlignment="1">
      <alignment horizontal="center" vertical="center"/>
    </xf>
    <xf numFmtId="3" fontId="15" fillId="0" borderId="11" xfId="0" applyNumberFormat="1" applyFont="1" applyFill="1" applyBorder="1" applyAlignment="1">
      <alignment horizontal="center" vertical="center"/>
    </xf>
    <xf numFmtId="3" fontId="15" fillId="0" borderId="14" xfId="0" applyNumberFormat="1" applyFont="1" applyFill="1" applyBorder="1" applyAlignment="1">
      <alignment horizontal="center" vertical="center"/>
    </xf>
    <xf numFmtId="3" fontId="15" fillId="0" borderId="23"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3" fontId="15" fillId="0" borderId="24" xfId="0" applyNumberFormat="1" applyFont="1" applyFill="1" applyBorder="1" applyAlignment="1">
      <alignment horizontal="center" vertical="center"/>
    </xf>
    <xf numFmtId="3" fontId="21" fillId="0" borderId="10" xfId="0" applyNumberFormat="1" applyFont="1" applyFill="1" applyBorder="1" applyAlignment="1">
      <alignment horizontal="center" vertical="center"/>
    </xf>
    <xf numFmtId="3" fontId="21" fillId="0" borderId="12" xfId="0" applyNumberFormat="1" applyFont="1" applyFill="1" applyBorder="1" applyAlignment="1">
      <alignment horizontal="center" vertical="center"/>
    </xf>
    <xf numFmtId="3" fontId="21" fillId="0" borderId="15" xfId="0" applyNumberFormat="1" applyFont="1" applyFill="1" applyBorder="1" applyAlignment="1">
      <alignment horizontal="center" vertical="center"/>
    </xf>
    <xf numFmtId="170" fontId="13" fillId="0" borderId="9" xfId="0" applyNumberFormat="1" applyFont="1" applyFill="1" applyBorder="1" applyAlignment="1">
      <alignment horizontal="center" vertical="center"/>
    </xf>
    <xf numFmtId="170" fontId="13" fillId="0" borderId="23" xfId="0" applyNumberFormat="1" applyFont="1" applyFill="1" applyBorder="1" applyAlignment="1">
      <alignment horizontal="center" vertical="center"/>
    </xf>
    <xf numFmtId="170" fontId="13" fillId="0" borderId="10" xfId="0" applyNumberFormat="1" applyFont="1" applyFill="1" applyBorder="1" applyAlignment="1">
      <alignment horizontal="center" vertical="center"/>
    </xf>
    <xf numFmtId="170" fontId="13" fillId="0" borderId="11" xfId="0" applyNumberFormat="1" applyFont="1" applyFill="1" applyBorder="1" applyAlignment="1">
      <alignment horizontal="center" vertical="center"/>
    </xf>
    <xf numFmtId="170" fontId="13" fillId="0" borderId="1" xfId="0" applyNumberFormat="1" applyFont="1" applyFill="1" applyBorder="1" applyAlignment="1">
      <alignment horizontal="center" vertical="center"/>
    </xf>
    <xf numFmtId="170" fontId="13" fillId="0" borderId="12" xfId="0" applyNumberFormat="1" applyFont="1" applyFill="1" applyBorder="1" applyAlignment="1">
      <alignment horizontal="center" vertical="center"/>
    </xf>
    <xf numFmtId="170" fontId="13" fillId="0" borderId="14" xfId="0" applyNumberFormat="1" applyFont="1" applyFill="1" applyBorder="1" applyAlignment="1">
      <alignment horizontal="center" vertical="center"/>
    </xf>
    <xf numFmtId="170" fontId="13" fillId="0" borderId="24" xfId="0" applyNumberFormat="1" applyFont="1" applyFill="1" applyBorder="1" applyAlignment="1">
      <alignment horizontal="center" vertical="center"/>
    </xf>
    <xf numFmtId="170" fontId="13" fillId="0" borderId="15" xfId="0" applyNumberFormat="1" applyFont="1" applyFill="1" applyBorder="1" applyAlignment="1">
      <alignment horizontal="center" vertical="center"/>
    </xf>
    <xf numFmtId="170" fontId="12" fillId="0" borderId="38" xfId="0" applyNumberFormat="1" applyFont="1" applyFill="1" applyBorder="1" applyAlignment="1">
      <alignment horizontal="center" vertical="center"/>
    </xf>
    <xf numFmtId="170" fontId="12" fillId="0" borderId="39" xfId="0" applyNumberFormat="1" applyFont="1" applyFill="1" applyBorder="1" applyAlignment="1">
      <alignment horizontal="center" vertical="center"/>
    </xf>
    <xf numFmtId="170" fontId="12" fillId="0" borderId="40" xfId="0" applyNumberFormat="1" applyFont="1" applyFill="1" applyBorder="1" applyAlignment="1">
      <alignment horizontal="center" vertical="center"/>
    </xf>
    <xf numFmtId="3" fontId="21" fillId="0" borderId="4" xfId="0" applyNumberFormat="1" applyFont="1" applyFill="1" applyBorder="1" applyAlignment="1">
      <alignment horizontal="center" vertical="center"/>
    </xf>
    <xf numFmtId="3" fontId="21" fillId="0" borderId="5" xfId="0" applyNumberFormat="1" applyFont="1" applyFill="1" applyBorder="1" applyAlignment="1">
      <alignment horizontal="center" vertical="center"/>
    </xf>
    <xf numFmtId="3" fontId="21" fillId="0" borderId="16" xfId="0" applyNumberFormat="1" applyFont="1" applyFill="1" applyBorder="1" applyAlignment="1">
      <alignment horizontal="center" vertical="center"/>
    </xf>
    <xf numFmtId="170" fontId="12" fillId="0" borderId="35" xfId="0" applyNumberFormat="1" applyFont="1" applyFill="1" applyBorder="1" applyAlignment="1">
      <alignment horizontal="center" vertical="center"/>
    </xf>
    <xf numFmtId="170" fontId="12" fillId="0" borderId="36" xfId="0" applyNumberFormat="1" applyFont="1" applyFill="1" applyBorder="1" applyAlignment="1">
      <alignment horizontal="center" vertical="center"/>
    </xf>
    <xf numFmtId="170" fontId="12" fillId="0" borderId="37" xfId="0" applyNumberFormat="1" applyFont="1" applyFill="1" applyBorder="1" applyAlignment="1">
      <alignment horizontal="center" vertical="center"/>
    </xf>
    <xf numFmtId="170" fontId="13" fillId="0" borderId="27" xfId="0" applyNumberFormat="1" applyFont="1" applyFill="1" applyBorder="1" applyAlignment="1">
      <alignment horizontal="center" vertical="center"/>
    </xf>
    <xf numFmtId="170" fontId="13" fillId="0" borderId="29" xfId="0" applyNumberFormat="1" applyFont="1" applyFill="1" applyBorder="1" applyAlignment="1">
      <alignment horizontal="center" vertical="center"/>
    </xf>
    <xf numFmtId="170" fontId="13" fillId="0" borderId="32" xfId="0" applyNumberFormat="1" applyFont="1" applyFill="1" applyBorder="1" applyAlignment="1">
      <alignment horizontal="center" vertical="center"/>
    </xf>
    <xf numFmtId="170" fontId="13" fillId="0" borderId="41" xfId="0" applyNumberFormat="1" applyFont="1" applyFill="1" applyBorder="1" applyAlignment="1">
      <alignment horizontal="center" vertical="center"/>
    </xf>
    <xf numFmtId="0" fontId="0" fillId="0" borderId="4" xfId="0" applyFill="1" applyBorder="1" applyAlignment="1">
      <alignment horizontal="left" vertical="center"/>
    </xf>
    <xf numFmtId="0" fontId="0" fillId="0" borderId="7" xfId="0" applyFill="1" applyBorder="1" applyAlignment="1">
      <alignment horizontal="left" vertical="center"/>
    </xf>
    <xf numFmtId="170" fontId="13" fillId="0" borderId="42" xfId="0" applyNumberFormat="1" applyFont="1" applyFill="1" applyBorder="1" applyAlignment="1">
      <alignment horizontal="center" vertical="center"/>
    </xf>
    <xf numFmtId="170" fontId="13" fillId="0" borderId="43" xfId="0" applyNumberFormat="1" applyFont="1" applyFill="1" applyBorder="1" applyAlignment="1">
      <alignment horizontal="center" vertical="center"/>
    </xf>
    <xf numFmtId="170" fontId="12" fillId="0" borderId="4" xfId="0" applyNumberFormat="1" applyFont="1" applyFill="1" applyBorder="1" applyAlignment="1">
      <alignment horizontal="center" vertical="center"/>
    </xf>
    <xf numFmtId="170" fontId="12" fillId="0" borderId="7" xfId="0" applyNumberFormat="1" applyFont="1" applyFill="1" applyBorder="1" applyAlignment="1">
      <alignment horizontal="center" vertical="center"/>
    </xf>
    <xf numFmtId="170" fontId="15" fillId="0" borderId="9" xfId="0" applyNumberFormat="1" applyFont="1" applyFill="1" applyBorder="1" applyAlignment="1">
      <alignment horizontal="center" vertical="center"/>
    </xf>
    <xf numFmtId="170" fontId="15" fillId="0" borderId="23" xfId="0" applyNumberFormat="1" applyFont="1" applyFill="1" applyBorder="1" applyAlignment="1">
      <alignment horizontal="center" vertical="center"/>
    </xf>
    <xf numFmtId="170" fontId="15" fillId="0" borderId="11" xfId="0" applyNumberFormat="1" applyFont="1" applyFill="1" applyBorder="1" applyAlignment="1">
      <alignment horizontal="center" vertical="center"/>
    </xf>
    <xf numFmtId="170" fontId="15" fillId="0" borderId="1" xfId="0" applyNumberFormat="1" applyFont="1" applyFill="1" applyBorder="1" applyAlignment="1">
      <alignment horizontal="center" vertical="center"/>
    </xf>
    <xf numFmtId="170" fontId="15" fillId="0" borderId="14" xfId="0" applyNumberFormat="1" applyFont="1" applyFill="1" applyBorder="1" applyAlignment="1">
      <alignment horizontal="center" vertical="center"/>
    </xf>
    <xf numFmtId="170" fontId="15" fillId="0" borderId="24" xfId="0" applyNumberFormat="1" applyFont="1" applyFill="1" applyBorder="1" applyAlignment="1">
      <alignment horizontal="center" vertical="center"/>
    </xf>
    <xf numFmtId="170" fontId="15" fillId="0" borderId="10" xfId="0" applyNumberFormat="1" applyFont="1" applyFill="1" applyBorder="1" applyAlignment="1">
      <alignment horizontal="center" vertical="center"/>
    </xf>
    <xf numFmtId="170" fontId="15" fillId="0" borderId="12" xfId="0" applyNumberFormat="1" applyFont="1" applyFill="1" applyBorder="1" applyAlignment="1">
      <alignment horizontal="center" vertical="center"/>
    </xf>
    <xf numFmtId="170" fontId="15" fillId="0" borderId="15" xfId="0" applyNumberFormat="1" applyFont="1" applyFill="1" applyBorder="1" applyAlignment="1">
      <alignment horizontal="center" vertical="center"/>
    </xf>
    <xf numFmtId="170" fontId="12" fillId="0" borderId="5" xfId="0" applyNumberFormat="1" applyFont="1" applyFill="1" applyBorder="1" applyAlignment="1">
      <alignment horizontal="center" vertical="center"/>
    </xf>
    <xf numFmtId="170" fontId="12" fillId="0" borderId="18" xfId="0" applyNumberFormat="1" applyFont="1" applyFill="1" applyBorder="1" applyAlignment="1">
      <alignment horizontal="center" vertical="center"/>
    </xf>
    <xf numFmtId="9" fontId="22" fillId="0" borderId="1" xfId="1" applyNumberFormat="1" applyFont="1" applyFill="1" applyBorder="1" applyAlignment="1">
      <alignment horizontal="center" vertical="center"/>
    </xf>
    <xf numFmtId="170" fontId="8" fillId="0" borderId="30" xfId="0" applyNumberFormat="1" applyFont="1" applyBorder="1" applyAlignment="1">
      <alignment horizontal="right" vertical="center" wrapText="1"/>
    </xf>
    <xf numFmtId="170" fontId="2" fillId="0" borderId="1" xfId="0" applyNumberFormat="1" applyFont="1" applyFill="1" applyBorder="1" applyAlignment="1">
      <alignment horizontal="right" vertical="center" wrapText="1"/>
    </xf>
    <xf numFmtId="170" fontId="0" fillId="0" borderId="0" xfId="0" applyNumberFormat="1" applyAlignment="1">
      <alignment horizontal="right"/>
    </xf>
    <xf numFmtId="178" fontId="0" fillId="0" borderId="0" xfId="0" applyNumberFormat="1" applyAlignment="1">
      <alignment vertical="center"/>
    </xf>
    <xf numFmtId="180" fontId="0" fillId="0" borderId="0" xfId="0" applyNumberFormat="1" applyAlignment="1">
      <alignment vertical="center"/>
    </xf>
    <xf numFmtId="188" fontId="0" fillId="0" borderId="0" xfId="0" applyNumberFormat="1" applyAlignment="1">
      <alignment vertical="center"/>
    </xf>
    <xf numFmtId="0" fontId="0" fillId="0" borderId="1" xfId="0" applyBorder="1"/>
    <xf numFmtId="174" fontId="0" fillId="0" borderId="1" xfId="0" applyNumberFormat="1" applyBorder="1"/>
    <xf numFmtId="164" fontId="0" fillId="0" borderId="0" xfId="0" applyNumberFormat="1" applyAlignment="1">
      <alignment vertical="center"/>
    </xf>
    <xf numFmtId="0" fontId="24" fillId="0" borderId="0" xfId="0" applyFont="1" applyAlignment="1">
      <alignment horizontal="center" vertical="center"/>
    </xf>
    <xf numFmtId="174" fontId="3" fillId="0" borderId="0" xfId="0" applyNumberFormat="1" applyFont="1" applyFill="1" applyBorder="1" applyAlignment="1">
      <alignment horizontal="center" vertical="center"/>
    </xf>
    <xf numFmtId="0" fontId="2" fillId="0" borderId="0" xfId="0" applyFont="1"/>
    <xf numFmtId="0" fontId="2" fillId="0" borderId="0" xfId="0" applyFont="1" applyAlignment="1">
      <alignment vertical="center"/>
    </xf>
    <xf numFmtId="9" fontId="3" fillId="0" borderId="0" xfId="1" applyNumberFormat="1" applyFont="1" applyFill="1" applyBorder="1" applyAlignment="1">
      <alignment vertical="center"/>
    </xf>
    <xf numFmtId="0" fontId="0" fillId="0" borderId="1" xfId="0" applyBorder="1" applyAlignment="1">
      <alignment horizontal="left" vertical="center"/>
    </xf>
    <xf numFmtId="174" fontId="0" fillId="0" borderId="1" xfId="0" applyNumberFormat="1" applyBorder="1" applyAlignment="1">
      <alignment horizontal="right" vertical="center"/>
    </xf>
    <xf numFmtId="174" fontId="1" fillId="0" borderId="1" xfId="0" applyNumberFormat="1" applyFont="1" applyBorder="1"/>
    <xf numFmtId="0" fontId="0" fillId="0" borderId="22" xfId="0" applyBorder="1" applyAlignment="1">
      <alignment horizontal="left" vertical="center"/>
    </xf>
    <xf numFmtId="3" fontId="13" fillId="0" borderId="20" xfId="0" applyNumberFormat="1" applyFont="1" applyFill="1" applyBorder="1" applyAlignment="1">
      <alignment horizontal="center" vertical="center"/>
    </xf>
    <xf numFmtId="3" fontId="13" fillId="0" borderId="25" xfId="0" applyNumberFormat="1" applyFont="1" applyFill="1" applyBorder="1" applyAlignment="1">
      <alignment horizontal="center" vertical="center"/>
    </xf>
    <xf numFmtId="3" fontId="13" fillId="0" borderId="21" xfId="0" applyNumberFormat="1" applyFont="1" applyFill="1" applyBorder="1" applyAlignment="1">
      <alignment horizontal="center" vertical="center"/>
    </xf>
    <xf numFmtId="3" fontId="12" fillId="0" borderId="44" xfId="0" applyNumberFormat="1" applyFont="1" applyFill="1" applyBorder="1" applyAlignment="1">
      <alignment horizontal="center" vertical="center"/>
    </xf>
    <xf numFmtId="3" fontId="15" fillId="0" borderId="20" xfId="0" applyNumberFormat="1" applyFont="1" applyFill="1" applyBorder="1" applyAlignment="1">
      <alignment horizontal="center" vertical="center"/>
    </xf>
    <xf numFmtId="3" fontId="15" fillId="0" borderId="25" xfId="0" applyNumberFormat="1" applyFont="1" applyFill="1" applyBorder="1" applyAlignment="1">
      <alignment horizontal="center" vertical="center"/>
    </xf>
    <xf numFmtId="3" fontId="21" fillId="0" borderId="21" xfId="0" applyNumberFormat="1" applyFont="1" applyFill="1" applyBorder="1" applyAlignment="1">
      <alignment horizontal="center" vertical="center"/>
    </xf>
    <xf numFmtId="3" fontId="21" fillId="0" borderId="22" xfId="0" applyNumberFormat="1" applyFont="1" applyFill="1" applyBorder="1" applyAlignment="1">
      <alignment horizontal="center" vertical="center"/>
    </xf>
    <xf numFmtId="170" fontId="13" fillId="0" borderId="20" xfId="0" applyNumberFormat="1" applyFont="1" applyFill="1" applyBorder="1" applyAlignment="1">
      <alignment horizontal="center" vertical="center"/>
    </xf>
    <xf numFmtId="170" fontId="13" fillId="0" borderId="25" xfId="0" applyNumberFormat="1" applyFont="1" applyFill="1" applyBorder="1" applyAlignment="1">
      <alignment horizontal="center" vertical="center"/>
    </xf>
    <xf numFmtId="170" fontId="13" fillId="0" borderId="21" xfId="0" applyNumberFormat="1" applyFont="1" applyFill="1" applyBorder="1" applyAlignment="1">
      <alignment horizontal="center" vertical="center"/>
    </xf>
    <xf numFmtId="170" fontId="12" fillId="0" borderId="44" xfId="0" applyNumberFormat="1" applyFont="1" applyFill="1" applyBorder="1" applyAlignment="1">
      <alignment horizontal="center" vertical="center"/>
    </xf>
    <xf numFmtId="170" fontId="15" fillId="0" borderId="20" xfId="0" applyNumberFormat="1" applyFont="1" applyFill="1" applyBorder="1" applyAlignment="1">
      <alignment horizontal="center" vertical="center"/>
    </xf>
    <xf numFmtId="170" fontId="15" fillId="0" borderId="25" xfId="0" applyNumberFormat="1" applyFont="1" applyFill="1" applyBorder="1" applyAlignment="1">
      <alignment horizontal="center" vertical="center"/>
    </xf>
    <xf numFmtId="0" fontId="0" fillId="0" borderId="0" xfId="0" applyBorder="1" applyAlignment="1">
      <alignment vertical="center"/>
    </xf>
    <xf numFmtId="3" fontId="9" fillId="0" borderId="0" xfId="0" applyNumberFormat="1" applyFont="1" applyFill="1" applyBorder="1" applyAlignment="1">
      <alignment horizontal="center" vertical="center"/>
    </xf>
    <xf numFmtId="187" fontId="9" fillId="0" borderId="0" xfId="0" applyNumberFormat="1" applyFont="1" applyFill="1" applyBorder="1" applyAlignment="1">
      <alignment horizontal="center" vertical="center"/>
    </xf>
    <xf numFmtId="172" fontId="9" fillId="0" borderId="0" xfId="0" applyNumberFormat="1" applyFont="1" applyFill="1" applyBorder="1" applyAlignment="1">
      <alignment horizontal="center" vertical="center"/>
    </xf>
    <xf numFmtId="170" fontId="9" fillId="0" borderId="0" xfId="0" applyNumberFormat="1" applyFont="1" applyBorder="1" applyAlignment="1">
      <alignment horizontal="center" vertical="center"/>
    </xf>
    <xf numFmtId="173" fontId="9" fillId="0" borderId="0" xfId="1" applyNumberFormat="1" applyFont="1" applyFill="1" applyBorder="1" applyAlignment="1">
      <alignment horizontal="center" vertical="center"/>
    </xf>
    <xf numFmtId="9" fontId="9" fillId="0" borderId="0" xfId="1" applyNumberFormat="1" applyFont="1" applyFill="1" applyBorder="1" applyAlignment="1">
      <alignment horizontal="center" vertical="center"/>
    </xf>
    <xf numFmtId="173" fontId="5" fillId="0" borderId="0" xfId="1" applyNumberFormat="1" applyFont="1" applyFill="1" applyBorder="1" applyAlignment="1">
      <alignment vertical="center"/>
    </xf>
    <xf numFmtId="175" fontId="2" fillId="0" borderId="1" xfId="0" applyNumberFormat="1" applyFont="1" applyBorder="1" applyAlignment="1">
      <alignment horizontal="right" vertical="center"/>
    </xf>
    <xf numFmtId="14" fontId="12" fillId="0" borderId="0" xfId="0" applyNumberFormat="1" applyFont="1" applyFill="1" applyBorder="1" applyAlignment="1">
      <alignment horizontal="center" vertical="center"/>
    </xf>
    <xf numFmtId="190" fontId="0" fillId="0" borderId="0" xfId="0" applyNumberFormat="1"/>
    <xf numFmtId="173" fontId="9" fillId="0" borderId="1" xfId="0" applyNumberFormat="1" applyFont="1" applyFill="1" applyBorder="1" applyAlignment="1">
      <alignment horizontal="center" vertical="center"/>
    </xf>
    <xf numFmtId="171" fontId="9"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lignment horizontal="center" vertical="center" wrapText="1"/>
    </xf>
    <xf numFmtId="192" fontId="0" fillId="0" borderId="0" xfId="0" applyNumberFormat="1"/>
    <xf numFmtId="0" fontId="12" fillId="7" borderId="24"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174" fontId="3" fillId="7" borderId="1" xfId="0" applyNumberFormat="1" applyFont="1" applyFill="1" applyBorder="1" applyAlignment="1">
      <alignment horizontal="center" vertical="center"/>
    </xf>
    <xf numFmtId="10" fontId="21" fillId="5" borderId="1" xfId="1" applyNumberFormat="1" applyFont="1" applyFill="1" applyBorder="1" applyAlignment="1">
      <alignment horizontal="center" vertical="center"/>
    </xf>
    <xf numFmtId="174" fontId="12" fillId="7" borderId="24" xfId="0" applyNumberFormat="1" applyFont="1" applyFill="1" applyBorder="1" applyAlignment="1">
      <alignment horizontal="center" vertical="center" wrapText="1"/>
    </xf>
    <xf numFmtId="174" fontId="2" fillId="7" borderId="1" xfId="0" applyNumberFormat="1" applyFont="1" applyFill="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18" xfId="0" applyFont="1" applyBorder="1" applyAlignment="1">
      <alignment horizontal="center" vertical="center"/>
    </xf>
    <xf numFmtId="192" fontId="13" fillId="0" borderId="9" xfId="0" applyNumberFormat="1" applyFont="1" applyBorder="1" applyAlignment="1">
      <alignment vertical="center"/>
    </xf>
    <xf numFmtId="192" fontId="13" fillId="0" borderId="23" xfId="0" applyNumberFormat="1" applyFont="1" applyBorder="1" applyAlignment="1">
      <alignment vertical="center"/>
    </xf>
    <xf numFmtId="192" fontId="12" fillId="0" borderId="4" xfId="0" applyNumberFormat="1" applyFont="1" applyBorder="1" applyAlignment="1">
      <alignment vertical="center"/>
    </xf>
    <xf numFmtId="192" fontId="12" fillId="0" borderId="4" xfId="0" applyNumberFormat="1" applyFont="1" applyFill="1" applyBorder="1" applyAlignment="1">
      <alignment horizontal="center" vertical="center"/>
    </xf>
    <xf numFmtId="192" fontId="13" fillId="0" borderId="14" xfId="0" applyNumberFormat="1" applyFont="1" applyBorder="1" applyAlignment="1">
      <alignment vertical="center"/>
    </xf>
    <xf numFmtId="192" fontId="13" fillId="0" borderId="24" xfId="0" applyNumberFormat="1" applyFont="1" applyBorder="1" applyAlignment="1">
      <alignment vertical="center"/>
    </xf>
    <xf numFmtId="192" fontId="12" fillId="0" borderId="16" xfId="0" applyNumberFormat="1" applyFont="1" applyBorder="1" applyAlignment="1">
      <alignment vertical="center"/>
    </xf>
    <xf numFmtId="192" fontId="12" fillId="0" borderId="16" xfId="0" applyNumberFormat="1" applyFont="1" applyFill="1" applyBorder="1" applyAlignment="1">
      <alignment horizontal="center" vertical="center"/>
    </xf>
    <xf numFmtId="192" fontId="12" fillId="0" borderId="38" xfId="0" applyNumberFormat="1" applyFont="1" applyBorder="1" applyAlignment="1">
      <alignment vertical="center"/>
    </xf>
    <xf numFmtId="192" fontId="12" fillId="0" borderId="39" xfId="0" applyNumberFormat="1" applyFont="1" applyBorder="1" applyAlignment="1">
      <alignment vertical="center"/>
    </xf>
    <xf numFmtId="192" fontId="12" fillId="0" borderId="45" xfId="0" applyNumberFormat="1" applyFont="1" applyBorder="1" applyAlignment="1">
      <alignment vertical="center"/>
    </xf>
    <xf numFmtId="192" fontId="12" fillId="0" borderId="18" xfId="0" applyNumberFormat="1" applyFont="1" applyBorder="1" applyAlignment="1">
      <alignment vertical="center"/>
    </xf>
    <xf numFmtId="192" fontId="12" fillId="0" borderId="18" xfId="0" applyNumberFormat="1" applyFont="1" applyFill="1" applyBorder="1" applyAlignment="1">
      <alignment horizontal="center" vertical="center"/>
    </xf>
    <xf numFmtId="192" fontId="13" fillId="0" borderId="1" xfId="0" applyNumberFormat="1" applyFont="1" applyBorder="1" applyAlignment="1">
      <alignment vertical="center"/>
    </xf>
    <xf numFmtId="192" fontId="12" fillId="0" borderId="5" xfId="0" applyNumberFormat="1" applyFont="1" applyBorder="1" applyAlignment="1">
      <alignment vertical="center"/>
    </xf>
    <xf numFmtId="192" fontId="12" fillId="0" borderId="5" xfId="0" applyNumberFormat="1" applyFont="1" applyFill="1" applyBorder="1" applyAlignment="1">
      <alignment horizontal="center" vertical="center"/>
    </xf>
    <xf numFmtId="192" fontId="12" fillId="0" borderId="46" xfId="0" applyNumberFormat="1" applyFont="1" applyBorder="1" applyAlignment="1">
      <alignment vertical="center"/>
    </xf>
    <xf numFmtId="192" fontId="12" fillId="0" borderId="47" xfId="0" applyNumberFormat="1" applyFont="1" applyBorder="1" applyAlignment="1">
      <alignment vertical="center"/>
    </xf>
    <xf numFmtId="192" fontId="12" fillId="0" borderId="48" xfId="0" applyNumberFormat="1" applyFont="1" applyBorder="1" applyAlignment="1">
      <alignment vertical="center"/>
    </xf>
    <xf numFmtId="192" fontId="12" fillId="0" borderId="49" xfId="0" applyNumberFormat="1" applyFont="1" applyBorder="1" applyAlignment="1">
      <alignment vertical="center"/>
    </xf>
    <xf numFmtId="192" fontId="15" fillId="0" borderId="9" xfId="0" applyNumberFormat="1" applyFont="1" applyBorder="1" applyAlignment="1">
      <alignment vertical="center"/>
    </xf>
    <xf numFmtId="192" fontId="15" fillId="0" borderId="23" xfId="0" applyNumberFormat="1" applyFont="1" applyBorder="1" applyAlignment="1">
      <alignment vertical="center"/>
    </xf>
    <xf numFmtId="192" fontId="15" fillId="0" borderId="42" xfId="0" applyNumberFormat="1" applyFont="1" applyBorder="1" applyAlignment="1">
      <alignment vertical="center"/>
    </xf>
    <xf numFmtId="192" fontId="13" fillId="0" borderId="42" xfId="0" applyNumberFormat="1" applyFont="1" applyBorder="1" applyAlignment="1">
      <alignment vertical="center"/>
    </xf>
    <xf numFmtId="192" fontId="0" fillId="0" borderId="0" xfId="0" applyNumberFormat="1" applyAlignment="1">
      <alignment vertical="center"/>
    </xf>
    <xf numFmtId="192" fontId="13" fillId="0" borderId="26" xfId="0" applyNumberFormat="1" applyFont="1" applyBorder="1" applyAlignment="1">
      <alignment vertical="center"/>
    </xf>
    <xf numFmtId="192" fontId="13" fillId="0" borderId="27" xfId="0" applyNumberFormat="1" applyFont="1" applyBorder="1" applyAlignment="1">
      <alignment vertical="center"/>
    </xf>
    <xf numFmtId="192" fontId="13" fillId="0" borderId="43" xfId="0" applyNumberFormat="1" applyFont="1" applyBorder="1" applyAlignment="1">
      <alignment vertical="center"/>
    </xf>
    <xf numFmtId="192" fontId="12" fillId="0" borderId="26" xfId="0" applyNumberFormat="1" applyFont="1" applyBorder="1" applyAlignment="1">
      <alignment vertical="center"/>
    </xf>
    <xf numFmtId="192" fontId="12" fillId="0" borderId="27" xfId="0" applyNumberFormat="1" applyFont="1" applyBorder="1" applyAlignment="1">
      <alignment vertical="center"/>
    </xf>
    <xf numFmtId="192" fontId="12" fillId="0" borderId="43" xfId="0" applyNumberFormat="1" applyFont="1" applyBorder="1" applyAlignment="1">
      <alignment vertical="center"/>
    </xf>
    <xf numFmtId="170" fontId="11" fillId="0" borderId="20" xfId="0" applyNumberFormat="1" applyFont="1" applyBorder="1" applyAlignment="1">
      <alignment horizontal="center" vertical="center"/>
    </xf>
    <xf numFmtId="0" fontId="2" fillId="0" borderId="3" xfId="0" applyFont="1" applyBorder="1" applyAlignment="1">
      <alignment vertical="center"/>
    </xf>
    <xf numFmtId="1" fontId="27" fillId="0" borderId="11" xfId="0" applyNumberFormat="1" applyFont="1" applyBorder="1" applyAlignment="1">
      <alignment horizontal="center" vertical="center"/>
    </xf>
    <xf numFmtId="186" fontId="2" fillId="0" borderId="1" xfId="0" applyNumberFormat="1" applyFont="1" applyBorder="1" applyAlignment="1">
      <alignment horizontal="right" vertical="center"/>
    </xf>
    <xf numFmtId="9" fontId="11" fillId="0" borderId="11" xfId="0" applyNumberFormat="1" applyFont="1" applyBorder="1" applyAlignment="1">
      <alignment vertical="center"/>
    </xf>
    <xf numFmtId="191" fontId="3" fillId="0" borderId="12" xfId="0" applyNumberFormat="1" applyFont="1" applyBorder="1" applyAlignment="1">
      <alignment horizontal="center" vertical="center"/>
    </xf>
    <xf numFmtId="191" fontId="2" fillId="0" borderId="1" xfId="0" applyNumberFormat="1" applyFont="1" applyBorder="1" applyAlignment="1">
      <alignment horizontal="right" vertical="center"/>
    </xf>
    <xf numFmtId="186" fontId="2" fillId="0" borderId="12" xfId="0" applyNumberFormat="1" applyFont="1" applyBorder="1" applyAlignment="1">
      <alignment horizontal="center" vertical="center"/>
    </xf>
    <xf numFmtId="0" fontId="3" fillId="0" borderId="3"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0" fillId="0" borderId="5" xfId="0" applyBorder="1" applyAlignment="1">
      <alignment vertical="center"/>
    </xf>
    <xf numFmtId="0" fontId="2" fillId="0" borderId="5" xfId="0" applyFont="1" applyBorder="1" applyAlignment="1">
      <alignment vertical="center"/>
    </xf>
    <xf numFmtId="0" fontId="0" fillId="0" borderId="7" xfId="0" applyBorder="1" applyAlignment="1">
      <alignment vertical="center"/>
    </xf>
    <xf numFmtId="170" fontId="5" fillId="0" borderId="29" xfId="0" applyNumberFormat="1" applyFont="1" applyBorder="1" applyAlignment="1">
      <alignment horizontal="center" vertical="center"/>
    </xf>
    <xf numFmtId="1" fontId="5" fillId="0" borderId="26" xfId="0" applyNumberFormat="1" applyFont="1" applyBorder="1" applyAlignment="1">
      <alignment horizontal="center" vertical="center"/>
    </xf>
    <xf numFmtId="175" fontId="0" fillId="0" borderId="27" xfId="0" applyNumberFormat="1" applyBorder="1" applyAlignment="1">
      <alignment horizontal="right" vertical="center"/>
    </xf>
    <xf numFmtId="175" fontId="0" fillId="0" borderId="29" xfId="0" applyNumberFormat="1" applyBorder="1" applyAlignment="1">
      <alignment horizontal="right" vertical="center"/>
    </xf>
    <xf numFmtId="175" fontId="0" fillId="0" borderId="7" xfId="0" applyNumberFormat="1" applyBorder="1" applyAlignment="1">
      <alignment horizontal="right" vertical="center"/>
    </xf>
    <xf numFmtId="0" fontId="2" fillId="0" borderId="13" xfId="0" applyFont="1" applyBorder="1" applyAlignment="1">
      <alignment vertical="center"/>
    </xf>
    <xf numFmtId="192" fontId="1" fillId="0" borderId="4" xfId="0" applyNumberFormat="1" applyFont="1" applyBorder="1" applyAlignment="1">
      <alignment horizontal="right" vertical="center"/>
    </xf>
    <xf numFmtId="170" fontId="12" fillId="0" borderId="1" xfId="0" applyNumberFormat="1" applyFont="1" applyBorder="1" applyAlignment="1">
      <alignment horizontal="center" vertical="center"/>
    </xf>
    <xf numFmtId="170" fontId="15" fillId="0" borderId="1" xfId="0" applyNumberFormat="1" applyFont="1" applyBorder="1" applyAlignment="1">
      <alignment horizontal="center" vertical="center"/>
    </xf>
    <xf numFmtId="9" fontId="11" fillId="0" borderId="11" xfId="0" applyNumberFormat="1" applyFont="1" applyBorder="1" applyAlignment="1">
      <alignment horizontal="center" vertical="center"/>
    </xf>
    <xf numFmtId="9" fontId="28" fillId="0" borderId="11" xfId="0" applyNumberFormat="1" applyFont="1" applyBorder="1" applyAlignment="1">
      <alignment horizontal="center" vertical="center"/>
    </xf>
    <xf numFmtId="10" fontId="15" fillId="0" borderId="1" xfId="0" applyNumberFormat="1" applyFont="1" applyBorder="1" applyAlignment="1">
      <alignment horizontal="center" vertical="center"/>
    </xf>
    <xf numFmtId="170" fontId="11" fillId="0" borderId="1" xfId="0" applyNumberFormat="1" applyFont="1" applyBorder="1" applyAlignment="1">
      <alignment horizontal="center" vertical="center"/>
    </xf>
    <xf numFmtId="192" fontId="0" fillId="0" borderId="0" xfId="0" applyNumberFormat="1" applyAlignment="1"/>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170" fontId="12" fillId="0" borderId="0" xfId="0" applyNumberFormat="1" applyFont="1" applyFill="1" applyBorder="1" applyAlignment="1">
      <alignment horizontal="center" vertical="center"/>
    </xf>
    <xf numFmtId="170" fontId="13" fillId="7" borderId="9" xfId="0" applyNumberFormat="1" applyFont="1" applyFill="1" applyBorder="1" applyAlignment="1">
      <alignment horizontal="center" vertical="center"/>
    </xf>
    <xf numFmtId="170" fontId="13" fillId="7" borderId="23" xfId="0" applyNumberFormat="1" applyFont="1" applyFill="1" applyBorder="1" applyAlignment="1">
      <alignment horizontal="center" vertical="center"/>
    </xf>
    <xf numFmtId="170" fontId="13" fillId="7" borderId="11" xfId="0" applyNumberFormat="1" applyFont="1" applyFill="1" applyBorder="1" applyAlignment="1">
      <alignment horizontal="center" vertical="center"/>
    </xf>
    <xf numFmtId="170" fontId="13" fillId="7" borderId="25" xfId="0" applyNumberFormat="1" applyFont="1" applyFill="1" applyBorder="1" applyAlignment="1">
      <alignment horizontal="center" vertical="center"/>
    </xf>
    <xf numFmtId="170" fontId="13" fillId="7" borderId="14" xfId="0" applyNumberFormat="1" applyFont="1" applyFill="1" applyBorder="1" applyAlignment="1">
      <alignment horizontal="center" vertical="center"/>
    </xf>
    <xf numFmtId="170" fontId="13" fillId="7" borderId="24" xfId="0" applyNumberFormat="1" applyFont="1" applyFill="1" applyBorder="1" applyAlignment="1">
      <alignment horizontal="center" vertical="center"/>
    </xf>
    <xf numFmtId="186" fontId="7" fillId="0" borderId="18" xfId="0" applyNumberFormat="1" applyFont="1" applyBorder="1" applyAlignment="1">
      <alignment horizontal="right" vertical="center"/>
    </xf>
    <xf numFmtId="179" fontId="7" fillId="0" borderId="18" xfId="0" applyNumberFormat="1" applyFont="1" applyBorder="1" applyAlignment="1">
      <alignment horizontal="right" vertical="center"/>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6" borderId="0" xfId="0" applyFill="1" applyBorder="1" applyAlignment="1">
      <alignment horizontal="center" vertical="center"/>
    </xf>
    <xf numFmtId="0" fontId="1" fillId="0" borderId="25" xfId="0" applyFont="1" applyBorder="1" applyAlignment="1">
      <alignment vertical="center"/>
    </xf>
    <xf numFmtId="9" fontId="13" fillId="0" borderId="1" xfId="1" applyNumberFormat="1" applyFont="1" applyFill="1" applyBorder="1" applyAlignment="1">
      <alignment horizontal="center" vertical="center"/>
    </xf>
    <xf numFmtId="170" fontId="13" fillId="0" borderId="10" xfId="0" quotePrefix="1" applyNumberFormat="1" applyFont="1" applyFill="1" applyBorder="1" applyAlignment="1">
      <alignment horizontal="center" vertical="center"/>
    </xf>
    <xf numFmtId="181" fontId="9" fillId="0" borderId="1" xfId="0" applyNumberFormat="1" applyFont="1" applyFill="1" applyBorder="1" applyAlignment="1">
      <alignment horizontal="center" vertical="center"/>
    </xf>
    <xf numFmtId="176" fontId="33" fillId="0" borderId="1" xfId="1" applyNumberFormat="1" applyFont="1" applyFill="1" applyBorder="1" applyAlignment="1">
      <alignment horizontal="center" vertical="center"/>
    </xf>
    <xf numFmtId="176" fontId="21" fillId="0" borderId="24" xfId="1" applyNumberFormat="1" applyFont="1" applyFill="1" applyBorder="1" applyAlignment="1">
      <alignment horizontal="center" vertical="center"/>
    </xf>
    <xf numFmtId="174" fontId="7" fillId="0" borderId="30" xfId="0" applyNumberFormat="1" applyFont="1" applyFill="1" applyBorder="1" applyAlignment="1">
      <alignment horizontal="center" vertical="center"/>
    </xf>
    <xf numFmtId="189" fontId="11" fillId="0" borderId="1" xfId="0" applyNumberFormat="1" applyFont="1" applyFill="1" applyBorder="1" applyAlignment="1" applyProtection="1">
      <alignment horizontal="center" vertical="center"/>
      <protection locked="0"/>
    </xf>
    <xf numFmtId="189" fontId="12" fillId="0" borderId="1" xfId="0" applyNumberFormat="1" applyFont="1" applyFill="1" applyBorder="1" applyAlignment="1" applyProtection="1">
      <alignment horizontal="center" vertical="center"/>
      <protection locked="0"/>
    </xf>
    <xf numFmtId="0" fontId="0" fillId="0" borderId="1" xfId="0" applyBorder="1" applyAlignment="1">
      <alignment horizontal="center"/>
    </xf>
    <xf numFmtId="10" fontId="0" fillId="0" borderId="0" xfId="0" applyNumberFormat="1" applyAlignment="1">
      <alignment horizontal="center"/>
    </xf>
    <xf numFmtId="174" fontId="0" fillId="0" borderId="0" xfId="0" applyNumberFormat="1"/>
    <xf numFmtId="191" fontId="4" fillId="0" borderId="1" xfId="0" applyNumberFormat="1" applyFont="1" applyFill="1" applyBorder="1" applyAlignment="1">
      <alignment horizontal="right" vertical="center"/>
    </xf>
    <xf numFmtId="191" fontId="1" fillId="0" borderId="1" xfId="0" applyNumberFormat="1" applyFont="1" applyFill="1" applyBorder="1" applyAlignment="1">
      <alignment horizontal="right" vertical="center"/>
    </xf>
    <xf numFmtId="191" fontId="7" fillId="0" borderId="1" xfId="0" applyNumberFormat="1" applyFont="1" applyFill="1" applyBorder="1" applyAlignment="1">
      <alignment horizontal="right" vertical="center"/>
    </xf>
    <xf numFmtId="191" fontId="0" fillId="0" borderId="0" xfId="0" applyNumberFormat="1" applyAlignment="1"/>
    <xf numFmtId="191" fontId="7" fillId="0" borderId="30" xfId="0" applyNumberFormat="1" applyFont="1" applyBorder="1" applyAlignment="1">
      <alignment horizontal="center" vertical="center" wrapText="1"/>
    </xf>
    <xf numFmtId="191" fontId="0" fillId="0" borderId="0" xfId="0" applyNumberFormat="1"/>
    <xf numFmtId="191" fontId="8" fillId="0" borderId="30" xfId="0" applyNumberFormat="1" applyFont="1" applyBorder="1" applyAlignment="1">
      <alignment horizontal="right" vertical="center" wrapText="1"/>
    </xf>
    <xf numFmtId="191" fontId="2" fillId="0" borderId="1" xfId="0" applyNumberFormat="1" applyFont="1" applyFill="1" applyBorder="1" applyAlignment="1">
      <alignment horizontal="right" vertical="center" wrapText="1"/>
    </xf>
    <xf numFmtId="191" fontId="0" fillId="0" borderId="0" xfId="0" applyNumberFormat="1" applyAlignment="1">
      <alignment horizontal="right"/>
    </xf>
    <xf numFmtId="191" fontId="4" fillId="0" borderId="1" xfId="0" applyNumberFormat="1" applyFont="1" applyFill="1" applyBorder="1" applyAlignment="1">
      <alignment vertical="center"/>
    </xf>
    <xf numFmtId="191" fontId="1" fillId="0" borderId="1" xfId="0" applyNumberFormat="1" applyFont="1" applyFill="1" applyBorder="1" applyAlignment="1">
      <alignment vertical="center"/>
    </xf>
    <xf numFmtId="191" fontId="7" fillId="4" borderId="30" xfId="0" applyNumberFormat="1" applyFont="1" applyFill="1" applyBorder="1" applyAlignment="1">
      <alignment horizontal="center" vertical="center" wrapText="1"/>
    </xf>
    <xf numFmtId="170" fontId="4" fillId="0" borderId="1" xfId="0" applyNumberFormat="1" applyFont="1" applyFill="1" applyBorder="1" applyAlignment="1">
      <alignment horizontal="center" vertical="center" wrapText="1"/>
    </xf>
    <xf numFmtId="191" fontId="7" fillId="0" borderId="1" xfId="0" applyNumberFormat="1" applyFont="1" applyFill="1" applyBorder="1" applyAlignment="1">
      <alignment vertical="center"/>
    </xf>
    <xf numFmtId="191" fontId="4" fillId="0" borderId="1" xfId="0" applyNumberFormat="1" applyFont="1" applyFill="1" applyBorder="1" applyAlignment="1">
      <alignment horizontal="center" vertical="center" wrapText="1"/>
    </xf>
    <xf numFmtId="191" fontId="7" fillId="4" borderId="1" xfId="0" applyNumberFormat="1" applyFont="1" applyFill="1" applyBorder="1" applyAlignment="1">
      <alignment vertical="center"/>
    </xf>
    <xf numFmtId="0" fontId="0" fillId="4" borderId="7" xfId="0" applyFill="1" applyBorder="1" applyAlignment="1">
      <alignment horizontal="left" vertical="center"/>
    </xf>
    <xf numFmtId="0" fontId="1" fillId="5" borderId="18" xfId="0" applyFont="1" applyFill="1" applyBorder="1" applyAlignment="1">
      <alignment horizontal="left" vertical="center"/>
    </xf>
    <xf numFmtId="172" fontId="9" fillId="0" borderId="0" xfId="0" applyNumberFormat="1" applyFont="1" applyBorder="1" applyAlignment="1">
      <alignment horizontal="center" vertical="center"/>
    </xf>
    <xf numFmtId="3" fontId="13" fillId="0" borderId="38" xfId="0" applyNumberFormat="1" applyFont="1" applyFill="1" applyBorder="1" applyAlignment="1">
      <alignment horizontal="center" vertical="center"/>
    </xf>
    <xf numFmtId="3" fontId="13" fillId="0" borderId="39" xfId="0" applyNumberFormat="1" applyFont="1" applyFill="1" applyBorder="1" applyAlignment="1">
      <alignment horizontal="center" vertical="center"/>
    </xf>
    <xf numFmtId="0" fontId="4" fillId="4" borderId="18" xfId="0" applyFont="1" applyFill="1" applyBorder="1" applyAlignment="1">
      <alignment horizontal="left" vertical="center"/>
    </xf>
    <xf numFmtId="3" fontId="13" fillId="0" borderId="42" xfId="0" applyNumberFormat="1" applyFont="1" applyFill="1" applyBorder="1" applyAlignment="1">
      <alignment horizontal="center" vertical="center"/>
    </xf>
    <xf numFmtId="3" fontId="13" fillId="0" borderId="33" xfId="0" applyNumberFormat="1" applyFont="1" applyFill="1" applyBorder="1" applyAlignment="1">
      <alignment horizontal="center" vertical="center"/>
    </xf>
    <xf numFmtId="3" fontId="13" fillId="0" borderId="30" xfId="0" applyNumberFormat="1" applyFont="1" applyFill="1" applyBorder="1" applyAlignment="1">
      <alignment horizontal="center" vertical="center"/>
    </xf>
    <xf numFmtId="3" fontId="13" fillId="0" borderId="50" xfId="0" applyNumberFormat="1" applyFont="1" applyFill="1" applyBorder="1" applyAlignment="1">
      <alignment horizontal="center" vertical="center"/>
    </xf>
    <xf numFmtId="3" fontId="13" fillId="0" borderId="45" xfId="0" applyNumberFormat="1" applyFont="1" applyFill="1" applyBorder="1" applyAlignment="1">
      <alignment horizontal="center" vertical="center"/>
    </xf>
    <xf numFmtId="3" fontId="12" fillId="0" borderId="45"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22" xfId="0" applyNumberFormat="1" applyFont="1" applyFill="1" applyBorder="1" applyAlignment="1">
      <alignment horizontal="center" vertical="center"/>
    </xf>
    <xf numFmtId="3" fontId="12" fillId="0" borderId="5"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3" fontId="13" fillId="0" borderId="18" xfId="0" applyNumberFormat="1" applyFont="1" applyFill="1" applyBorder="1" applyAlignment="1">
      <alignment horizontal="center" vertical="center"/>
    </xf>
    <xf numFmtId="3" fontId="12" fillId="0" borderId="18" xfId="0" applyNumberFormat="1" applyFont="1" applyFill="1" applyBorder="1" applyAlignment="1">
      <alignment horizontal="center" vertical="center"/>
    </xf>
    <xf numFmtId="170" fontId="12" fillId="0" borderId="51" xfId="0" applyNumberFormat="1" applyFont="1" applyFill="1" applyBorder="1" applyAlignment="1">
      <alignment horizontal="center" vertical="center"/>
    </xf>
    <xf numFmtId="170" fontId="12" fillId="0" borderId="52" xfId="0" applyNumberFormat="1" applyFont="1" applyFill="1" applyBorder="1" applyAlignment="1">
      <alignment horizontal="center" vertical="center"/>
    </xf>
    <xf numFmtId="170" fontId="12" fillId="0" borderId="53" xfId="0" applyNumberFormat="1" applyFont="1" applyFill="1" applyBorder="1" applyAlignment="1">
      <alignment horizontal="center" vertical="center"/>
    </xf>
    <xf numFmtId="170" fontId="13" fillId="0" borderId="38" xfId="0" applyNumberFormat="1" applyFont="1" applyFill="1" applyBorder="1" applyAlignment="1">
      <alignment horizontal="center" vertical="center"/>
    </xf>
    <xf numFmtId="170" fontId="13" fillId="0" borderId="39" xfId="0" applyNumberFormat="1" applyFont="1" applyFill="1" applyBorder="1" applyAlignment="1">
      <alignment horizontal="center" vertical="center"/>
    </xf>
    <xf numFmtId="170" fontId="13" fillId="0" borderId="40" xfId="0" applyNumberFormat="1" applyFont="1" applyFill="1" applyBorder="1" applyAlignment="1">
      <alignment horizontal="center" vertical="center"/>
    </xf>
    <xf numFmtId="170" fontId="13" fillId="0" borderId="18" xfId="0" applyNumberFormat="1" applyFont="1" applyFill="1" applyBorder="1" applyAlignment="1">
      <alignment horizontal="center" vertical="center"/>
    </xf>
    <xf numFmtId="170" fontId="13" fillId="0" borderId="28" xfId="0" applyNumberFormat="1" applyFont="1" applyFill="1" applyBorder="1" applyAlignment="1">
      <alignment horizontal="center" vertical="center"/>
    </xf>
    <xf numFmtId="170" fontId="13" fillId="0" borderId="30" xfId="0" applyNumberFormat="1" applyFont="1" applyFill="1" applyBorder="1" applyAlignment="1">
      <alignment horizontal="center" vertical="center"/>
    </xf>
    <xf numFmtId="170" fontId="13" fillId="0" borderId="53" xfId="0" applyNumberFormat="1" applyFont="1" applyFill="1" applyBorder="1" applyAlignment="1">
      <alignment horizontal="center" vertical="center"/>
    </xf>
    <xf numFmtId="191" fontId="13" fillId="0" borderId="23" xfId="0" applyNumberFormat="1" applyFont="1" applyBorder="1" applyAlignment="1">
      <alignment vertical="center"/>
    </xf>
    <xf numFmtId="191" fontId="12" fillId="0" borderId="4" xfId="0" applyNumberFormat="1" applyFont="1" applyBorder="1" applyAlignment="1">
      <alignment vertical="center"/>
    </xf>
    <xf numFmtId="191" fontId="12" fillId="0" borderId="4" xfId="0" applyNumberFormat="1" applyFont="1" applyFill="1" applyBorder="1" applyAlignment="1">
      <alignment horizontal="center" vertical="center"/>
    </xf>
    <xf numFmtId="191" fontId="13" fillId="0" borderId="14" xfId="0" applyNumberFormat="1" applyFont="1" applyBorder="1" applyAlignment="1">
      <alignment vertical="center"/>
    </xf>
    <xf numFmtId="191" fontId="13" fillId="0" borderId="24" xfId="0" applyNumberFormat="1" applyFont="1" applyBorder="1" applyAlignment="1">
      <alignment vertical="center"/>
    </xf>
    <xf numFmtId="191" fontId="12" fillId="0" borderId="16" xfId="0" applyNumberFormat="1" applyFont="1" applyBorder="1" applyAlignment="1">
      <alignment vertical="center"/>
    </xf>
    <xf numFmtId="191" fontId="12" fillId="0" borderId="16" xfId="0" applyNumberFormat="1" applyFont="1" applyFill="1" applyBorder="1" applyAlignment="1">
      <alignment horizontal="center" vertical="center"/>
    </xf>
    <xf numFmtId="191" fontId="12" fillId="0" borderId="38" xfId="0" applyNumberFormat="1" applyFont="1" applyBorder="1" applyAlignment="1">
      <alignment vertical="center"/>
    </xf>
    <xf numFmtId="191" fontId="12" fillId="0" borderId="39" xfId="0" applyNumberFormat="1" applyFont="1" applyBorder="1" applyAlignment="1">
      <alignment vertical="center"/>
    </xf>
    <xf numFmtId="191" fontId="12" fillId="0" borderId="45" xfId="0" applyNumberFormat="1" applyFont="1" applyBorder="1" applyAlignment="1">
      <alignment vertical="center"/>
    </xf>
    <xf numFmtId="191" fontId="12" fillId="0" borderId="18" xfId="0" applyNumberFormat="1" applyFont="1" applyBorder="1" applyAlignment="1">
      <alignment vertical="center"/>
    </xf>
    <xf numFmtId="191" fontId="12" fillId="0" borderId="18" xfId="0" applyNumberFormat="1" applyFont="1" applyFill="1" applyBorder="1" applyAlignment="1">
      <alignment horizontal="center" vertical="center"/>
    </xf>
    <xf numFmtId="191" fontId="13" fillId="0" borderId="9" xfId="0" applyNumberFormat="1" applyFont="1" applyBorder="1" applyAlignment="1">
      <alignment vertical="center"/>
    </xf>
    <xf numFmtId="191" fontId="13" fillId="0" borderId="1" xfId="0" applyNumberFormat="1" applyFont="1" applyBorder="1" applyAlignment="1">
      <alignment vertical="center"/>
    </xf>
    <xf numFmtId="191" fontId="12" fillId="0" borderId="5" xfId="0" applyNumberFormat="1" applyFont="1" applyBorder="1" applyAlignment="1">
      <alignment vertical="center"/>
    </xf>
    <xf numFmtId="191" fontId="12" fillId="0" borderId="5" xfId="0" applyNumberFormat="1" applyFont="1" applyFill="1" applyBorder="1" applyAlignment="1">
      <alignment horizontal="center" vertical="center"/>
    </xf>
    <xf numFmtId="191" fontId="12" fillId="0" borderId="46" xfId="0" applyNumberFormat="1" applyFont="1" applyBorder="1" applyAlignment="1">
      <alignment vertical="center"/>
    </xf>
    <xf numFmtId="191" fontId="12" fillId="0" borderId="47" xfId="0" applyNumberFormat="1" applyFont="1" applyBorder="1" applyAlignment="1">
      <alignment vertical="center"/>
    </xf>
    <xf numFmtId="191" fontId="12" fillId="0" borderId="48" xfId="0" applyNumberFormat="1" applyFont="1" applyBorder="1" applyAlignment="1">
      <alignment vertical="center"/>
    </xf>
    <xf numFmtId="191" fontId="12" fillId="0" borderId="49" xfId="0" applyNumberFormat="1" applyFont="1" applyBorder="1" applyAlignment="1">
      <alignment vertical="center"/>
    </xf>
    <xf numFmtId="191" fontId="15" fillId="0" borderId="9" xfId="0" applyNumberFormat="1" applyFont="1" applyBorder="1" applyAlignment="1">
      <alignment vertical="center"/>
    </xf>
    <xf numFmtId="191" fontId="15" fillId="0" borderId="23" xfId="0" applyNumberFormat="1" applyFont="1" applyBorder="1" applyAlignment="1">
      <alignment vertical="center"/>
    </xf>
    <xf numFmtId="191" fontId="15" fillId="0" borderId="42" xfId="0" applyNumberFormat="1" applyFont="1" applyBorder="1" applyAlignment="1">
      <alignment vertical="center"/>
    </xf>
    <xf numFmtId="191" fontId="13" fillId="0" borderId="42" xfId="0" applyNumberFormat="1" applyFont="1" applyBorder="1" applyAlignment="1">
      <alignment vertical="center"/>
    </xf>
    <xf numFmtId="191" fontId="0" fillId="0" borderId="0" xfId="0" applyNumberFormat="1" applyAlignment="1">
      <alignment vertical="center"/>
    </xf>
    <xf numFmtId="191" fontId="13" fillId="0" borderId="26" xfId="0" applyNumberFormat="1" applyFont="1" applyBorder="1" applyAlignment="1">
      <alignment vertical="center"/>
    </xf>
    <xf numFmtId="191" fontId="13" fillId="0" borderId="27" xfId="0" applyNumberFormat="1" applyFont="1" applyBorder="1" applyAlignment="1">
      <alignment vertical="center"/>
    </xf>
    <xf numFmtId="191" fontId="13" fillId="0" borderId="43" xfId="0" applyNumberFormat="1" applyFont="1" applyBorder="1" applyAlignment="1">
      <alignment vertical="center"/>
    </xf>
    <xf numFmtId="191" fontId="12" fillId="0" borderId="26" xfId="0" applyNumberFormat="1" applyFont="1" applyBorder="1" applyAlignment="1">
      <alignment vertical="center"/>
    </xf>
    <xf numFmtId="191" fontId="12" fillId="0" borderId="27" xfId="0" applyNumberFormat="1" applyFont="1" applyBorder="1" applyAlignment="1">
      <alignment vertical="center"/>
    </xf>
    <xf numFmtId="191" fontId="12" fillId="0" borderId="43" xfId="0" applyNumberFormat="1" applyFont="1" applyBorder="1" applyAlignment="1">
      <alignment vertical="center"/>
    </xf>
    <xf numFmtId="191" fontId="13" fillId="0" borderId="4" xfId="0" applyNumberFormat="1" applyFont="1" applyBorder="1" applyAlignment="1">
      <alignment horizontal="center" vertical="center"/>
    </xf>
    <xf numFmtId="191" fontId="13" fillId="0" borderId="7" xfId="0" applyNumberFormat="1" applyFont="1" applyBorder="1" applyAlignment="1">
      <alignment horizontal="center" vertical="center"/>
    </xf>
    <xf numFmtId="191" fontId="13" fillId="0" borderId="18" xfId="0" applyNumberFormat="1" applyFont="1" applyBorder="1" applyAlignment="1">
      <alignment horizontal="center" vertical="center"/>
    </xf>
    <xf numFmtId="0" fontId="1" fillId="0" borderId="30" xfId="0" applyFont="1" applyBorder="1" applyAlignment="1">
      <alignment horizontal="center" vertical="center"/>
    </xf>
    <xf numFmtId="0" fontId="1" fillId="0" borderId="1" xfId="0" applyFont="1" applyBorder="1" applyAlignment="1">
      <alignment horizontal="left" vertical="center"/>
    </xf>
    <xf numFmtId="0" fontId="1" fillId="0" borderId="30" xfId="0" applyFont="1" applyBorder="1" applyAlignment="1">
      <alignment horizontal="left" vertical="center"/>
    </xf>
    <xf numFmtId="0" fontId="1" fillId="0" borderId="54" xfId="0" applyFont="1" applyBorder="1" applyAlignment="1">
      <alignment horizontal="left" vertical="center"/>
    </xf>
    <xf numFmtId="0" fontId="1" fillId="0" borderId="25" xfId="0" applyFont="1" applyBorder="1" applyAlignment="1">
      <alignment horizontal="left" vertical="center"/>
    </xf>
    <xf numFmtId="0" fontId="0" fillId="0" borderId="55" xfId="0" applyBorder="1" applyAlignment="1">
      <alignment vertical="center"/>
    </xf>
    <xf numFmtId="177" fontId="9" fillId="0" borderId="0" xfId="0" applyNumberFormat="1" applyFont="1" applyFill="1" applyBorder="1" applyAlignment="1">
      <alignment horizontal="center" vertical="center"/>
    </xf>
    <xf numFmtId="170" fontId="34" fillId="0" borderId="11" xfId="0" applyNumberFormat="1" applyFont="1" applyBorder="1" applyAlignment="1">
      <alignment horizontal="center" vertical="center"/>
    </xf>
    <xf numFmtId="173" fontId="4" fillId="0" borderId="1" xfId="1" applyNumberFormat="1" applyFont="1" applyFill="1" applyBorder="1" applyAlignment="1">
      <alignment horizontal="center" vertical="center"/>
    </xf>
    <xf numFmtId="170" fontId="13" fillId="7" borderId="20" xfId="0" applyNumberFormat="1" applyFont="1" applyFill="1" applyBorder="1" applyAlignment="1">
      <alignment horizontal="center" vertical="center"/>
    </xf>
    <xf numFmtId="170" fontId="13" fillId="7" borderId="38" xfId="0" applyNumberFormat="1" applyFont="1" applyFill="1" applyBorder="1" applyAlignment="1">
      <alignment horizontal="center" vertical="center"/>
    </xf>
    <xf numFmtId="170" fontId="12" fillId="7" borderId="51" xfId="0" applyNumberFormat="1" applyFont="1" applyFill="1" applyBorder="1" applyAlignment="1">
      <alignment horizontal="center" vertical="center"/>
    </xf>
    <xf numFmtId="186" fontId="1" fillId="0" borderId="18" xfId="0" applyNumberFormat="1" applyFont="1" applyBorder="1" applyAlignment="1">
      <alignment horizontal="right" vertical="center"/>
    </xf>
    <xf numFmtId="175" fontId="1" fillId="0" borderId="18" xfId="0" applyNumberFormat="1" applyFont="1" applyBorder="1" applyAlignment="1">
      <alignment horizontal="right" vertical="center"/>
    </xf>
    <xf numFmtId="0" fontId="1" fillId="5" borderId="17" xfId="0" applyFont="1" applyFill="1" applyBorder="1" applyAlignment="1">
      <alignment horizontal="left" vertical="center"/>
    </xf>
    <xf numFmtId="170" fontId="13" fillId="0" borderId="34" xfId="0" applyNumberFormat="1" applyFont="1" applyFill="1" applyBorder="1" applyAlignment="1">
      <alignment horizontal="center" vertical="center"/>
    </xf>
    <xf numFmtId="1" fontId="0" fillId="0" borderId="1" xfId="0" applyNumberFormat="1" applyBorder="1" applyAlignment="1">
      <alignment horizontal="center" vertical="center"/>
    </xf>
    <xf numFmtId="1" fontId="1" fillId="0" borderId="1" xfId="0" applyNumberFormat="1" applyFont="1" applyBorder="1" applyAlignment="1">
      <alignment horizontal="center" vertical="center"/>
    </xf>
    <xf numFmtId="178" fontId="0" fillId="0" borderId="1" xfId="0" applyNumberFormat="1" applyBorder="1" applyAlignment="1">
      <alignment vertical="center"/>
    </xf>
    <xf numFmtId="178" fontId="1" fillId="0" borderId="1" xfId="0" applyNumberFormat="1" applyFont="1" applyBorder="1" applyAlignment="1">
      <alignment vertical="center"/>
    </xf>
    <xf numFmtId="178" fontId="1" fillId="0" borderId="1" xfId="0" applyNumberFormat="1" applyFont="1" applyBorder="1" applyAlignment="1">
      <alignment horizontal="right" vertical="center"/>
    </xf>
    <xf numFmtId="173" fontId="1" fillId="0" borderId="1" xfId="0" applyNumberFormat="1" applyFont="1" applyBorder="1" applyAlignment="1">
      <alignment horizontal="center" vertical="center"/>
    </xf>
    <xf numFmtId="170" fontId="13" fillId="0" borderId="1" xfId="0" applyNumberFormat="1" applyFont="1" applyBorder="1" applyAlignment="1">
      <alignment horizontal="center" vertical="center"/>
    </xf>
    <xf numFmtId="9" fontId="4" fillId="0" borderId="1" xfId="1" applyNumberFormat="1" applyFont="1" applyFill="1" applyBorder="1" applyAlignment="1">
      <alignment horizontal="center" vertical="center"/>
    </xf>
    <xf numFmtId="9" fontId="9" fillId="0" borderId="12" xfId="1" applyNumberFormat="1" applyFont="1" applyFill="1" applyBorder="1" applyAlignment="1">
      <alignment horizontal="center" vertical="center"/>
    </xf>
    <xf numFmtId="3" fontId="9" fillId="0" borderId="12" xfId="0" applyNumberFormat="1" applyFont="1" applyFill="1" applyBorder="1" applyAlignment="1">
      <alignment horizontal="center" vertical="center"/>
    </xf>
    <xf numFmtId="170" fontId="13" fillId="0" borderId="12" xfId="0" applyNumberFormat="1" applyFont="1" applyBorder="1" applyAlignment="1">
      <alignment horizontal="center" vertical="center"/>
    </xf>
    <xf numFmtId="9" fontId="9" fillId="0" borderId="27" xfId="1" applyNumberFormat="1" applyFont="1" applyFill="1" applyBorder="1" applyAlignment="1">
      <alignment horizontal="center" vertical="center"/>
    </xf>
    <xf numFmtId="170" fontId="13" fillId="0" borderId="27" xfId="0" applyNumberFormat="1" applyFont="1" applyBorder="1" applyAlignment="1">
      <alignment horizontal="center" vertical="center"/>
    </xf>
    <xf numFmtId="9" fontId="9" fillId="0" borderId="29" xfId="1" applyNumberFormat="1" applyFont="1" applyFill="1" applyBorder="1" applyAlignment="1">
      <alignment horizontal="center" vertical="center"/>
    </xf>
    <xf numFmtId="170" fontId="9" fillId="0" borderId="12" xfId="0" applyNumberFormat="1" applyFont="1" applyBorder="1" applyAlignment="1">
      <alignment horizontal="center" vertical="center"/>
    </xf>
    <xf numFmtId="170" fontId="9" fillId="0" borderId="29" xfId="0" applyNumberFormat="1" applyFont="1" applyBorder="1" applyAlignment="1">
      <alignment horizontal="center" vertical="center"/>
    </xf>
    <xf numFmtId="170" fontId="13" fillId="0" borderId="39" xfId="0" applyNumberFormat="1" applyFont="1" applyBorder="1" applyAlignment="1">
      <alignment horizontal="center" vertical="center"/>
    </xf>
    <xf numFmtId="170" fontId="4" fillId="7" borderId="1" xfId="0" applyNumberFormat="1" applyFont="1" applyFill="1" applyBorder="1" applyAlignment="1">
      <alignment horizontal="center" vertical="center"/>
    </xf>
    <xf numFmtId="173" fontId="4" fillId="7" borderId="1" xfId="1"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187" fontId="1" fillId="7" borderId="1" xfId="0" applyNumberFormat="1" applyFont="1" applyFill="1" applyBorder="1" applyAlignment="1">
      <alignment horizontal="center" vertical="center"/>
    </xf>
    <xf numFmtId="172" fontId="4" fillId="7" borderId="1" xfId="0" applyNumberFormat="1" applyFont="1" applyFill="1" applyBorder="1" applyAlignment="1">
      <alignment horizontal="center" vertical="center"/>
    </xf>
    <xf numFmtId="9" fontId="4" fillId="7" borderId="1" xfId="1" applyNumberFormat="1" applyFont="1" applyFill="1" applyBorder="1" applyAlignment="1">
      <alignment horizontal="center" vertical="center"/>
    </xf>
    <xf numFmtId="170" fontId="12" fillId="7" borderId="1" xfId="0" applyNumberFormat="1" applyFont="1" applyFill="1" applyBorder="1" applyAlignment="1">
      <alignment horizontal="center" vertical="center"/>
    </xf>
    <xf numFmtId="170" fontId="13" fillId="7" borderId="1" xfId="0" applyNumberFormat="1" applyFont="1" applyFill="1" applyBorder="1" applyAlignment="1">
      <alignment horizontal="center" vertical="center"/>
    </xf>
    <xf numFmtId="173" fontId="4" fillId="7" borderId="1" xfId="0" applyNumberFormat="1" applyFont="1" applyFill="1" applyBorder="1" applyAlignment="1" applyProtection="1">
      <alignment horizontal="center" vertical="center"/>
      <protection locked="0"/>
    </xf>
    <xf numFmtId="1" fontId="4" fillId="7" borderId="1" xfId="0" applyNumberFormat="1" applyFont="1" applyFill="1" applyBorder="1" applyAlignment="1" applyProtection="1">
      <alignment horizontal="center" vertical="center"/>
      <protection locked="0"/>
    </xf>
    <xf numFmtId="9" fontId="4" fillId="7" borderId="1" xfId="0" applyNumberFormat="1" applyFont="1" applyFill="1" applyBorder="1" applyAlignment="1">
      <alignment horizontal="center" vertical="center"/>
    </xf>
    <xf numFmtId="172" fontId="1" fillId="7" borderId="1" xfId="0" applyNumberFormat="1" applyFont="1" applyFill="1" applyBorder="1" applyAlignment="1">
      <alignment horizontal="center" vertical="center"/>
    </xf>
    <xf numFmtId="178" fontId="1" fillId="0" borderId="0" xfId="0" applyNumberFormat="1" applyFont="1" applyBorder="1" applyAlignment="1">
      <alignment vertical="center"/>
    </xf>
    <xf numFmtId="193" fontId="15" fillId="0" borderId="1" xfId="0" applyNumberFormat="1" applyFont="1" applyBorder="1" applyAlignment="1">
      <alignment vertical="center"/>
    </xf>
    <xf numFmtId="178" fontId="8" fillId="0" borderId="1" xfId="0" applyNumberFormat="1" applyFont="1" applyBorder="1" applyAlignment="1">
      <alignment vertical="center"/>
    </xf>
    <xf numFmtId="178" fontId="8" fillId="0" borderId="1" xfId="0" applyNumberFormat="1" applyFont="1" applyBorder="1" applyAlignment="1">
      <alignment horizontal="right" vertical="center"/>
    </xf>
    <xf numFmtId="0" fontId="1" fillId="0" borderId="0" xfId="0" applyFont="1" applyBorder="1" applyAlignment="1">
      <alignment horizontal="center" vertical="center" textRotation="90"/>
    </xf>
    <xf numFmtId="172" fontId="5" fillId="5" borderId="12" xfId="0" applyNumberFormat="1" applyFont="1" applyFill="1" applyBorder="1" applyAlignment="1">
      <alignment horizontal="center" vertical="center"/>
    </xf>
    <xf numFmtId="9" fontId="5" fillId="5" borderId="12" xfId="1" applyNumberFormat="1" applyFont="1" applyFill="1" applyBorder="1" applyAlignment="1">
      <alignment horizontal="center" vertical="center"/>
    </xf>
    <xf numFmtId="170" fontId="5" fillId="5" borderId="1" xfId="0" applyNumberFormat="1" applyFont="1" applyFill="1" applyBorder="1" applyAlignment="1">
      <alignment horizontal="center" vertical="center"/>
    </xf>
    <xf numFmtId="170" fontId="5" fillId="5" borderId="39" xfId="0" applyNumberFormat="1" applyFont="1" applyFill="1" applyBorder="1" applyAlignment="1">
      <alignment horizontal="center" vertical="center"/>
    </xf>
    <xf numFmtId="172" fontId="9" fillId="0" borderId="40" xfId="0" applyNumberFormat="1" applyFont="1" applyFill="1" applyBorder="1" applyAlignment="1">
      <alignment horizontal="center" vertical="center"/>
    </xf>
    <xf numFmtId="10" fontId="5" fillId="5" borderId="12" xfId="1" applyNumberFormat="1" applyFont="1" applyFill="1" applyBorder="1" applyAlignment="1">
      <alignment horizontal="center" vertical="center"/>
    </xf>
    <xf numFmtId="3" fontId="5" fillId="5" borderId="29" xfId="0" applyNumberFormat="1" applyFont="1" applyFill="1" applyBorder="1" applyAlignment="1">
      <alignment horizontal="center" vertical="center"/>
    </xf>
    <xf numFmtId="170" fontId="5" fillId="5" borderId="12" xfId="0" applyNumberFormat="1" applyFont="1" applyFill="1" applyBorder="1" applyAlignment="1">
      <alignment horizontal="center" vertical="center"/>
    </xf>
    <xf numFmtId="187" fontId="5" fillId="5"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3" fillId="0" borderId="30"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23" fillId="0" borderId="1" xfId="0" applyFont="1" applyFill="1" applyBorder="1" applyAlignment="1">
      <alignment horizontal="center" vertical="center" wrapText="1"/>
    </xf>
    <xf numFmtId="189" fontId="12" fillId="0" borderId="24"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173" fontId="11" fillId="0" borderId="1" xfId="0" applyNumberFormat="1" applyFont="1" applyFill="1" applyBorder="1" applyAlignment="1">
      <alignment horizontal="center" vertical="center"/>
    </xf>
    <xf numFmtId="0" fontId="0" fillId="0" borderId="1" xfId="0" applyBorder="1" applyAlignment="1">
      <alignment vertical="center"/>
    </xf>
    <xf numFmtId="189" fontId="12" fillId="0" borderId="1" xfId="0" applyNumberFormat="1" applyFont="1" applyFill="1" applyBorder="1" applyAlignment="1" applyProtection="1">
      <alignment horizontal="center" vertical="center"/>
      <protection locked="0"/>
    </xf>
    <xf numFmtId="0" fontId="4" fillId="0" borderId="1" xfId="0" applyFont="1" applyBorder="1" applyAlignment="1">
      <alignment vertical="center"/>
    </xf>
    <xf numFmtId="189" fontId="11" fillId="5" borderId="1" xfId="0" applyNumberFormat="1" applyFont="1" applyFill="1" applyBorder="1" applyAlignment="1" applyProtection="1">
      <alignment horizontal="center" vertical="center"/>
      <protection locked="0"/>
    </xf>
    <xf numFmtId="0" fontId="0" fillId="5" borderId="1" xfId="0" applyFill="1" applyBorder="1" applyAlignment="1">
      <alignment vertical="center"/>
    </xf>
    <xf numFmtId="0" fontId="7" fillId="0" borderId="1" xfId="0" applyFont="1" applyBorder="1" applyAlignment="1">
      <alignment horizontal="center" vertical="center" wrapText="1"/>
    </xf>
    <xf numFmtId="0" fontId="4" fillId="0" borderId="30"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6" fillId="0" borderId="1" xfId="0" applyFont="1" applyBorder="1" applyAlignment="1">
      <alignment horizontal="center" vertical="center"/>
    </xf>
    <xf numFmtId="0" fontId="0" fillId="0" borderId="28"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3" fillId="0" borderId="1" xfId="0"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0" fillId="0" borderId="30" xfId="0" applyBorder="1" applyAlignment="1">
      <alignment horizontal="center" vertical="center"/>
    </xf>
    <xf numFmtId="0" fontId="0" fillId="0" borderId="54"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54" xfId="0" applyFont="1" applyBorder="1" applyAlignment="1">
      <alignment horizontal="center" vertical="center"/>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1" xfId="0" applyBorder="1" applyAlignment="1">
      <alignment horizontal="left" vertical="center"/>
    </xf>
    <xf numFmtId="0" fontId="0" fillId="0" borderId="8" xfId="0" applyBorder="1" applyAlignment="1">
      <alignment horizontal="left" vertical="center"/>
    </xf>
    <xf numFmtId="0" fontId="0" fillId="0" borderId="41"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54" xfId="0" applyBorder="1" applyAlignment="1">
      <alignment horizontal="left" vertical="center"/>
    </xf>
    <xf numFmtId="0" fontId="0" fillId="0" borderId="56" xfId="0" applyBorder="1" applyAlignment="1">
      <alignment horizontal="left" vertical="center"/>
    </xf>
    <xf numFmtId="0" fontId="1" fillId="0" borderId="1" xfId="0" applyFont="1" applyBorder="1" applyAlignment="1">
      <alignment horizontal="center" vertical="center" textRotation="90"/>
    </xf>
    <xf numFmtId="0" fontId="15" fillId="0" borderId="1" xfId="0" applyFont="1"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170" fontId="1" fillId="7" borderId="9" xfId="0" applyNumberFormat="1" applyFont="1" applyFill="1" applyBorder="1" applyAlignment="1">
      <alignment horizontal="center" vertical="center"/>
    </xf>
    <xf numFmtId="170" fontId="1" fillId="7" borderId="23" xfId="0" applyNumberFormat="1" applyFont="1" applyFill="1" applyBorder="1" applyAlignment="1">
      <alignment horizontal="center" vertical="center"/>
    </xf>
    <xf numFmtId="170" fontId="1" fillId="7" borderId="10" xfId="0" applyNumberFormat="1" applyFont="1" applyFill="1" applyBorder="1" applyAlignment="1">
      <alignment horizontal="center" vertical="center"/>
    </xf>
    <xf numFmtId="0" fontId="35" fillId="8" borderId="1" xfId="0" applyFont="1" applyFill="1" applyBorder="1" applyAlignment="1">
      <alignment horizontal="center" vertical="center"/>
    </xf>
    <xf numFmtId="170" fontId="1" fillId="7" borderId="32" xfId="0" applyNumberFormat="1" applyFont="1" applyFill="1" applyBorder="1" applyAlignment="1">
      <alignment horizontal="center" vertical="center"/>
    </xf>
    <xf numFmtId="0" fontId="1" fillId="7" borderId="9" xfId="0" applyFont="1" applyFill="1" applyBorder="1" applyAlignment="1">
      <alignment horizontal="center" vertical="center"/>
    </xf>
    <xf numFmtId="0" fontId="1" fillId="7" borderId="23" xfId="0" applyFont="1" applyFill="1" applyBorder="1" applyAlignment="1">
      <alignment horizontal="center" vertical="center"/>
    </xf>
    <xf numFmtId="0" fontId="1" fillId="7" borderId="10" xfId="0" applyFont="1" applyFill="1" applyBorder="1" applyAlignment="1">
      <alignment horizontal="center" vertical="center"/>
    </xf>
    <xf numFmtId="0" fontId="7" fillId="7" borderId="30" xfId="0" applyFont="1" applyFill="1" applyBorder="1" applyAlignment="1">
      <alignment horizontal="center" vertical="center"/>
    </xf>
    <xf numFmtId="9" fontId="1" fillId="0" borderId="1" xfId="1" applyNumberFormat="1" applyFont="1" applyFill="1" applyBorder="1" applyAlignment="1">
      <alignment vertical="center"/>
    </xf>
    <xf numFmtId="174" fontId="8" fillId="4" borderId="24" xfId="0" applyNumberFormat="1" applyFont="1" applyFill="1" applyBorder="1" applyAlignment="1">
      <alignment vertical="center"/>
    </xf>
    <xf numFmtId="0" fontId="24" fillId="0" borderId="0" xfId="0" applyFont="1" applyAlignment="1">
      <alignment horizontal="center" vertical="center"/>
    </xf>
    <xf numFmtId="0" fontId="0" fillId="0" borderId="0" xfId="0" applyAlignment="1">
      <alignment horizontal="center" vertical="center"/>
    </xf>
    <xf numFmtId="0" fontId="7" fillId="2" borderId="30" xfId="0" applyFont="1" applyFill="1" applyBorder="1" applyAlignment="1">
      <alignment horizontal="center" vertical="center"/>
    </xf>
    <xf numFmtId="173" fontId="1" fillId="0" borderId="24" xfId="1" applyNumberFormat="1" applyFont="1" applyFill="1" applyBorder="1" applyAlignment="1">
      <alignment horizontal="center" vertical="center"/>
    </xf>
    <xf numFmtId="173" fontId="0" fillId="0" borderId="25" xfId="0" applyNumberFormat="1" applyBorder="1" applyAlignment="1">
      <alignment horizontal="center" vertical="center"/>
    </xf>
    <xf numFmtId="184" fontId="1" fillId="0" borderId="1" xfId="0" applyNumberFormat="1" applyFont="1" applyFill="1" applyBorder="1" applyAlignment="1">
      <alignment horizontal="center" vertical="center"/>
    </xf>
    <xf numFmtId="0" fontId="7" fillId="7" borderId="1"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7" fillId="9" borderId="30" xfId="0" applyFont="1" applyFill="1" applyBorder="1" applyAlignment="1">
      <alignment horizontal="center" vertical="center"/>
    </xf>
    <xf numFmtId="0" fontId="0" fillId="0" borderId="25" xfId="0" applyBorder="1" applyAlignment="1">
      <alignment horizontal="center" vertical="center" wrapText="1"/>
    </xf>
    <xf numFmtId="0" fontId="7" fillId="7" borderId="24" xfId="0" applyFont="1" applyFill="1" applyBorder="1" applyAlignment="1">
      <alignment horizontal="center" vertical="center" wrapText="1"/>
    </xf>
    <xf numFmtId="0" fontId="7" fillId="7" borderId="25" xfId="0" applyFont="1" applyFill="1" applyBorder="1" applyAlignment="1">
      <alignment horizontal="center" vertical="center" wrapText="1"/>
    </xf>
    <xf numFmtId="175" fontId="1" fillId="0" borderId="2" xfId="0" applyNumberFormat="1" applyFont="1" applyBorder="1" applyAlignment="1">
      <alignment horizontal="right" vertical="center"/>
    </xf>
    <xf numFmtId="0" fontId="0" fillId="0" borderId="35" xfId="0" applyBorder="1" applyAlignment="1">
      <alignment vertical="center"/>
    </xf>
    <xf numFmtId="175" fontId="8" fillId="0" borderId="17" xfId="0" applyNumberFormat="1" applyFont="1" applyBorder="1" applyAlignment="1">
      <alignment vertical="center"/>
    </xf>
    <xf numFmtId="175" fontId="8" fillId="0" borderId="57" xfId="0" applyNumberFormat="1" applyFont="1" applyBorder="1" applyAlignment="1">
      <alignment vertical="center"/>
    </xf>
    <xf numFmtId="175" fontId="1" fillId="0" borderId="17" xfId="0" applyNumberFormat="1" applyFont="1" applyBorder="1" applyAlignment="1">
      <alignment horizontal="center" vertical="center"/>
    </xf>
    <xf numFmtId="175" fontId="1" fillId="0" borderId="57" xfId="0" applyNumberFormat="1" applyFont="1" applyBorder="1" applyAlignment="1">
      <alignment horizontal="center" vertical="center"/>
    </xf>
    <xf numFmtId="191" fontId="3" fillId="0" borderId="2" xfId="0" applyNumberFormat="1" applyFont="1" applyBorder="1" applyAlignment="1">
      <alignment horizontal="center" vertical="center"/>
    </xf>
    <xf numFmtId="191" fontId="2" fillId="0" borderId="35" xfId="0" applyNumberFormat="1" applyFont="1" applyBorder="1" applyAlignment="1">
      <alignment horizontal="center" vertical="center"/>
    </xf>
    <xf numFmtId="170" fontId="1" fillId="0" borderId="17" xfId="0" applyNumberFormat="1" applyFont="1" applyBorder="1" applyAlignment="1">
      <alignment horizontal="center" vertical="center"/>
    </xf>
    <xf numFmtId="170" fontId="1" fillId="0" borderId="57" xfId="0" applyNumberFormat="1" applyFont="1" applyBorder="1" applyAlignment="1">
      <alignment horizontal="center" vertical="center"/>
    </xf>
    <xf numFmtId="192" fontId="1" fillId="0" borderId="2" xfId="0" applyNumberFormat="1" applyFont="1" applyBorder="1" applyAlignment="1">
      <alignment horizontal="right" vertical="center"/>
    </xf>
    <xf numFmtId="192" fontId="0" fillId="0" borderId="35" xfId="0" applyNumberFormat="1" applyBorder="1" applyAlignment="1">
      <alignment vertical="center"/>
    </xf>
    <xf numFmtId="9" fontId="5" fillId="0" borderId="8" xfId="1" applyFont="1" applyFill="1" applyBorder="1" applyAlignment="1">
      <alignment horizontal="center" vertical="center"/>
    </xf>
    <xf numFmtId="9" fontId="5" fillId="0" borderId="58" xfId="1" applyFont="1" applyFill="1" applyBorder="1" applyAlignment="1">
      <alignment horizontal="center" vertical="center"/>
    </xf>
    <xf numFmtId="175" fontId="8" fillId="0" borderId="17" xfId="0" applyNumberFormat="1" applyFont="1" applyBorder="1" applyAlignment="1">
      <alignment horizontal="right" vertical="center"/>
    </xf>
    <xf numFmtId="175" fontId="8" fillId="0" borderId="57" xfId="0" applyNumberFormat="1" applyFont="1" applyBorder="1" applyAlignment="1">
      <alignment horizontal="right" vertical="center"/>
    </xf>
    <xf numFmtId="170" fontId="7" fillId="0" borderId="17" xfId="0" applyNumberFormat="1" applyFont="1" applyBorder="1" applyAlignment="1">
      <alignment vertical="center"/>
    </xf>
    <xf numFmtId="170" fontId="7" fillId="0" borderId="57" xfId="0" applyNumberFormat="1" applyFont="1" applyBorder="1" applyAlignment="1">
      <alignment vertical="center"/>
    </xf>
    <xf numFmtId="175" fontId="1" fillId="0" borderId="35" xfId="0" applyNumberFormat="1" applyFont="1" applyBorder="1" applyAlignment="1">
      <alignment horizontal="right" vertical="center"/>
    </xf>
    <xf numFmtId="186" fontId="8" fillId="0" borderId="17" xfId="0" applyNumberFormat="1" applyFont="1" applyBorder="1" applyAlignment="1">
      <alignment vertical="center"/>
    </xf>
    <xf numFmtId="186" fontId="8" fillId="0" borderId="57" xfId="0" applyNumberFormat="1" applyFont="1" applyBorder="1" applyAlignment="1">
      <alignment vertical="center"/>
    </xf>
    <xf numFmtId="192" fontId="3" fillId="0" borderId="2" xfId="0" applyNumberFormat="1" applyFont="1" applyBorder="1" applyAlignment="1">
      <alignment horizontal="center" vertical="center"/>
    </xf>
    <xf numFmtId="192" fontId="2" fillId="0" borderId="35" xfId="0" applyNumberFormat="1" applyFont="1" applyBorder="1" applyAlignment="1">
      <alignment horizontal="center" vertical="center"/>
    </xf>
    <xf numFmtId="170" fontId="7" fillId="0" borderId="38" xfId="0" applyNumberFormat="1" applyFont="1" applyBorder="1" applyAlignment="1">
      <alignment horizontal="center" vertical="center"/>
    </xf>
    <xf numFmtId="170" fontId="7" fillId="0" borderId="40" xfId="0" applyNumberFormat="1" applyFont="1" applyBorder="1" applyAlignment="1">
      <alignment horizontal="center" vertical="center"/>
    </xf>
    <xf numFmtId="170" fontId="8" fillId="0" borderId="38" xfId="0" applyNumberFormat="1" applyFont="1" applyBorder="1" applyAlignment="1">
      <alignment horizontal="center" vertical="center"/>
    </xf>
    <xf numFmtId="170" fontId="8" fillId="0" borderId="40" xfId="0" applyNumberFormat="1" applyFont="1" applyBorder="1" applyAlignment="1">
      <alignment horizontal="center" vertical="center"/>
    </xf>
    <xf numFmtId="175" fontId="1" fillId="0" borderId="2" xfId="0" applyNumberFormat="1" applyFont="1" applyBorder="1" applyAlignment="1">
      <alignment horizontal="center" vertical="center"/>
    </xf>
    <xf numFmtId="175" fontId="1" fillId="0" borderId="35" xfId="0" applyNumberFormat="1" applyFont="1" applyBorder="1" applyAlignment="1">
      <alignment horizontal="center" vertical="center"/>
    </xf>
    <xf numFmtId="186" fontId="0" fillId="0" borderId="8" xfId="0" applyNumberFormat="1" applyBorder="1" applyAlignment="1">
      <alignment horizontal="right" vertical="center"/>
    </xf>
    <xf numFmtId="0" fontId="0" fillId="0" borderId="58" xfId="0" applyBorder="1" applyAlignment="1">
      <alignment vertical="center"/>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3" fontId="5" fillId="0" borderId="2" xfId="0" applyNumberFormat="1" applyFont="1" applyBorder="1" applyAlignment="1">
      <alignment horizontal="center" vertical="center"/>
    </xf>
    <xf numFmtId="3" fontId="5" fillId="0" borderId="35" xfId="0" applyNumberFormat="1" applyFont="1" applyBorder="1" applyAlignment="1">
      <alignment horizontal="center" vertical="center"/>
    </xf>
    <xf numFmtId="170" fontId="8" fillId="0" borderId="17" xfId="0" applyNumberFormat="1" applyFont="1" applyBorder="1" applyAlignment="1">
      <alignment horizontal="center" vertical="center"/>
    </xf>
    <xf numFmtId="170" fontId="8" fillId="0" borderId="57" xfId="0" applyNumberFormat="1" applyFont="1" applyBorder="1" applyAlignment="1">
      <alignment horizontal="center" vertical="center"/>
    </xf>
    <xf numFmtId="0" fontId="6" fillId="0" borderId="17" xfId="0" applyFont="1" applyBorder="1" applyAlignment="1">
      <alignment horizontal="center" vertical="center"/>
    </xf>
    <xf numFmtId="0" fontId="6" fillId="0" borderId="57" xfId="0" applyFont="1" applyBorder="1" applyAlignment="1">
      <alignment horizontal="center" vertical="center"/>
    </xf>
    <xf numFmtId="1" fontId="5" fillId="10" borderId="8" xfId="0" applyNumberFormat="1" applyFont="1" applyFill="1" applyBorder="1" applyAlignment="1">
      <alignment horizontal="center" vertical="center"/>
    </xf>
    <xf numFmtId="1" fontId="5" fillId="10" borderId="58" xfId="0" applyNumberFormat="1" applyFont="1" applyFill="1" applyBorder="1" applyAlignment="1">
      <alignment horizontal="center" vertical="center"/>
    </xf>
    <xf numFmtId="0" fontId="12" fillId="0" borderId="17" xfId="0" applyFont="1" applyFill="1" applyBorder="1" applyAlignment="1">
      <alignment horizontal="center" vertical="center" wrapText="1"/>
    </xf>
    <xf numFmtId="0" fontId="12" fillId="0" borderId="57" xfId="0" applyFont="1" applyFill="1" applyBorder="1" applyAlignment="1">
      <alignment horizontal="center" vertical="center" wrapText="1"/>
    </xf>
    <xf numFmtId="9" fontId="5" fillId="10" borderId="8" xfId="1" applyFont="1" applyFill="1" applyBorder="1" applyAlignment="1">
      <alignment horizontal="center" vertical="center"/>
    </xf>
    <xf numFmtId="9" fontId="5" fillId="10" borderId="58" xfId="1" applyFont="1" applyFill="1" applyBorder="1" applyAlignment="1">
      <alignment horizontal="center" vertical="center"/>
    </xf>
    <xf numFmtId="186" fontId="8" fillId="0" borderId="38" xfId="0" applyNumberFormat="1" applyFont="1" applyBorder="1" applyAlignment="1">
      <alignment horizontal="center" vertical="center"/>
    </xf>
    <xf numFmtId="186" fontId="8" fillId="0" borderId="40" xfId="0" applyNumberFormat="1" applyFont="1" applyBorder="1" applyAlignment="1">
      <alignment horizontal="center" vertical="center"/>
    </xf>
    <xf numFmtId="186" fontId="1" fillId="0" borderId="2" xfId="0" applyNumberFormat="1" applyFont="1" applyBorder="1" applyAlignment="1">
      <alignment horizontal="center" vertical="center"/>
    </xf>
    <xf numFmtId="186" fontId="1" fillId="0" borderId="35" xfId="0" applyNumberFormat="1" applyFont="1" applyBorder="1" applyAlignment="1">
      <alignment horizontal="center" vertical="center"/>
    </xf>
    <xf numFmtId="186" fontId="1" fillId="0" borderId="2" xfId="0" applyNumberFormat="1" applyFont="1" applyBorder="1" applyAlignment="1">
      <alignment horizontal="right" vertical="center"/>
    </xf>
    <xf numFmtId="186" fontId="1" fillId="0" borderId="35" xfId="0" applyNumberFormat="1" applyFont="1" applyBorder="1" applyAlignment="1">
      <alignment horizontal="right" vertical="center"/>
    </xf>
    <xf numFmtId="186" fontId="7" fillId="0" borderId="38" xfId="0" applyNumberFormat="1" applyFont="1" applyBorder="1" applyAlignment="1">
      <alignment horizontal="center" vertical="center"/>
    </xf>
    <xf numFmtId="186" fontId="7" fillId="0" borderId="40" xfId="0" applyNumberFormat="1" applyFont="1" applyBorder="1" applyAlignment="1">
      <alignment horizontal="center" vertical="center"/>
    </xf>
    <xf numFmtId="186" fontId="7" fillId="0" borderId="17" xfId="0" applyNumberFormat="1" applyFont="1" applyBorder="1" applyAlignment="1">
      <alignment vertical="center"/>
    </xf>
    <xf numFmtId="186" fontId="7" fillId="0" borderId="57" xfId="0" applyNumberFormat="1" applyFont="1" applyBorder="1" applyAlignment="1">
      <alignment vertical="center"/>
    </xf>
    <xf numFmtId="186" fontId="8" fillId="0" borderId="17" xfId="0" applyNumberFormat="1" applyFont="1" applyBorder="1" applyAlignment="1">
      <alignment horizontal="right" vertical="center"/>
    </xf>
    <xf numFmtId="186" fontId="8" fillId="0" borderId="57" xfId="0" applyNumberFormat="1" applyFont="1" applyBorder="1" applyAlignment="1">
      <alignment horizontal="right" vertical="center"/>
    </xf>
    <xf numFmtId="179" fontId="7" fillId="0" borderId="17" xfId="0" applyNumberFormat="1" applyFont="1" applyBorder="1" applyAlignment="1">
      <alignment vertical="center"/>
    </xf>
    <xf numFmtId="179" fontId="7" fillId="0" borderId="57" xfId="0" applyNumberFormat="1" applyFont="1" applyBorder="1" applyAlignment="1">
      <alignment vertical="center"/>
    </xf>
    <xf numFmtId="186" fontId="1" fillId="0" borderId="17" xfId="0" applyNumberFormat="1" applyFont="1" applyBorder="1" applyAlignment="1">
      <alignment horizontal="center" vertical="center"/>
    </xf>
    <xf numFmtId="186" fontId="1" fillId="0" borderId="57" xfId="0" applyNumberFormat="1" applyFont="1" applyBorder="1" applyAlignment="1">
      <alignment horizontal="center" vertical="center"/>
    </xf>
    <xf numFmtId="0" fontId="6" fillId="0" borderId="50" xfId="0" applyFont="1" applyBorder="1" applyAlignment="1">
      <alignment horizontal="center" vertical="center" textRotation="90" wrapText="1"/>
    </xf>
    <xf numFmtId="0" fontId="0" fillId="0" borderId="34" xfId="0" applyBorder="1" applyAlignment="1">
      <alignment horizontal="center" vertical="center" textRotation="90" wrapText="1"/>
    </xf>
    <xf numFmtId="0" fontId="0" fillId="0" borderId="60" xfId="0" applyBorder="1" applyAlignment="1">
      <alignment horizontal="center" vertical="center" textRotation="90" wrapText="1"/>
    </xf>
    <xf numFmtId="0" fontId="0" fillId="0" borderId="61" xfId="0" applyBorder="1" applyAlignment="1">
      <alignment horizontal="center" vertical="center" textRotation="90" wrapText="1"/>
    </xf>
    <xf numFmtId="0" fontId="0" fillId="0" borderId="33" xfId="0" applyBorder="1" applyAlignment="1">
      <alignment horizontal="center" vertical="center" textRotation="90" wrapText="1"/>
    </xf>
    <xf numFmtId="0" fontId="0" fillId="0" borderId="31" xfId="0" applyBorder="1" applyAlignment="1">
      <alignment horizontal="center" vertical="center" textRotation="90" wrapText="1"/>
    </xf>
    <xf numFmtId="176" fontId="3" fillId="0" borderId="24" xfId="1" applyNumberFormat="1" applyFont="1" applyFill="1" applyBorder="1" applyAlignment="1">
      <alignment horizontal="center" vertical="center"/>
    </xf>
    <xf numFmtId="0" fontId="1" fillId="0" borderId="25" xfId="0" applyFont="1" applyBorder="1" applyAlignment="1">
      <alignment horizontal="center" vertical="center"/>
    </xf>
    <xf numFmtId="183" fontId="15" fillId="0" borderId="24" xfId="1" applyNumberFormat="1" applyFont="1" applyFill="1" applyBorder="1" applyAlignment="1">
      <alignment horizontal="center" vertical="center"/>
    </xf>
    <xf numFmtId="183" fontId="15" fillId="0" borderId="25" xfId="1" applyNumberFormat="1" applyFont="1" applyFill="1" applyBorder="1" applyAlignment="1">
      <alignment horizontal="center" vertical="center"/>
    </xf>
    <xf numFmtId="175" fontId="7" fillId="4" borderId="1" xfId="0" applyNumberFormat="1" applyFont="1" applyFill="1" applyBorder="1" applyAlignment="1">
      <alignment horizontal="right" vertical="center"/>
    </xf>
    <xf numFmtId="0" fontId="0" fillId="0" borderId="1" xfId="0" applyBorder="1" applyAlignment="1">
      <alignment horizontal="righ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175" fontId="7" fillId="0" borderId="24" xfId="0" applyNumberFormat="1" applyFont="1" applyFill="1" applyBorder="1" applyAlignment="1">
      <alignment horizontal="right" vertical="center"/>
    </xf>
    <xf numFmtId="0" fontId="0" fillId="0" borderId="63" xfId="0" applyBorder="1" applyAlignment="1">
      <alignment horizontal="right" vertical="center"/>
    </xf>
    <xf numFmtId="0" fontId="0" fillId="0" borderId="1" xfId="0" applyBorder="1" applyAlignment="1">
      <alignment horizontal="center" vertical="center" wrapText="1"/>
    </xf>
    <xf numFmtId="176" fontId="1" fillId="0" borderId="24" xfId="1" applyNumberFormat="1" applyFont="1" applyBorder="1" applyAlignment="1">
      <alignment horizontal="center" vertical="center" wrapText="1"/>
    </xf>
    <xf numFmtId="0" fontId="0" fillId="0" borderId="25" xfId="0" applyBorder="1"/>
    <xf numFmtId="0" fontId="1" fillId="0" borderId="0" xfId="0" applyFont="1" applyAlignment="1">
      <alignment horizontal="center" vertical="center"/>
    </xf>
    <xf numFmtId="0" fontId="6" fillId="0" borderId="50"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3" fillId="0" borderId="30" xfId="0" applyFont="1" applyBorder="1" applyAlignment="1">
      <alignment horizontal="center" vertical="center"/>
    </xf>
    <xf numFmtId="0" fontId="3" fillId="0" borderId="54" xfId="0" applyFont="1" applyBorder="1" applyAlignment="1">
      <alignment horizontal="center" vertical="center"/>
    </xf>
    <xf numFmtId="0" fontId="3" fillId="0" borderId="28" xfId="0" applyFont="1" applyBorder="1" applyAlignment="1">
      <alignment horizontal="center" vertical="center"/>
    </xf>
    <xf numFmtId="0" fontId="16" fillId="11" borderId="50" xfId="0" applyFont="1" applyFill="1" applyBorder="1" applyAlignment="1">
      <alignment horizontal="center" vertical="center"/>
    </xf>
    <xf numFmtId="0" fontId="16" fillId="11" borderId="59" xfId="0" applyFont="1" applyFill="1" applyBorder="1" applyAlignment="1">
      <alignment horizontal="center" vertical="center"/>
    </xf>
    <xf numFmtId="0" fontId="16" fillId="11" borderId="34" xfId="0" applyFont="1" applyFill="1" applyBorder="1" applyAlignment="1">
      <alignment horizontal="center" vertical="center"/>
    </xf>
    <xf numFmtId="0" fontId="16" fillId="11" borderId="33" xfId="0" applyFont="1" applyFill="1" applyBorder="1" applyAlignment="1">
      <alignment horizontal="center" vertical="center"/>
    </xf>
    <xf numFmtId="0" fontId="16" fillId="11" borderId="62" xfId="0" applyFont="1" applyFill="1" applyBorder="1" applyAlignment="1">
      <alignment horizontal="center" vertical="center"/>
    </xf>
    <xf numFmtId="0" fontId="16" fillId="11" borderId="31" xfId="0" applyFont="1" applyFill="1" applyBorder="1" applyAlignment="1">
      <alignment horizontal="center" vertical="center"/>
    </xf>
    <xf numFmtId="0" fontId="6" fillId="0" borderId="30" xfId="0" applyFont="1" applyBorder="1" applyAlignment="1">
      <alignment horizontal="center" vertical="center"/>
    </xf>
    <xf numFmtId="0" fontId="0" fillId="0" borderId="28" xfId="0" applyBorder="1"/>
    <xf numFmtId="0" fontId="6" fillId="0" borderId="1" xfId="0" applyFont="1" applyBorder="1" applyAlignment="1">
      <alignment horizontal="center" vertical="center" textRotation="90" wrapText="1"/>
    </xf>
    <xf numFmtId="0" fontId="0" fillId="0" borderId="1" xfId="0" applyBorder="1" applyAlignment="1">
      <alignment horizontal="center" vertical="center" textRotation="90" wrapText="1"/>
    </xf>
    <xf numFmtId="0" fontId="7" fillId="0" borderId="24" xfId="0" applyFont="1" applyBorder="1" applyAlignment="1">
      <alignment horizontal="center" vertical="center" textRotation="90" wrapText="1"/>
    </xf>
    <xf numFmtId="0" fontId="26" fillId="0" borderId="63" xfId="0" applyFont="1" applyBorder="1" applyAlignment="1">
      <alignment horizontal="center" vertical="center" textRotation="90" wrapText="1"/>
    </xf>
    <xf numFmtId="0" fontId="26" fillId="0" borderId="25" xfId="0" applyFont="1" applyBorder="1" applyAlignment="1">
      <alignment horizontal="center" vertical="center" textRotation="90" wrapText="1"/>
    </xf>
    <xf numFmtId="170" fontId="7" fillId="4" borderId="24" xfId="0" applyNumberFormat="1" applyFont="1" applyFill="1" applyBorder="1" applyAlignment="1">
      <alignment horizontal="center" vertical="center" wrapText="1"/>
    </xf>
    <xf numFmtId="170" fontId="7" fillId="4" borderId="25" xfId="0" applyNumberFormat="1" applyFont="1" applyFill="1" applyBorder="1" applyAlignment="1">
      <alignment horizontal="center" vertical="center" wrapText="1"/>
    </xf>
    <xf numFmtId="176" fontId="1" fillId="0" borderId="25" xfId="1" applyNumberFormat="1" applyFont="1" applyBorder="1" applyAlignment="1">
      <alignment horizontal="center" vertical="center" wrapText="1"/>
    </xf>
    <xf numFmtId="0" fontId="17" fillId="0" borderId="0" xfId="0" applyFont="1" applyAlignment="1">
      <alignment horizontal="center" vertical="center"/>
    </xf>
    <xf numFmtId="0" fontId="0" fillId="0" borderId="0" xfId="0" applyAlignment="1">
      <alignment vertical="center"/>
    </xf>
    <xf numFmtId="0" fontId="6" fillId="0" borderId="50" xfId="0" applyFont="1" applyFill="1" applyBorder="1" applyAlignment="1">
      <alignment horizontal="center" vertical="center" wrapText="1"/>
    </xf>
    <xf numFmtId="0" fontId="0" fillId="0" borderId="59" xfId="0" applyBorder="1" applyAlignment="1">
      <alignment vertical="center" wrapText="1"/>
    </xf>
    <xf numFmtId="0" fontId="0" fillId="0" borderId="34" xfId="0" applyBorder="1" applyAlignment="1">
      <alignment vertical="center" wrapText="1"/>
    </xf>
    <xf numFmtId="0" fontId="0" fillId="0" borderId="60" xfId="0" applyBorder="1" applyAlignment="1">
      <alignment vertical="center" wrapText="1"/>
    </xf>
    <xf numFmtId="0" fontId="0" fillId="0" borderId="0" xfId="0" applyAlignment="1">
      <alignment vertical="center" wrapText="1"/>
    </xf>
    <xf numFmtId="0" fontId="0" fillId="0" borderId="61" xfId="0" applyBorder="1" applyAlignment="1">
      <alignment vertical="center" wrapText="1"/>
    </xf>
    <xf numFmtId="0" fontId="0" fillId="0" borderId="33" xfId="0" applyBorder="1" applyAlignment="1">
      <alignment vertical="center" wrapText="1"/>
    </xf>
    <xf numFmtId="0" fontId="0" fillId="0" borderId="62" xfId="0" applyBorder="1" applyAlignment="1">
      <alignment vertical="center" wrapText="1"/>
    </xf>
    <xf numFmtId="0" fontId="0" fillId="0" borderId="31" xfId="0" applyBorder="1" applyAlignment="1">
      <alignment vertical="center" wrapText="1"/>
    </xf>
    <xf numFmtId="0" fontId="6" fillId="0" borderId="28" xfId="0" applyFont="1" applyBorder="1" applyAlignment="1">
      <alignment horizontal="center" vertical="center"/>
    </xf>
    <xf numFmtId="0" fontId="8" fillId="0" borderId="1" xfId="0" applyFont="1" applyBorder="1" applyAlignment="1">
      <alignment horizontal="center" vertical="center" textRotation="90" wrapText="1"/>
    </xf>
    <xf numFmtId="0" fontId="23" fillId="0" borderId="1" xfId="0" applyFont="1" applyBorder="1" applyAlignment="1">
      <alignment horizontal="center" vertical="center" textRotation="90" wrapText="1"/>
    </xf>
    <xf numFmtId="0" fontId="8" fillId="0" borderId="24" xfId="0" applyFont="1" applyBorder="1" applyAlignment="1">
      <alignment horizontal="center" vertical="center" textRotation="90" wrapText="1"/>
    </xf>
    <xf numFmtId="0" fontId="0" fillId="0" borderId="63" xfId="0" applyBorder="1" applyAlignment="1">
      <alignment horizontal="center" vertical="center" textRotation="90" wrapText="1"/>
    </xf>
    <xf numFmtId="0" fontId="0" fillId="0" borderId="25" xfId="0" applyBorder="1" applyAlignment="1">
      <alignment horizontal="center" vertical="center" textRotation="90" wrapText="1"/>
    </xf>
    <xf numFmtId="0" fontId="1" fillId="0" borderId="30" xfId="0" applyFont="1" applyBorder="1" applyAlignment="1">
      <alignment vertical="center"/>
    </xf>
    <xf numFmtId="176" fontId="21" fillId="0" borderId="24" xfId="1" applyNumberFormat="1" applyFont="1" applyFill="1" applyBorder="1" applyAlignment="1">
      <alignment horizontal="center" vertical="center"/>
    </xf>
    <xf numFmtId="0" fontId="7" fillId="0" borderId="1" xfId="0" applyFont="1" applyBorder="1" applyAlignment="1">
      <alignment vertical="center"/>
    </xf>
    <xf numFmtId="0" fontId="16" fillId="9" borderId="1" xfId="0" applyFont="1" applyFill="1" applyBorder="1" applyAlignment="1">
      <alignment horizontal="center" vertical="center"/>
    </xf>
    <xf numFmtId="0" fontId="7" fillId="0" borderId="30" xfId="0" applyFont="1" applyBorder="1" applyAlignment="1">
      <alignment vertical="center" wrapText="1"/>
    </xf>
    <xf numFmtId="0" fontId="0" fillId="0" borderId="28" xfId="0" applyBorder="1" applyAlignment="1">
      <alignment vertical="center" wrapText="1"/>
    </xf>
    <xf numFmtId="0" fontId="7" fillId="0" borderId="24"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25" xfId="0" applyFont="1" applyBorder="1" applyAlignment="1">
      <alignment horizontal="center" vertical="center" wrapText="1"/>
    </xf>
    <xf numFmtId="0" fontId="6" fillId="0" borderId="50" xfId="0" applyFont="1" applyBorder="1" applyAlignment="1">
      <alignment horizontal="center" vertical="center"/>
    </xf>
    <xf numFmtId="0" fontId="0" fillId="0" borderId="59"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62" xfId="0" applyBorder="1" applyAlignment="1">
      <alignment horizontal="center" vertical="center"/>
    </xf>
    <xf numFmtId="0" fontId="0" fillId="0" borderId="31" xfId="0" applyBorder="1" applyAlignment="1">
      <alignment horizontal="center" vertical="center"/>
    </xf>
    <xf numFmtId="0" fontId="3" fillId="0" borderId="1" xfId="0" applyFont="1" applyBorder="1" applyAlignment="1">
      <alignment horizontal="center" vertical="center"/>
    </xf>
    <xf numFmtId="0" fontId="6" fillId="0" borderId="30" xfId="0" applyFont="1" applyBorder="1" applyAlignment="1">
      <alignment horizontal="center" vertical="center" wrapText="1"/>
    </xf>
    <xf numFmtId="0" fontId="6" fillId="0" borderId="54" xfId="0" applyFont="1" applyBorder="1" applyAlignment="1">
      <alignment horizontal="center" vertical="center" wrapText="1"/>
    </xf>
    <xf numFmtId="0" fontId="0" fillId="0" borderId="28" xfId="0" applyBorder="1" applyAlignment="1">
      <alignment horizontal="center" vertical="center" wrapText="1"/>
    </xf>
    <xf numFmtId="191" fontId="7" fillId="4" borderId="24" xfId="0" applyNumberFormat="1" applyFont="1" applyFill="1" applyBorder="1" applyAlignment="1">
      <alignment horizontal="center" vertical="center" wrapText="1"/>
    </xf>
    <xf numFmtId="191" fontId="7" fillId="4" borderId="25"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0" fillId="2" borderId="1" xfId="0" applyFill="1" applyBorder="1" applyAlignment="1">
      <alignment horizontal="center" vertical="center"/>
    </xf>
    <xf numFmtId="0" fontId="6" fillId="0" borderId="59"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6" fillId="0" borderId="62" xfId="0" applyFont="1" applyBorder="1" applyAlignment="1">
      <alignment horizontal="center" vertical="center"/>
    </xf>
    <xf numFmtId="0" fontId="6" fillId="0" borderId="31" xfId="0" applyFont="1" applyBorder="1" applyAlignment="1">
      <alignment horizontal="center" vertical="center"/>
    </xf>
    <xf numFmtId="0" fontId="1" fillId="0" borderId="65"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66" xfId="0" applyFont="1" applyBorder="1" applyAlignment="1">
      <alignment horizontal="center" vertical="center" wrapText="1"/>
    </xf>
    <xf numFmtId="0" fontId="0" fillId="0" borderId="67" xfId="0" applyBorder="1" applyAlignment="1">
      <alignment vertical="center"/>
    </xf>
    <xf numFmtId="0" fontId="0" fillId="0" borderId="55" xfId="0" applyBorder="1" applyAlignment="1">
      <alignment vertical="center"/>
    </xf>
    <xf numFmtId="0" fontId="0" fillId="0" borderId="68" xfId="0" applyBorder="1" applyAlignment="1">
      <alignment vertical="center"/>
    </xf>
    <xf numFmtId="0" fontId="0" fillId="0" borderId="66" xfId="0" applyBorder="1" applyAlignment="1">
      <alignment vertical="center"/>
    </xf>
    <xf numFmtId="0" fontId="0" fillId="0" borderId="69" xfId="0" applyBorder="1" applyAlignment="1">
      <alignment vertical="center"/>
    </xf>
    <xf numFmtId="0" fontId="1" fillId="0" borderId="9"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49" xfId="0" applyFont="1" applyBorder="1" applyAlignment="1">
      <alignment horizontal="center" vertical="center" wrapText="1"/>
    </xf>
    <xf numFmtId="0" fontId="0" fillId="0" borderId="64" xfId="0" applyBorder="1" applyAlignment="1">
      <alignment horizontal="center" vertical="center" wrapText="1"/>
    </xf>
    <xf numFmtId="0" fontId="0" fillId="0" borderId="6" xfId="0" applyBorder="1" applyAlignment="1">
      <alignment horizontal="center" vertical="center" wrapText="1"/>
    </xf>
    <xf numFmtId="0" fontId="12" fillId="0" borderId="35" xfId="0" applyFont="1" applyBorder="1" applyAlignment="1">
      <alignment horizontal="center" vertical="center"/>
    </xf>
    <xf numFmtId="0" fontId="12" fillId="0" borderId="58" xfId="0" applyFont="1" applyBorder="1" applyAlignment="1">
      <alignment horizontal="center" vertical="center"/>
    </xf>
    <xf numFmtId="0" fontId="30" fillId="0" borderId="65" xfId="0" applyFont="1" applyBorder="1" applyAlignment="1">
      <alignment horizontal="center" vertical="center"/>
    </xf>
    <xf numFmtId="0" fontId="31" fillId="0" borderId="70" xfId="0" applyFont="1" applyBorder="1" applyAlignment="1">
      <alignment vertical="center"/>
    </xf>
    <xf numFmtId="0" fontId="31" fillId="0" borderId="67" xfId="0" applyFont="1" applyBorder="1" applyAlignment="1">
      <alignment vertical="center"/>
    </xf>
    <xf numFmtId="0" fontId="31" fillId="0" borderId="66" xfId="0" applyFont="1" applyBorder="1" applyAlignment="1">
      <alignment vertical="center"/>
    </xf>
    <xf numFmtId="0" fontId="31" fillId="0" borderId="71" xfId="0" applyFont="1" applyBorder="1" applyAlignment="1">
      <alignment vertical="center"/>
    </xf>
    <xf numFmtId="0" fontId="31" fillId="0" borderId="69" xfId="0" applyFont="1" applyBorder="1" applyAlignment="1">
      <alignment vertical="center"/>
    </xf>
    <xf numFmtId="0" fontId="6" fillId="0" borderId="49" xfId="0" applyFont="1" applyBorder="1" applyAlignment="1">
      <alignment horizontal="center" vertical="center" textRotation="90"/>
    </xf>
    <xf numFmtId="0" fontId="0" fillId="0" borderId="64" xfId="0" applyBorder="1" applyAlignment="1">
      <alignment vertical="center"/>
    </xf>
    <xf numFmtId="0" fontId="0" fillId="0" borderId="6" xfId="0" applyBorder="1" applyAlignment="1">
      <alignment vertical="center"/>
    </xf>
    <xf numFmtId="0" fontId="0" fillId="0" borderId="64" xfId="0" applyBorder="1" applyAlignment="1">
      <alignment horizontal="center" vertical="center" textRotation="90"/>
    </xf>
    <xf numFmtId="0" fontId="1" fillId="0" borderId="64"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textRotation="90"/>
    </xf>
    <xf numFmtId="191" fontId="12" fillId="0" borderId="17" xfId="0" applyNumberFormat="1" applyFont="1" applyBorder="1" applyAlignment="1">
      <alignment horizontal="center" vertical="center"/>
    </xf>
    <xf numFmtId="191" fontId="0" fillId="0" borderId="72" xfId="0" applyNumberFormat="1" applyBorder="1" applyAlignment="1">
      <alignment vertical="center"/>
    </xf>
    <xf numFmtId="191" fontId="0" fillId="0" borderId="57" xfId="0" applyNumberFormat="1" applyBorder="1" applyAlignment="1">
      <alignment vertical="center"/>
    </xf>
    <xf numFmtId="0" fontId="12" fillId="0" borderId="73" xfId="0" applyFont="1" applyBorder="1" applyAlignment="1">
      <alignment horizontal="left" vertical="center"/>
    </xf>
    <xf numFmtId="0" fontId="12" fillId="0" borderId="74" xfId="0" applyFont="1" applyBorder="1" applyAlignment="1">
      <alignment horizontal="left" vertical="center"/>
    </xf>
    <xf numFmtId="191" fontId="13" fillId="0" borderId="49" xfId="0" applyNumberFormat="1" applyFont="1" applyBorder="1" applyAlignment="1">
      <alignment horizontal="center" vertical="center"/>
    </xf>
    <xf numFmtId="191" fontId="13" fillId="0" borderId="64" xfId="0" applyNumberFormat="1" applyFont="1" applyBorder="1" applyAlignment="1">
      <alignment horizontal="center" vertical="center"/>
    </xf>
    <xf numFmtId="191" fontId="13" fillId="0" borderId="6" xfId="0" applyNumberFormat="1" applyFont="1" applyBorder="1" applyAlignment="1">
      <alignment horizontal="center" vertical="center"/>
    </xf>
    <xf numFmtId="0" fontId="13" fillId="0" borderId="34" xfId="0" applyFont="1" applyBorder="1" applyAlignment="1">
      <alignment horizontal="left" vertical="center"/>
    </xf>
    <xf numFmtId="0" fontId="13" fillId="0" borderId="15" xfId="0" applyFont="1" applyBorder="1" applyAlignment="1">
      <alignment horizontal="left" vertical="center"/>
    </xf>
    <xf numFmtId="191" fontId="12" fillId="0" borderId="49" xfId="0" applyNumberFormat="1" applyFont="1" applyBorder="1" applyAlignment="1">
      <alignment horizontal="center" vertical="center"/>
    </xf>
    <xf numFmtId="191" fontId="12" fillId="0" borderId="6" xfId="0" applyNumberFormat="1" applyFont="1" applyBorder="1" applyAlignment="1">
      <alignment horizontal="center" vertical="center"/>
    </xf>
    <xf numFmtId="0" fontId="12" fillId="0" borderId="75" xfId="0" applyFont="1" applyBorder="1" applyAlignment="1">
      <alignment horizontal="left" vertical="center"/>
    </xf>
    <xf numFmtId="0" fontId="12" fillId="0" borderId="40" xfId="0" applyFont="1" applyBorder="1" applyAlignment="1">
      <alignment horizontal="left" vertical="center"/>
    </xf>
    <xf numFmtId="0" fontId="13" fillId="0" borderId="32" xfId="0" applyFont="1" applyBorder="1" applyAlignment="1">
      <alignment horizontal="left" vertical="center"/>
    </xf>
    <xf numFmtId="0" fontId="13" fillId="0" borderId="10" xfId="0" applyFont="1" applyBorder="1" applyAlignment="1">
      <alignment horizontal="left" vertical="center"/>
    </xf>
    <xf numFmtId="0" fontId="13" fillId="0" borderId="54" xfId="0" applyFont="1" applyBorder="1" applyAlignment="1">
      <alignment horizontal="left" vertical="center"/>
    </xf>
    <xf numFmtId="0" fontId="13" fillId="0" borderId="36" xfId="0" applyFont="1" applyBorder="1" applyAlignment="1">
      <alignment horizontal="left" vertical="center"/>
    </xf>
    <xf numFmtId="0" fontId="6" fillId="0" borderId="32" xfId="0" applyFont="1" applyBorder="1" applyAlignment="1">
      <alignment horizontal="center" vertical="center"/>
    </xf>
    <xf numFmtId="0" fontId="6" fillId="0" borderId="42"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12" fillId="0" borderId="49" xfId="0" applyFont="1" applyBorder="1" applyAlignment="1">
      <alignment horizontal="center" vertical="center"/>
    </xf>
    <xf numFmtId="192" fontId="12" fillId="0" borderId="17" xfId="0" applyNumberFormat="1" applyFont="1" applyBorder="1" applyAlignment="1">
      <alignment horizontal="center" vertical="center"/>
    </xf>
    <xf numFmtId="0" fontId="0" fillId="0" borderId="72" xfId="0" applyBorder="1" applyAlignment="1">
      <alignment vertical="center"/>
    </xf>
    <xf numFmtId="0" fontId="0" fillId="0" borderId="57" xfId="0" applyBorder="1" applyAlignment="1">
      <alignment vertical="center"/>
    </xf>
    <xf numFmtId="192" fontId="12" fillId="0" borderId="49" xfId="0" applyNumberFormat="1" applyFont="1" applyBorder="1" applyAlignment="1">
      <alignment horizontal="center" vertical="center"/>
    </xf>
    <xf numFmtId="192" fontId="12" fillId="0" borderId="6" xfId="0" applyNumberFormat="1" applyFont="1" applyBorder="1" applyAlignment="1">
      <alignment horizontal="center" vertical="center"/>
    </xf>
    <xf numFmtId="191" fontId="13" fillId="0" borderId="54" xfId="0" applyNumberFormat="1" applyFont="1" applyBorder="1" applyAlignment="1">
      <alignment horizontal="left" vertical="center"/>
    </xf>
    <xf numFmtId="191" fontId="13" fillId="0" borderId="36" xfId="0" applyNumberFormat="1" applyFont="1" applyBorder="1" applyAlignment="1">
      <alignment horizontal="left" vertical="center"/>
    </xf>
    <xf numFmtId="191" fontId="13" fillId="0" borderId="34" xfId="0" applyNumberFormat="1" applyFont="1" applyBorder="1" applyAlignment="1">
      <alignment horizontal="left" vertical="center"/>
    </xf>
    <xf numFmtId="191" fontId="13" fillId="0" borderId="15" xfId="0" applyNumberFormat="1" applyFont="1" applyBorder="1" applyAlignment="1">
      <alignment horizontal="left" vertical="center"/>
    </xf>
    <xf numFmtId="191" fontId="12" fillId="0" borderId="75" xfId="0" applyNumberFormat="1" applyFont="1" applyBorder="1" applyAlignment="1">
      <alignment horizontal="left" vertical="center"/>
    </xf>
    <xf numFmtId="191" fontId="12" fillId="0" borderId="40" xfId="0" applyNumberFormat="1" applyFont="1" applyBorder="1" applyAlignment="1">
      <alignment horizontal="left" vertical="center"/>
    </xf>
    <xf numFmtId="191" fontId="12" fillId="0" borderId="73" xfId="0" applyNumberFormat="1" applyFont="1" applyBorder="1" applyAlignment="1">
      <alignment horizontal="left" vertical="center"/>
    </xf>
    <xf numFmtId="191" fontId="12" fillId="0" borderId="74" xfId="0" applyNumberFormat="1" applyFont="1" applyBorder="1" applyAlignment="1">
      <alignment horizontal="left" vertical="center"/>
    </xf>
    <xf numFmtId="192" fontId="13" fillId="0" borderId="49" xfId="0" applyNumberFormat="1" applyFont="1" applyBorder="1" applyAlignment="1">
      <alignment horizontal="center" vertical="center"/>
    </xf>
    <xf numFmtId="192" fontId="13" fillId="0" borderId="64" xfId="0" applyNumberFormat="1" applyFont="1" applyBorder="1" applyAlignment="1">
      <alignment horizontal="center" vertical="center"/>
    </xf>
    <xf numFmtId="192" fontId="13" fillId="0" borderId="6" xfId="0" applyNumberFormat="1" applyFont="1" applyBorder="1" applyAlignment="1">
      <alignment horizontal="center" vertical="center"/>
    </xf>
    <xf numFmtId="0" fontId="6" fillId="9" borderId="65" xfId="0" applyFont="1" applyFill="1" applyBorder="1" applyAlignment="1">
      <alignment horizontal="center" vertical="center"/>
    </xf>
    <xf numFmtId="0" fontId="6" fillId="9" borderId="70" xfId="0" applyFont="1" applyFill="1" applyBorder="1" applyAlignment="1">
      <alignment horizontal="center" vertical="center"/>
    </xf>
    <xf numFmtId="0" fontId="0" fillId="9" borderId="70" xfId="0" applyFill="1" applyBorder="1" applyAlignment="1">
      <alignment vertical="center"/>
    </xf>
    <xf numFmtId="0" fontId="0" fillId="9" borderId="67" xfId="0" applyFill="1" applyBorder="1" applyAlignment="1">
      <alignment vertical="center"/>
    </xf>
    <xf numFmtId="0" fontId="6" fillId="9" borderId="66" xfId="0" applyFont="1" applyFill="1" applyBorder="1" applyAlignment="1">
      <alignment horizontal="center" vertical="center"/>
    </xf>
    <xf numFmtId="0" fontId="6" fillId="9" borderId="71" xfId="0" applyFont="1" applyFill="1" applyBorder="1" applyAlignment="1">
      <alignment horizontal="center" vertical="center"/>
    </xf>
    <xf numFmtId="0" fontId="0" fillId="9" borderId="71" xfId="0" applyFill="1" applyBorder="1" applyAlignment="1">
      <alignment vertical="center"/>
    </xf>
    <xf numFmtId="0" fontId="0" fillId="9" borderId="69" xfId="0" applyFill="1" applyBorder="1" applyAlignment="1">
      <alignment vertical="center"/>
    </xf>
    <xf numFmtId="191" fontId="0" fillId="0" borderId="64" xfId="0" applyNumberFormat="1" applyBorder="1" applyAlignment="1">
      <alignment vertical="center"/>
    </xf>
    <xf numFmtId="191" fontId="0" fillId="0" borderId="6" xfId="0" applyNumberFormat="1" applyBorder="1" applyAlignment="1">
      <alignment vertical="center"/>
    </xf>
    <xf numFmtId="191" fontId="13" fillId="0" borderId="32" xfId="0" applyNumberFormat="1" applyFont="1" applyBorder="1" applyAlignment="1">
      <alignment horizontal="left" vertical="center"/>
    </xf>
    <xf numFmtId="191" fontId="13" fillId="0" borderId="10" xfId="0" applyNumberFormat="1" applyFont="1" applyBorder="1" applyAlignment="1">
      <alignment horizontal="left" vertical="center"/>
    </xf>
    <xf numFmtId="0" fontId="6" fillId="5" borderId="65" xfId="0" applyFont="1" applyFill="1" applyBorder="1" applyAlignment="1">
      <alignment horizontal="center" vertical="center"/>
    </xf>
    <xf numFmtId="0" fontId="6" fillId="5" borderId="70" xfId="0" applyFont="1" applyFill="1" applyBorder="1" applyAlignment="1">
      <alignment horizontal="center" vertical="center"/>
    </xf>
    <xf numFmtId="0" fontId="0" fillId="5" borderId="70" xfId="0" applyFill="1" applyBorder="1" applyAlignment="1">
      <alignment vertical="center"/>
    </xf>
    <xf numFmtId="0" fontId="0" fillId="5" borderId="67" xfId="0" applyFill="1" applyBorder="1" applyAlignment="1">
      <alignment vertical="center"/>
    </xf>
    <xf numFmtId="0" fontId="6" fillId="5" borderId="66" xfId="0" applyFont="1" applyFill="1" applyBorder="1" applyAlignment="1">
      <alignment horizontal="center" vertical="center"/>
    </xf>
    <xf numFmtId="0" fontId="6" fillId="5" borderId="71" xfId="0" applyFont="1" applyFill="1" applyBorder="1" applyAlignment="1">
      <alignment horizontal="center" vertical="center"/>
    </xf>
    <xf numFmtId="0" fontId="0" fillId="5" borderId="71" xfId="0" applyFill="1" applyBorder="1" applyAlignment="1">
      <alignment vertical="center"/>
    </xf>
    <xf numFmtId="0" fontId="0" fillId="5" borderId="69" xfId="0" applyFill="1" applyBorder="1" applyAlignment="1">
      <alignment vertical="center"/>
    </xf>
    <xf numFmtId="0" fontId="6" fillId="4" borderId="65" xfId="0" applyFont="1" applyFill="1" applyBorder="1" applyAlignment="1">
      <alignment horizontal="center" vertical="center"/>
    </xf>
    <xf numFmtId="0" fontId="6" fillId="4" borderId="70" xfId="0" applyFont="1" applyFill="1" applyBorder="1" applyAlignment="1">
      <alignment horizontal="center" vertical="center"/>
    </xf>
    <xf numFmtId="0" fontId="0" fillId="4" borderId="70" xfId="0" applyFill="1" applyBorder="1" applyAlignment="1">
      <alignment vertical="center"/>
    </xf>
    <xf numFmtId="0" fontId="0" fillId="4" borderId="67" xfId="0" applyFill="1" applyBorder="1" applyAlignment="1">
      <alignment vertical="center"/>
    </xf>
    <xf numFmtId="0" fontId="6" fillId="4" borderId="66" xfId="0" applyFont="1" applyFill="1" applyBorder="1" applyAlignment="1">
      <alignment horizontal="center" vertical="center"/>
    </xf>
    <xf numFmtId="0" fontId="6" fillId="4" borderId="71" xfId="0" applyFont="1" applyFill="1" applyBorder="1" applyAlignment="1">
      <alignment horizontal="center" vertical="center"/>
    </xf>
    <xf numFmtId="0" fontId="0" fillId="4" borderId="71" xfId="0" applyFill="1" applyBorder="1" applyAlignment="1">
      <alignment vertical="center"/>
    </xf>
    <xf numFmtId="0" fontId="0" fillId="4" borderId="69" xfId="0" applyFill="1" applyBorder="1" applyAlignment="1">
      <alignment vertical="center"/>
    </xf>
    <xf numFmtId="0" fontId="0" fillId="6" borderId="1" xfId="0" applyFill="1" applyBorder="1" applyAlignment="1">
      <alignment horizontal="center" vertical="center"/>
    </xf>
    <xf numFmtId="0" fontId="0" fillId="6" borderId="12" xfId="0" applyFill="1" applyBorder="1" applyAlignment="1">
      <alignment horizontal="center" vertical="center"/>
    </xf>
    <xf numFmtId="0" fontId="0" fillId="6" borderId="27" xfId="0" applyFill="1" applyBorder="1" applyAlignment="1">
      <alignment horizontal="center" vertical="center"/>
    </xf>
    <xf numFmtId="0" fontId="0" fillId="6" borderId="29" xfId="0" applyFill="1" applyBorder="1" applyAlignment="1">
      <alignment horizontal="center" vertical="center"/>
    </xf>
    <xf numFmtId="0" fontId="7" fillId="0" borderId="32" xfId="0" applyFont="1" applyFill="1" applyBorder="1" applyAlignment="1">
      <alignment horizontal="center" vertical="center"/>
    </xf>
    <xf numFmtId="0" fontId="7" fillId="0" borderId="41" xfId="0" applyFont="1" applyFill="1" applyBorder="1" applyAlignment="1">
      <alignment horizontal="center" vertical="center"/>
    </xf>
    <xf numFmtId="0" fontId="1" fillId="0" borderId="46" xfId="0" applyFont="1" applyFill="1" applyBorder="1" applyAlignment="1">
      <alignment horizontal="center" vertical="center" textRotation="90" wrapText="1"/>
    </xf>
    <xf numFmtId="0" fontId="1" fillId="0" borderId="76" xfId="0" applyFont="1" applyFill="1" applyBorder="1" applyAlignment="1">
      <alignment horizontal="center" vertical="center" textRotation="90" wrapText="1"/>
    </xf>
    <xf numFmtId="0" fontId="0" fillId="0" borderId="76" xfId="0" applyBorder="1"/>
    <xf numFmtId="0" fontId="0" fillId="0" borderId="51" xfId="0" applyBorder="1"/>
    <xf numFmtId="0" fontId="0" fillId="0" borderId="23" xfId="0" applyBorder="1" applyAlignment="1">
      <alignment horizontal="center" vertical="center" wrapText="1"/>
    </xf>
    <xf numFmtId="0" fontId="0" fillId="0" borderId="12" xfId="0" applyBorder="1" applyAlignment="1">
      <alignment horizontal="center" vertical="center" wrapText="1"/>
    </xf>
    <xf numFmtId="174" fontId="1" fillId="0" borderId="16" xfId="0" applyNumberFormat="1" applyFont="1" applyFill="1" applyBorder="1" applyAlignment="1">
      <alignment horizontal="center" vertical="center"/>
    </xf>
    <xf numFmtId="174" fontId="1" fillId="0" borderId="22"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30" xfId="0" applyFont="1" applyBorder="1" applyAlignment="1">
      <alignment horizontal="center" vertical="center"/>
    </xf>
    <xf numFmtId="0" fontId="4" fillId="0" borderId="36" xfId="0" applyFont="1" applyBorder="1" applyAlignment="1">
      <alignment horizontal="center" vertical="center"/>
    </xf>
    <xf numFmtId="0" fontId="1" fillId="0" borderId="9" xfId="0" applyFont="1" applyFill="1" applyBorder="1" applyAlignment="1">
      <alignment horizontal="center" vertical="center" textRotation="90" wrapText="1"/>
    </xf>
    <xf numFmtId="0" fontId="1" fillId="0" borderId="20" xfId="0" applyFont="1" applyFill="1" applyBorder="1" applyAlignment="1">
      <alignment horizontal="center" vertical="center" textRotation="90" wrapText="1"/>
    </xf>
    <xf numFmtId="0" fontId="1" fillId="0" borderId="11" xfId="0" applyFont="1" applyFill="1" applyBorder="1" applyAlignment="1">
      <alignment horizontal="center" vertical="center" textRotation="90" wrapText="1"/>
    </xf>
    <xf numFmtId="0" fontId="1" fillId="0" borderId="26" xfId="0" applyFont="1" applyFill="1" applyBorder="1" applyAlignment="1">
      <alignment horizontal="center" vertical="center" textRotation="90" wrapText="1"/>
    </xf>
    <xf numFmtId="0" fontId="0" fillId="0" borderId="27" xfId="0" applyBorder="1" applyAlignment="1">
      <alignment horizontal="center" vertical="center" wrapText="1"/>
    </xf>
    <xf numFmtId="0" fontId="7" fillId="0"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20" fillId="0" borderId="70"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71" xfId="0" applyFont="1" applyFill="1" applyBorder="1" applyAlignment="1">
      <alignment horizontal="center" vertical="center"/>
    </xf>
    <xf numFmtId="0" fontId="20" fillId="0" borderId="77" xfId="0" applyFont="1" applyFill="1" applyBorder="1" applyAlignment="1">
      <alignment horizontal="center" vertical="center"/>
    </xf>
    <xf numFmtId="0" fontId="7" fillId="0" borderId="23" xfId="0" applyFont="1" applyBorder="1" applyAlignment="1">
      <alignment horizontal="center" vertical="center"/>
    </xf>
    <xf numFmtId="0" fontId="7" fillId="0" borderId="10"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pplyAlignment="1">
      <alignment horizontal="center" vertical="center"/>
    </xf>
    <xf numFmtId="0" fontId="0" fillId="6" borderId="50" xfId="0" applyFill="1" applyBorder="1" applyAlignment="1">
      <alignment horizontal="center" vertical="center"/>
    </xf>
    <xf numFmtId="0" fontId="0" fillId="6" borderId="59" xfId="0" applyFill="1" applyBorder="1" applyAlignment="1">
      <alignment horizontal="center" vertical="center"/>
    </xf>
    <xf numFmtId="0" fontId="0" fillId="6" borderId="37" xfId="0" applyFill="1" applyBorder="1" applyAlignment="1">
      <alignment horizontal="center" vertical="center"/>
    </xf>
    <xf numFmtId="0" fontId="0" fillId="6" borderId="60" xfId="0" applyFill="1" applyBorder="1" applyAlignment="1">
      <alignment horizontal="center" vertical="center"/>
    </xf>
    <xf numFmtId="0" fontId="0" fillId="6" borderId="0" xfId="0" applyFill="1" applyBorder="1" applyAlignment="1">
      <alignment horizontal="center" vertical="center"/>
    </xf>
    <xf numFmtId="0" fontId="0" fillId="6" borderId="68" xfId="0" applyFill="1" applyBorder="1" applyAlignment="1">
      <alignment horizontal="center" vertical="center"/>
    </xf>
    <xf numFmtId="0" fontId="0" fillId="6" borderId="78" xfId="0" applyFill="1" applyBorder="1" applyAlignment="1">
      <alignment horizontal="center" vertical="center"/>
    </xf>
    <xf numFmtId="0" fontId="0" fillId="6" borderId="71" xfId="0" applyFill="1" applyBorder="1" applyAlignment="1">
      <alignment horizontal="center" vertical="center"/>
    </xf>
    <xf numFmtId="0" fontId="0" fillId="6" borderId="69" xfId="0" applyFill="1" applyBorder="1" applyAlignment="1">
      <alignment horizontal="center" vertical="center"/>
    </xf>
    <xf numFmtId="0" fontId="0" fillId="0" borderId="24" xfId="0" applyBorder="1" applyAlignment="1">
      <alignment horizontal="center" vertical="center"/>
    </xf>
    <xf numFmtId="0" fontId="1" fillId="0" borderId="36" xfId="0" applyFont="1" applyBorder="1" applyAlignment="1">
      <alignment horizontal="center" vertical="center"/>
    </xf>
    <xf numFmtId="0" fontId="29" fillId="4" borderId="65"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7" xfId="0" applyFont="1" applyFill="1" applyBorder="1" applyAlignment="1">
      <alignment horizontal="center" vertical="center"/>
    </xf>
    <xf numFmtId="0" fontId="29" fillId="4" borderId="66" xfId="0" applyFont="1" applyFill="1" applyBorder="1" applyAlignment="1">
      <alignment horizontal="center" vertical="center"/>
    </xf>
    <xf numFmtId="0" fontId="29" fillId="4" borderId="71" xfId="0" applyFont="1" applyFill="1" applyBorder="1" applyAlignment="1">
      <alignment horizontal="center" vertical="center"/>
    </xf>
    <xf numFmtId="0" fontId="29" fillId="4" borderId="69" xfId="0" applyFont="1" applyFill="1" applyBorder="1" applyAlignment="1">
      <alignment horizontal="center" vertical="center"/>
    </xf>
    <xf numFmtId="0" fontId="29" fillId="9" borderId="65" xfId="0" applyFont="1" applyFill="1" applyBorder="1" applyAlignment="1">
      <alignment horizontal="center" vertical="center"/>
    </xf>
    <xf numFmtId="0" fontId="29" fillId="9" borderId="70" xfId="0" applyFont="1" applyFill="1" applyBorder="1" applyAlignment="1">
      <alignment horizontal="center" vertical="center"/>
    </xf>
    <xf numFmtId="0" fontId="29" fillId="9" borderId="67" xfId="0" applyFont="1" applyFill="1" applyBorder="1" applyAlignment="1">
      <alignment horizontal="center" vertical="center"/>
    </xf>
    <xf numFmtId="0" fontId="29" fillId="9" borderId="66" xfId="0" applyFont="1" applyFill="1" applyBorder="1" applyAlignment="1">
      <alignment horizontal="center" vertical="center"/>
    </xf>
    <xf numFmtId="0" fontId="29" fillId="9" borderId="71" xfId="0" applyFont="1" applyFill="1" applyBorder="1" applyAlignment="1">
      <alignment horizontal="center" vertical="center"/>
    </xf>
    <xf numFmtId="0" fontId="29" fillId="9" borderId="69" xfId="0" applyFont="1" applyFill="1" applyBorder="1" applyAlignment="1">
      <alignment horizontal="center" vertical="center"/>
    </xf>
    <xf numFmtId="0" fontId="29" fillId="12" borderId="65" xfId="0" applyFont="1" applyFill="1" applyBorder="1" applyAlignment="1">
      <alignment horizontal="center" vertical="center"/>
    </xf>
    <xf numFmtId="0" fontId="29" fillId="12" borderId="70" xfId="0" applyFont="1" applyFill="1" applyBorder="1" applyAlignment="1">
      <alignment horizontal="center" vertical="center"/>
    </xf>
    <xf numFmtId="0" fontId="29" fillId="12" borderId="67" xfId="0" applyFont="1" applyFill="1" applyBorder="1" applyAlignment="1">
      <alignment horizontal="center" vertical="center"/>
    </xf>
    <xf numFmtId="0" fontId="29" fillId="12" borderId="66" xfId="0" applyFont="1" applyFill="1" applyBorder="1" applyAlignment="1">
      <alignment horizontal="center" vertical="center"/>
    </xf>
    <xf numFmtId="0" fontId="29" fillId="12" borderId="71" xfId="0" applyFont="1" applyFill="1" applyBorder="1" applyAlignment="1">
      <alignment horizontal="center" vertical="center"/>
    </xf>
    <xf numFmtId="0" fontId="29" fillId="12" borderId="69" xfId="0" applyFont="1" applyFill="1" applyBorder="1" applyAlignment="1">
      <alignment horizontal="center" vertical="center"/>
    </xf>
  </cellXfs>
  <cellStyles count="2">
    <cellStyle name="Normal" xfId="0" builtinId="0"/>
    <cellStyle name="Percent" xfId="1" builtinId="5"/>
  </cellStyles>
  <dxfs count="2">
    <dxf>
      <font>
        <condense val="0"/>
        <extend val="0"/>
        <color indexed="10"/>
      </font>
    </dxf>
    <dxf>
      <font>
        <condense val="0"/>
        <extend val="0"/>
        <color indexed="10"/>
      </font>
    </dxf>
  </dxfs>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91"/>
  <sheetViews>
    <sheetView tabSelected="1" zoomScaleNormal="100" workbookViewId="0">
      <selection activeCell="I70" sqref="I70"/>
    </sheetView>
  </sheetViews>
  <sheetFormatPr defaultColWidth="10.6328125" defaultRowHeight="12.6" x14ac:dyDescent="0.2"/>
  <cols>
    <col min="1" max="1" width="30" style="2" customWidth="1"/>
    <col min="2" max="7" width="10.453125" style="2" customWidth="1"/>
    <col min="8" max="8" width="9.1796875" style="2" customWidth="1"/>
    <col min="9" max="21" width="10.453125" style="2" customWidth="1"/>
    <col min="22" max="36" width="5.36328125" style="2" customWidth="1"/>
    <col min="37" max="42" width="4" style="2" customWidth="1"/>
    <col min="43" max="16384" width="10.6328125" style="2"/>
  </cols>
  <sheetData>
    <row r="1" spans="1:20" ht="17.399999999999999" x14ac:dyDescent="0.2">
      <c r="A1" s="556" t="s">
        <v>82</v>
      </c>
      <c r="B1" s="556"/>
      <c r="C1" s="556"/>
      <c r="D1" s="556"/>
      <c r="E1" s="556"/>
      <c r="F1" s="556"/>
      <c r="G1" s="556"/>
      <c r="H1" s="556"/>
      <c r="I1" s="556"/>
      <c r="J1" s="556"/>
      <c r="K1" s="556"/>
      <c r="L1" s="556"/>
      <c r="M1" s="556"/>
      <c r="N1" s="556"/>
      <c r="O1"/>
      <c r="P1"/>
      <c r="Q1"/>
      <c r="R1"/>
      <c r="S1"/>
      <c r="T1"/>
    </row>
    <row r="2" spans="1:20" ht="7.05" customHeight="1" x14ac:dyDescent="0.2"/>
    <row r="3" spans="1:20" ht="13.95" customHeight="1" x14ac:dyDescent="0.2">
      <c r="A3" s="552" t="s">
        <v>466</v>
      </c>
      <c r="B3" s="566" t="s">
        <v>465</v>
      </c>
      <c r="C3" s="566"/>
      <c r="D3" s="60" t="s">
        <v>464</v>
      </c>
      <c r="E3" s="566" t="s">
        <v>463</v>
      </c>
      <c r="F3" s="566"/>
      <c r="G3" s="566"/>
      <c r="H3" s="566"/>
      <c r="I3" s="563" t="s">
        <v>480</v>
      </c>
      <c r="J3" s="564"/>
      <c r="K3" s="564"/>
      <c r="L3" s="564"/>
      <c r="M3" s="564"/>
      <c r="N3" s="565"/>
      <c r="O3"/>
      <c r="P3"/>
      <c r="Q3"/>
    </row>
    <row r="4" spans="1:20" ht="31.95" customHeight="1" x14ac:dyDescent="0.2">
      <c r="A4" s="552"/>
      <c r="B4" s="561" t="s">
        <v>173</v>
      </c>
      <c r="C4" s="561" t="s">
        <v>487</v>
      </c>
      <c r="D4" s="560" t="s">
        <v>66</v>
      </c>
      <c r="E4" s="561" t="s">
        <v>488</v>
      </c>
      <c r="F4" s="560" t="s">
        <v>360</v>
      </c>
      <c r="G4" s="539" t="s">
        <v>484</v>
      </c>
      <c r="H4" s="540"/>
      <c r="I4" s="560" t="s">
        <v>420</v>
      </c>
      <c r="J4" s="560" t="s">
        <v>418</v>
      </c>
      <c r="K4" s="560" t="s">
        <v>417</v>
      </c>
      <c r="L4" s="539" t="s">
        <v>231</v>
      </c>
      <c r="M4" s="540"/>
      <c r="N4" s="560" t="s">
        <v>479</v>
      </c>
    </row>
    <row r="5" spans="1:20" ht="31.95" customHeight="1" x14ac:dyDescent="0.2">
      <c r="A5" s="552"/>
      <c r="B5" s="562"/>
      <c r="C5" s="562"/>
      <c r="D5" s="560"/>
      <c r="E5" s="562"/>
      <c r="F5" s="560"/>
      <c r="G5" s="120" t="s">
        <v>469</v>
      </c>
      <c r="H5" s="120" t="s">
        <v>470</v>
      </c>
      <c r="I5" s="560"/>
      <c r="J5" s="560"/>
      <c r="K5" s="560"/>
      <c r="L5" s="120" t="s">
        <v>67</v>
      </c>
      <c r="M5" s="120" t="s">
        <v>471</v>
      </c>
      <c r="N5" s="560"/>
    </row>
    <row r="6" spans="1:20" ht="13.95" customHeight="1" x14ac:dyDescent="0.2">
      <c r="A6" s="5" t="s">
        <v>356</v>
      </c>
      <c r="B6" s="512">
        <f>Simul!E27</f>
        <v>29</v>
      </c>
      <c r="C6" s="513">
        <f>Simul!C27</f>
        <v>8</v>
      </c>
      <c r="D6" s="510">
        <f>Simul!C28</f>
        <v>30000</v>
      </c>
      <c r="E6" s="514">
        <f>Simul!E28</f>
        <v>17</v>
      </c>
      <c r="F6" s="510">
        <f>Simul!C29</f>
        <v>3000</v>
      </c>
      <c r="G6" s="510">
        <f>Simul!C30</f>
        <v>9000</v>
      </c>
      <c r="H6" s="515">
        <f>Simul!E30</f>
        <v>1</v>
      </c>
      <c r="I6" s="124">
        <v>1200</v>
      </c>
      <c r="J6" s="138">
        <v>5.0000000000000001E-3</v>
      </c>
      <c r="K6" s="138">
        <v>0.1</v>
      </c>
      <c r="L6" s="138">
        <v>0</v>
      </c>
      <c r="M6" s="138">
        <v>0</v>
      </c>
      <c r="N6" s="515">
        <f>Simul!H27</f>
        <v>1</v>
      </c>
    </row>
    <row r="7" spans="1:20" ht="13.95" customHeight="1" x14ac:dyDescent="0.2">
      <c r="A7" s="5" t="s">
        <v>290</v>
      </c>
      <c r="B7" s="512">
        <f>B$6</f>
        <v>29</v>
      </c>
      <c r="C7" s="513">
        <f t="shared" ref="C7:H10" si="0">C$6</f>
        <v>8</v>
      </c>
      <c r="D7" s="510">
        <f t="shared" si="0"/>
        <v>30000</v>
      </c>
      <c r="E7" s="514">
        <f t="shared" si="0"/>
        <v>17</v>
      </c>
      <c r="F7" s="510">
        <f t="shared" si="0"/>
        <v>3000</v>
      </c>
      <c r="G7" s="510">
        <f t="shared" si="0"/>
        <v>9000</v>
      </c>
      <c r="H7" s="515">
        <f t="shared" si="0"/>
        <v>1</v>
      </c>
      <c r="I7" s="124">
        <v>1200</v>
      </c>
      <c r="J7" s="138">
        <v>5.0000000000000001E-3</v>
      </c>
      <c r="K7" s="138">
        <v>0.1</v>
      </c>
      <c r="L7" s="138">
        <v>0</v>
      </c>
      <c r="M7" s="138">
        <v>0</v>
      </c>
      <c r="N7" s="515">
        <f>N$6</f>
        <v>1</v>
      </c>
    </row>
    <row r="8" spans="1:20" ht="13.95" customHeight="1" x14ac:dyDescent="0.2">
      <c r="A8" s="5" t="s">
        <v>341</v>
      </c>
      <c r="B8" s="512">
        <f>B$6</f>
        <v>29</v>
      </c>
      <c r="C8" s="513">
        <f t="shared" si="0"/>
        <v>8</v>
      </c>
      <c r="D8" s="510">
        <f t="shared" si="0"/>
        <v>30000</v>
      </c>
      <c r="E8" s="514">
        <f t="shared" si="0"/>
        <v>17</v>
      </c>
      <c r="F8" s="510">
        <f t="shared" si="0"/>
        <v>3000</v>
      </c>
      <c r="G8" s="510">
        <f t="shared" si="0"/>
        <v>9000</v>
      </c>
      <c r="H8" s="515">
        <f t="shared" si="0"/>
        <v>1</v>
      </c>
      <c r="I8" s="124">
        <v>1200</v>
      </c>
      <c r="J8" s="138">
        <v>5.0000000000000001E-3</v>
      </c>
      <c r="K8" s="138">
        <v>0.1</v>
      </c>
      <c r="L8" s="138">
        <v>0</v>
      </c>
      <c r="M8" s="138">
        <v>0</v>
      </c>
      <c r="N8" s="515">
        <f>N$6</f>
        <v>1</v>
      </c>
    </row>
    <row r="9" spans="1:20" ht="13.95" customHeight="1" x14ac:dyDescent="0.2">
      <c r="A9" s="5" t="s">
        <v>117</v>
      </c>
      <c r="B9" s="512">
        <f>B$6</f>
        <v>29</v>
      </c>
      <c r="C9" s="513">
        <f t="shared" si="0"/>
        <v>8</v>
      </c>
      <c r="D9" s="510">
        <f t="shared" si="0"/>
        <v>30000</v>
      </c>
      <c r="E9" s="514">
        <f t="shared" si="0"/>
        <v>17</v>
      </c>
      <c r="F9" s="510">
        <f t="shared" si="0"/>
        <v>3000</v>
      </c>
      <c r="G9" s="510">
        <f t="shared" si="0"/>
        <v>9000</v>
      </c>
      <c r="H9" s="515">
        <f t="shared" si="0"/>
        <v>1</v>
      </c>
      <c r="I9" s="124">
        <v>1200</v>
      </c>
      <c r="J9" s="138">
        <v>5.0000000000000001E-3</v>
      </c>
      <c r="K9" s="138">
        <v>0.1</v>
      </c>
      <c r="L9" s="138">
        <v>0</v>
      </c>
      <c r="M9" s="138">
        <v>0</v>
      </c>
      <c r="N9" s="515">
        <f>N$6</f>
        <v>1</v>
      </c>
    </row>
    <row r="10" spans="1:20" ht="13.95" customHeight="1" x14ac:dyDescent="0.2">
      <c r="A10" s="5" t="s">
        <v>402</v>
      </c>
      <c r="B10" s="512">
        <f>B$6</f>
        <v>29</v>
      </c>
      <c r="C10" s="513">
        <f t="shared" si="0"/>
        <v>8</v>
      </c>
      <c r="D10" s="510">
        <f t="shared" si="0"/>
        <v>30000</v>
      </c>
      <c r="E10" s="514">
        <f t="shared" si="0"/>
        <v>17</v>
      </c>
      <c r="F10" s="510">
        <f t="shared" si="0"/>
        <v>3000</v>
      </c>
      <c r="G10" s="510">
        <f t="shared" si="0"/>
        <v>9000</v>
      </c>
      <c r="H10" s="515">
        <f t="shared" si="0"/>
        <v>1</v>
      </c>
      <c r="I10" s="124">
        <v>1200</v>
      </c>
      <c r="J10" s="138">
        <v>5.0000000000000001E-3</v>
      </c>
      <c r="K10" s="138">
        <v>0.1</v>
      </c>
      <c r="L10" s="138">
        <v>0</v>
      </c>
      <c r="M10" s="138">
        <v>0</v>
      </c>
      <c r="N10" s="515">
        <f>N$6</f>
        <v>1</v>
      </c>
    </row>
    <row r="11" spans="1:20" ht="13.95" customHeight="1" x14ac:dyDescent="0.2">
      <c r="A11" s="290"/>
      <c r="B11" s="291"/>
      <c r="C11" s="292"/>
      <c r="D11" s="293"/>
      <c r="E11" s="294"/>
      <c r="F11" s="294"/>
      <c r="G11" s="294"/>
      <c r="H11" s="294"/>
      <c r="I11" s="295"/>
      <c r="J11" s="295"/>
      <c r="K11" s="295"/>
      <c r="L11" s="295"/>
      <c r="M11" s="295"/>
      <c r="N11" s="296"/>
      <c r="O11" s="297"/>
      <c r="P11" s="297"/>
      <c r="Q11" s="297"/>
      <c r="R11" s="297"/>
    </row>
    <row r="12" spans="1:20" ht="28.95" customHeight="1" x14ac:dyDescent="0.2">
      <c r="A12" s="552" t="s">
        <v>473</v>
      </c>
      <c r="B12" s="553" t="s">
        <v>477</v>
      </c>
      <c r="C12" s="554"/>
      <c r="D12" s="554"/>
      <c r="E12" s="555"/>
      <c r="F12" s="553" t="s">
        <v>478</v>
      </c>
      <c r="G12" s="554"/>
      <c r="H12" s="554"/>
      <c r="I12" s="555"/>
      <c r="J12" s="553" t="s">
        <v>431</v>
      </c>
      <c r="K12" s="555"/>
      <c r="L12" s="539" t="s">
        <v>348</v>
      </c>
      <c r="M12" s="540"/>
      <c r="N12" s="539" t="s">
        <v>105</v>
      </c>
      <c r="O12" s="540"/>
    </row>
    <row r="13" spans="1:20" ht="40.049999999999997" customHeight="1" x14ac:dyDescent="0.2">
      <c r="A13" s="552"/>
      <c r="B13" s="120" t="s">
        <v>25</v>
      </c>
      <c r="C13" s="120" t="s">
        <v>474</v>
      </c>
      <c r="D13" s="120" t="s">
        <v>285</v>
      </c>
      <c r="E13" s="120" t="s">
        <v>476</v>
      </c>
      <c r="F13" s="120" t="s">
        <v>25</v>
      </c>
      <c r="G13" s="120" t="s">
        <v>475</v>
      </c>
      <c r="H13" s="120" t="s">
        <v>285</v>
      </c>
      <c r="I13" s="120" t="s">
        <v>472</v>
      </c>
      <c r="J13" s="120" t="s">
        <v>432</v>
      </c>
      <c r="K13" s="120" t="s">
        <v>433</v>
      </c>
      <c r="L13" s="120" t="s">
        <v>329</v>
      </c>
      <c r="M13" s="120" t="s">
        <v>284</v>
      </c>
      <c r="N13" s="120" t="s">
        <v>329</v>
      </c>
      <c r="O13" s="120" t="s">
        <v>284</v>
      </c>
    </row>
    <row r="14" spans="1:20" ht="13.95" customHeight="1" x14ac:dyDescent="0.2">
      <c r="A14" s="5" t="s">
        <v>356</v>
      </c>
      <c r="B14" s="510">
        <f>Simul!C32</f>
        <v>3000</v>
      </c>
      <c r="C14" s="511">
        <f>Simul!E32</f>
        <v>0.5</v>
      </c>
      <c r="D14" s="511">
        <f>Simul!D32</f>
        <v>0.7</v>
      </c>
      <c r="E14" s="511">
        <f>Simul!E33</f>
        <v>0.3</v>
      </c>
      <c r="F14" s="510">
        <f>Simul!C31</f>
        <v>6000</v>
      </c>
      <c r="G14" s="511">
        <f>Simul!E31</f>
        <v>0.5</v>
      </c>
      <c r="H14" s="511">
        <f>Simul!D31</f>
        <v>0.3</v>
      </c>
      <c r="I14" s="511">
        <f>Simul!C33</f>
        <v>0.2</v>
      </c>
      <c r="J14" s="485">
        <f>1-(C14+G14)</f>
        <v>0</v>
      </c>
      <c r="K14" s="138">
        <v>0.03</v>
      </c>
      <c r="L14" s="511">
        <f>Simul!E35</f>
        <v>0.7</v>
      </c>
      <c r="M14" s="511">
        <f>Simul!C35</f>
        <v>0.12</v>
      </c>
      <c r="N14" s="511">
        <f>Simul!E34</f>
        <v>1</v>
      </c>
      <c r="O14" s="511">
        <f>Simul!C34</f>
        <v>0.05</v>
      </c>
    </row>
    <row r="15" spans="1:20" ht="13.95" customHeight="1" x14ac:dyDescent="0.2">
      <c r="A15" s="5" t="s">
        <v>290</v>
      </c>
      <c r="B15" s="510">
        <f>B$14</f>
        <v>3000</v>
      </c>
      <c r="C15" s="511">
        <f t="shared" ref="C15:I18" si="1">C$14</f>
        <v>0.5</v>
      </c>
      <c r="D15" s="511">
        <f t="shared" si="1"/>
        <v>0.7</v>
      </c>
      <c r="E15" s="511">
        <f t="shared" si="1"/>
        <v>0.3</v>
      </c>
      <c r="F15" s="510">
        <f t="shared" si="1"/>
        <v>6000</v>
      </c>
      <c r="G15" s="511">
        <f t="shared" si="1"/>
        <v>0.5</v>
      </c>
      <c r="H15" s="511">
        <f t="shared" si="1"/>
        <v>0.3</v>
      </c>
      <c r="I15" s="511">
        <f t="shared" si="1"/>
        <v>0.2</v>
      </c>
      <c r="J15" s="485">
        <f>1-(C15+G15)</f>
        <v>0</v>
      </c>
      <c r="K15" s="138">
        <v>0.03</v>
      </c>
      <c r="L15" s="511">
        <f t="shared" ref="L15:O18" si="2">L$14</f>
        <v>0.7</v>
      </c>
      <c r="M15" s="511">
        <f t="shared" si="2"/>
        <v>0.12</v>
      </c>
      <c r="N15" s="511">
        <f t="shared" si="2"/>
        <v>1</v>
      </c>
      <c r="O15" s="511">
        <f t="shared" si="2"/>
        <v>0.05</v>
      </c>
    </row>
    <row r="16" spans="1:20" ht="13.95" customHeight="1" x14ac:dyDescent="0.2">
      <c r="A16" s="5" t="s">
        <v>341</v>
      </c>
      <c r="B16" s="510">
        <f>B$14</f>
        <v>3000</v>
      </c>
      <c r="C16" s="511">
        <f t="shared" si="1"/>
        <v>0.5</v>
      </c>
      <c r="D16" s="511">
        <f t="shared" si="1"/>
        <v>0.7</v>
      </c>
      <c r="E16" s="511">
        <f t="shared" si="1"/>
        <v>0.3</v>
      </c>
      <c r="F16" s="510">
        <f t="shared" si="1"/>
        <v>6000</v>
      </c>
      <c r="G16" s="511">
        <f t="shared" si="1"/>
        <v>0.5</v>
      </c>
      <c r="H16" s="511">
        <f t="shared" si="1"/>
        <v>0.3</v>
      </c>
      <c r="I16" s="511">
        <f t="shared" si="1"/>
        <v>0.2</v>
      </c>
      <c r="J16" s="485">
        <f>1-(C16+G16)</f>
        <v>0</v>
      </c>
      <c r="K16" s="138">
        <v>0.03</v>
      </c>
      <c r="L16" s="511">
        <f t="shared" si="2"/>
        <v>0.7</v>
      </c>
      <c r="M16" s="511">
        <f t="shared" si="2"/>
        <v>0.12</v>
      </c>
      <c r="N16" s="511">
        <f t="shared" si="2"/>
        <v>1</v>
      </c>
      <c r="O16" s="511">
        <f t="shared" si="2"/>
        <v>0.05</v>
      </c>
    </row>
    <row r="17" spans="1:15" ht="13.95" customHeight="1" x14ac:dyDescent="0.2">
      <c r="A17" s="5" t="s">
        <v>117</v>
      </c>
      <c r="B17" s="510">
        <f>B$14</f>
        <v>3000</v>
      </c>
      <c r="C17" s="511">
        <f t="shared" si="1"/>
        <v>0.5</v>
      </c>
      <c r="D17" s="511">
        <f t="shared" si="1"/>
        <v>0.7</v>
      </c>
      <c r="E17" s="511">
        <f t="shared" si="1"/>
        <v>0.3</v>
      </c>
      <c r="F17" s="510">
        <f t="shared" si="1"/>
        <v>6000</v>
      </c>
      <c r="G17" s="511">
        <f t="shared" si="1"/>
        <v>0.5</v>
      </c>
      <c r="H17" s="511">
        <f t="shared" si="1"/>
        <v>0.3</v>
      </c>
      <c r="I17" s="511">
        <f t="shared" si="1"/>
        <v>0.2</v>
      </c>
      <c r="J17" s="485">
        <f>1-(C17+G17)</f>
        <v>0</v>
      </c>
      <c r="K17" s="138">
        <v>0.03</v>
      </c>
      <c r="L17" s="511">
        <f t="shared" si="2"/>
        <v>0.7</v>
      </c>
      <c r="M17" s="511">
        <f t="shared" si="2"/>
        <v>0.12</v>
      </c>
      <c r="N17" s="511">
        <f t="shared" si="2"/>
        <v>1</v>
      </c>
      <c r="O17" s="511">
        <f t="shared" si="2"/>
        <v>0.05</v>
      </c>
    </row>
    <row r="18" spans="1:15" ht="13.95" customHeight="1" x14ac:dyDescent="0.2">
      <c r="A18" s="5" t="s">
        <v>402</v>
      </c>
      <c r="B18" s="510">
        <f>B$14</f>
        <v>3000</v>
      </c>
      <c r="C18" s="511">
        <f t="shared" si="1"/>
        <v>0.5</v>
      </c>
      <c r="D18" s="511">
        <f t="shared" si="1"/>
        <v>0.7</v>
      </c>
      <c r="E18" s="511">
        <f t="shared" si="1"/>
        <v>0.3</v>
      </c>
      <c r="F18" s="510">
        <f t="shared" si="1"/>
        <v>6000</v>
      </c>
      <c r="G18" s="511">
        <f t="shared" si="1"/>
        <v>0.5</v>
      </c>
      <c r="H18" s="511">
        <f t="shared" si="1"/>
        <v>0.3</v>
      </c>
      <c r="I18" s="511">
        <f t="shared" si="1"/>
        <v>0.2</v>
      </c>
      <c r="J18" s="485">
        <f>1-(C18+G18)</f>
        <v>0</v>
      </c>
      <c r="K18" s="138">
        <v>0.03</v>
      </c>
      <c r="L18" s="511">
        <f t="shared" si="2"/>
        <v>0.7</v>
      </c>
      <c r="M18" s="511">
        <f t="shared" si="2"/>
        <v>0.12</v>
      </c>
      <c r="N18" s="511">
        <f t="shared" si="2"/>
        <v>1</v>
      </c>
      <c r="O18" s="511">
        <f t="shared" si="2"/>
        <v>0.05</v>
      </c>
    </row>
    <row r="19" spans="1:15" ht="7.05" customHeight="1" x14ac:dyDescent="0.2">
      <c r="J19" s="295"/>
      <c r="L19" s="295"/>
    </row>
    <row r="20" spans="1:15" ht="16.05" customHeight="1" x14ac:dyDescent="0.2">
      <c r="A20" s="113" t="s">
        <v>320</v>
      </c>
      <c r="B20" s="136">
        <f>Forecast!D5</f>
        <v>2012</v>
      </c>
      <c r="C20" s="136">
        <f>Forecast!E5</f>
        <v>2013</v>
      </c>
      <c r="D20" s="136">
        <f>Forecast!F5</f>
        <v>2014</v>
      </c>
      <c r="E20" s="136">
        <f>Forecast!G5</f>
        <v>2015</v>
      </c>
      <c r="F20" s="136">
        <f>Forecast!H5</f>
        <v>2016</v>
      </c>
      <c r="H20" s="537" t="s">
        <v>321</v>
      </c>
      <c r="I20" s="557"/>
      <c r="J20" s="136">
        <f>Forecast!M5</f>
        <v>2013</v>
      </c>
      <c r="K20" s="136">
        <f>Forecast!N5</f>
        <v>2014</v>
      </c>
      <c r="L20" s="136">
        <f>Forecast!O5</f>
        <v>2015</v>
      </c>
      <c r="M20" s="136">
        <f>Forecast!P5</f>
        <v>2016</v>
      </c>
      <c r="N20" s="136" t="str">
        <f>Forecast!Q5</f>
        <v>Total</v>
      </c>
    </row>
    <row r="21" spans="1:15" ht="13.95" customHeight="1" x14ac:dyDescent="0.2">
      <c r="A21" s="5" t="s">
        <v>272</v>
      </c>
      <c r="B21" s="516">
        <f>Simul!$H32</f>
        <v>22200</v>
      </c>
      <c r="C21" s="516">
        <f>Simul!$H33</f>
        <v>20000</v>
      </c>
      <c r="D21" s="516">
        <f>Simul!$H34</f>
        <v>18000</v>
      </c>
      <c r="E21" s="516">
        <f>Simul!$H35</f>
        <v>17000</v>
      </c>
      <c r="F21" s="516">
        <f>Simul!$H36</f>
        <v>17000</v>
      </c>
      <c r="H21" s="547" t="s">
        <v>426</v>
      </c>
      <c r="I21" s="547"/>
      <c r="J21" s="521">
        <f>Simul!E36</f>
        <v>1.3</v>
      </c>
      <c r="K21" s="514">
        <v>1.3</v>
      </c>
      <c r="L21" s="514">
        <v>1.3</v>
      </c>
      <c r="M21" s="514">
        <v>1.3</v>
      </c>
      <c r="N21" s="514">
        <v>1.3</v>
      </c>
    </row>
    <row r="22" spans="1:15" ht="13.95" customHeight="1" x14ac:dyDescent="0.2">
      <c r="A22" s="5" t="s">
        <v>88</v>
      </c>
      <c r="B22" s="183">
        <v>20300</v>
      </c>
      <c r="C22" s="183">
        <v>18000</v>
      </c>
      <c r="D22" s="183">
        <v>16000</v>
      </c>
      <c r="E22" s="183">
        <v>15000</v>
      </c>
      <c r="F22" s="183">
        <v>15000</v>
      </c>
    </row>
    <row r="23" spans="1:15" ht="13.95" customHeight="1" x14ac:dyDescent="0.2">
      <c r="A23" s="5" t="s">
        <v>141</v>
      </c>
      <c r="B23" s="183">
        <v>900</v>
      </c>
      <c r="C23" s="183">
        <v>900</v>
      </c>
      <c r="D23" s="183">
        <v>700</v>
      </c>
      <c r="E23" s="183">
        <v>700</v>
      </c>
      <c r="F23" s="183">
        <v>700</v>
      </c>
      <c r="H23" s="537" t="s">
        <v>197</v>
      </c>
      <c r="I23" s="557"/>
      <c r="J23" s="136">
        <v>2012</v>
      </c>
      <c r="L23" s="8"/>
      <c r="M23" s="8"/>
    </row>
    <row r="24" spans="1:15" ht="13.95" customHeight="1" x14ac:dyDescent="0.2">
      <c r="A24" s="5" t="s">
        <v>140</v>
      </c>
      <c r="B24" s="183">
        <v>300</v>
      </c>
      <c r="C24" s="183">
        <v>300</v>
      </c>
      <c r="D24" s="183">
        <v>300</v>
      </c>
      <c r="E24" s="183">
        <v>300</v>
      </c>
      <c r="F24" s="183">
        <v>300</v>
      </c>
      <c r="H24" s="547" t="s">
        <v>91</v>
      </c>
      <c r="I24" s="547"/>
      <c r="J24" s="517">
        <f>Simul!C36</f>
        <v>1000000</v>
      </c>
    </row>
    <row r="25" spans="1:15" ht="13.95" customHeight="1" x14ac:dyDescent="0.2">
      <c r="A25" s="5" t="s">
        <v>142</v>
      </c>
      <c r="B25" s="366">
        <f>SUM(B22:B24)</f>
        <v>21500</v>
      </c>
      <c r="C25" s="366">
        <f>SUM(C22:C24)</f>
        <v>19200</v>
      </c>
      <c r="D25" s="366">
        <f>SUM(D22:D24)</f>
        <v>17000</v>
      </c>
      <c r="E25" s="366">
        <f>SUM(E22:E24)</f>
        <v>16000</v>
      </c>
      <c r="F25" s="366">
        <f>SUM(F22:F24)</f>
        <v>16000</v>
      </c>
      <c r="H25" s="547" t="s">
        <v>92</v>
      </c>
      <c r="I25" s="547"/>
      <c r="J25" s="183">
        <v>0</v>
      </c>
    </row>
    <row r="26" spans="1:15" ht="13.95" customHeight="1" x14ac:dyDescent="0.2">
      <c r="A26" s="558" t="s">
        <v>143</v>
      </c>
      <c r="B26" s="367">
        <f>B21-B25</f>
        <v>700</v>
      </c>
      <c r="C26" s="367">
        <f>C21-C25</f>
        <v>800</v>
      </c>
      <c r="D26" s="367">
        <f>D21-D25</f>
        <v>1000</v>
      </c>
      <c r="E26" s="367">
        <f>E21-E25</f>
        <v>1000</v>
      </c>
      <c r="F26" s="367">
        <f>F21-F25</f>
        <v>1000</v>
      </c>
      <c r="H26" s="547" t="s">
        <v>93</v>
      </c>
      <c r="I26" s="547"/>
      <c r="J26" s="366">
        <f>SUM(J24:J25)</f>
        <v>1000000</v>
      </c>
    </row>
    <row r="27" spans="1:15" ht="13.95" customHeight="1" x14ac:dyDescent="0.2">
      <c r="A27" s="559"/>
      <c r="B27" s="370">
        <f>B26/B25</f>
        <v>3.255813953488372E-2</v>
      </c>
      <c r="C27" s="370">
        <f>C26/C25</f>
        <v>4.1666666666666664E-2</v>
      </c>
      <c r="D27" s="370">
        <f>D26/D25</f>
        <v>5.8823529411764705E-2</v>
      </c>
      <c r="E27" s="370">
        <f>E26/E25</f>
        <v>6.25E-2</v>
      </c>
      <c r="F27" s="370">
        <f>F26/F25</f>
        <v>6.25E-2</v>
      </c>
    </row>
    <row r="28" spans="1:15" ht="13.95" customHeight="1" x14ac:dyDescent="0.2">
      <c r="A28" s="5" t="s">
        <v>125</v>
      </c>
      <c r="B28" s="371">
        <v>35000</v>
      </c>
      <c r="C28" s="371">
        <f>C21</f>
        <v>20000</v>
      </c>
      <c r="D28" s="371">
        <f>D21</f>
        <v>18000</v>
      </c>
      <c r="E28" s="371">
        <f>E21</f>
        <v>17000</v>
      </c>
      <c r="F28" s="371">
        <f>F21</f>
        <v>17000</v>
      </c>
      <c r="H28" s="290"/>
      <c r="I28" s="290"/>
      <c r="J28" s="417"/>
      <c r="K28" s="417"/>
      <c r="L28" s="417"/>
      <c r="M28" s="417"/>
      <c r="N28" s="417"/>
    </row>
    <row r="29" spans="1:15" ht="13.95" customHeight="1" x14ac:dyDescent="0.2"/>
    <row r="30" spans="1:15" ht="13.95" customHeight="1" x14ac:dyDescent="0.2">
      <c r="A30" s="537" t="s">
        <v>107</v>
      </c>
      <c r="B30" s="538"/>
      <c r="H30" s="567" t="s">
        <v>81</v>
      </c>
      <c r="I30" s="567"/>
      <c r="J30" s="567"/>
      <c r="K30" s="567"/>
    </row>
    <row r="31" spans="1:15" ht="13.95" customHeight="1" x14ac:dyDescent="0.2">
      <c r="A31" s="5" t="s">
        <v>311</v>
      </c>
      <c r="B31" s="518">
        <f>Simul!H29</f>
        <v>4.4999999999999998E-2</v>
      </c>
      <c r="H31" s="570" t="s">
        <v>120</v>
      </c>
      <c r="I31" s="570"/>
      <c r="J31" s="570"/>
      <c r="K31" s="301">
        <v>0.3</v>
      </c>
    </row>
    <row r="32" spans="1:15" ht="13.95" customHeight="1" x14ac:dyDescent="0.2">
      <c r="A32" s="5" t="s">
        <v>266</v>
      </c>
      <c r="B32" s="519">
        <f>Simul!H30</f>
        <v>36</v>
      </c>
      <c r="H32" s="569" t="s">
        <v>307</v>
      </c>
      <c r="I32" s="569"/>
      <c r="J32" s="569"/>
      <c r="K32" s="302">
        <v>1.5</v>
      </c>
    </row>
    <row r="33" spans="1:47" ht="13.95" customHeight="1" x14ac:dyDescent="0.2">
      <c r="A33" s="5" t="s">
        <v>281</v>
      </c>
      <c r="B33" s="520">
        <f>Simul!H28</f>
        <v>0.8</v>
      </c>
      <c r="H33" s="569"/>
      <c r="I33" s="569"/>
      <c r="J33" s="569"/>
      <c r="K33" s="302"/>
    </row>
    <row r="34" spans="1:47" ht="13.95" customHeight="1" x14ac:dyDescent="0.2"/>
    <row r="35" spans="1:47" x14ac:dyDescent="0.2">
      <c r="A35" s="477" t="s">
        <v>147</v>
      </c>
      <c r="B35" s="113" t="s">
        <v>67</v>
      </c>
      <c r="C35" s="113" t="s">
        <v>361</v>
      </c>
      <c r="D35" s="537" t="s">
        <v>273</v>
      </c>
      <c r="E35" s="568"/>
      <c r="F35" s="538"/>
      <c r="G35" s="113" t="s">
        <v>67</v>
      </c>
      <c r="H35" s="113" t="s">
        <v>361</v>
      </c>
      <c r="I35" s="374"/>
      <c r="J35" s="483"/>
      <c r="K35" s="483"/>
    </row>
    <row r="36" spans="1:47" x14ac:dyDescent="0.2">
      <c r="A36" s="481" t="s">
        <v>80</v>
      </c>
      <c r="B36" s="184">
        <v>0</v>
      </c>
      <c r="C36" s="184">
        <v>0</v>
      </c>
      <c r="D36" s="537" t="s">
        <v>208</v>
      </c>
      <c r="E36" s="568"/>
      <c r="F36" s="538"/>
      <c r="G36" s="184">
        <v>30</v>
      </c>
      <c r="H36" s="184">
        <v>30</v>
      </c>
      <c r="I36" s="374"/>
      <c r="J36" s="483"/>
      <c r="K36" s="483"/>
    </row>
    <row r="37" spans="1:47" x14ac:dyDescent="0.2">
      <c r="A37" s="478" t="s">
        <v>282</v>
      </c>
      <c r="B37" s="184">
        <v>30</v>
      </c>
      <c r="C37" s="184">
        <v>30</v>
      </c>
      <c r="D37" s="537" t="s">
        <v>148</v>
      </c>
      <c r="E37" s="568"/>
      <c r="F37" s="538"/>
      <c r="G37" s="184">
        <v>30</v>
      </c>
      <c r="H37" s="184">
        <v>30</v>
      </c>
      <c r="I37" s="374"/>
      <c r="J37" s="483"/>
      <c r="K37" s="483"/>
    </row>
    <row r="38" spans="1:47" x14ac:dyDescent="0.2">
      <c r="A38" s="478" t="s">
        <v>288</v>
      </c>
      <c r="B38" s="184">
        <v>30</v>
      </c>
      <c r="C38" s="184">
        <v>30</v>
      </c>
      <c r="D38" s="479" t="s">
        <v>274</v>
      </c>
      <c r="E38" s="480"/>
      <c r="F38" s="480"/>
      <c r="G38" s="184">
        <v>30</v>
      </c>
      <c r="H38" s="184">
        <v>30</v>
      </c>
      <c r="I38" s="374"/>
      <c r="J38" s="483"/>
      <c r="K38" s="483"/>
    </row>
    <row r="39" spans="1:47" x14ac:dyDescent="0.2">
      <c r="A39" s="478" t="s">
        <v>62</v>
      </c>
      <c r="B39" s="184">
        <v>30</v>
      </c>
      <c r="C39" s="184">
        <v>30</v>
      </c>
      <c r="D39" s="479"/>
      <c r="E39" s="480"/>
      <c r="F39" s="480"/>
      <c r="G39" s="390"/>
      <c r="H39" s="184"/>
      <c r="I39" s="374"/>
      <c r="J39" s="483"/>
      <c r="K39" s="483"/>
    </row>
    <row r="40" spans="1:47" x14ac:dyDescent="0.2">
      <c r="A40" s="478" t="s">
        <v>79</v>
      </c>
      <c r="B40" s="184">
        <v>30</v>
      </c>
      <c r="C40" s="184">
        <v>30</v>
      </c>
      <c r="D40" s="479"/>
      <c r="E40" s="480"/>
      <c r="F40" s="480"/>
      <c r="G40" s="184"/>
      <c r="H40" s="184"/>
      <c r="I40" s="374"/>
      <c r="J40" s="483"/>
      <c r="K40" s="483"/>
    </row>
    <row r="41" spans="1:47" x14ac:dyDescent="0.2">
      <c r="A41" s="478" t="s">
        <v>275</v>
      </c>
      <c r="B41" s="184">
        <v>30</v>
      </c>
      <c r="C41" s="184">
        <v>30</v>
      </c>
      <c r="D41" s="479"/>
      <c r="E41" s="480"/>
      <c r="F41" s="480"/>
      <c r="G41" s="184"/>
      <c r="H41" s="184"/>
      <c r="I41" s="374"/>
      <c r="J41" s="483"/>
      <c r="K41" s="483"/>
    </row>
    <row r="42" spans="1:47" x14ac:dyDescent="0.2">
      <c r="A42" s="478" t="s">
        <v>149</v>
      </c>
      <c r="B42" s="184">
        <v>30</v>
      </c>
      <c r="C42" s="184">
        <v>30</v>
      </c>
      <c r="D42" s="479"/>
      <c r="E42" s="480"/>
      <c r="F42" s="480"/>
      <c r="G42" s="184"/>
      <c r="H42" s="184"/>
      <c r="I42" s="374"/>
      <c r="J42" s="483"/>
      <c r="K42" s="483"/>
    </row>
    <row r="43" spans="1:47" x14ac:dyDescent="0.2">
      <c r="A43"/>
      <c r="B43"/>
      <c r="C43"/>
      <c r="D43"/>
      <c r="E43"/>
      <c r="F43"/>
      <c r="G43"/>
    </row>
    <row r="44" spans="1:47" ht="12" customHeight="1" x14ac:dyDescent="0.2">
      <c r="A44" s="543" t="s">
        <v>84</v>
      </c>
      <c r="B44" s="536">
        <v>2012</v>
      </c>
      <c r="C44" s="536"/>
      <c r="D44" s="536"/>
      <c r="E44" s="536"/>
      <c r="F44" s="536">
        <v>2013</v>
      </c>
      <c r="G44" s="536"/>
      <c r="H44" s="536"/>
      <c r="I44" s="536"/>
      <c r="J44" s="536">
        <v>2014</v>
      </c>
      <c r="K44" s="536"/>
      <c r="L44" s="536"/>
      <c r="M44" s="536"/>
    </row>
    <row r="45" spans="1:47" ht="12" customHeight="1" x14ac:dyDescent="0.2">
      <c r="A45" s="543"/>
      <c r="B45" s="113" t="s">
        <v>406</v>
      </c>
      <c r="C45" s="113" t="s">
        <v>407</v>
      </c>
      <c r="D45" s="113" t="s">
        <v>408</v>
      </c>
      <c r="E45" s="113" t="s">
        <v>409</v>
      </c>
      <c r="F45" s="113" t="s">
        <v>406</v>
      </c>
      <c r="G45" s="113" t="s">
        <v>407</v>
      </c>
      <c r="H45" s="113" t="s">
        <v>408</v>
      </c>
      <c r="I45" s="113" t="s">
        <v>409</v>
      </c>
      <c r="J45" s="113" t="s">
        <v>406</v>
      </c>
      <c r="K45" s="113" t="s">
        <v>407</v>
      </c>
      <c r="L45" s="113" t="s">
        <v>408</v>
      </c>
      <c r="M45" s="113" t="s">
        <v>409</v>
      </c>
    </row>
    <row r="46" spans="1:47" ht="12" customHeight="1" x14ac:dyDescent="0.2">
      <c r="A46" s="5" t="str">
        <f>A6</f>
        <v>South America</v>
      </c>
      <c r="B46" s="257">
        <v>0.1</v>
      </c>
      <c r="C46" s="257">
        <v>0.3</v>
      </c>
      <c r="D46" s="257">
        <v>0.3</v>
      </c>
      <c r="E46" s="257">
        <v>0.3</v>
      </c>
      <c r="F46" s="257">
        <v>0.25</v>
      </c>
      <c r="G46" s="257">
        <v>0.25</v>
      </c>
      <c r="H46" s="257">
        <v>0.25</v>
      </c>
      <c r="I46" s="257">
        <v>0.25</v>
      </c>
      <c r="J46" s="257">
        <v>0.25</v>
      </c>
      <c r="K46" s="257">
        <v>0.25</v>
      </c>
      <c r="L46" s="257">
        <v>0.25</v>
      </c>
      <c r="M46" s="257">
        <v>0.25</v>
      </c>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row>
    <row r="47" spans="1:47" ht="12" customHeight="1" x14ac:dyDescent="0.2">
      <c r="A47" s="5" t="str">
        <f>A7</f>
        <v>USA Canada</v>
      </c>
      <c r="B47" s="257"/>
      <c r="C47" s="257"/>
      <c r="D47" s="257"/>
      <c r="E47" s="257"/>
      <c r="F47" s="257"/>
      <c r="G47" s="257"/>
      <c r="H47" s="257">
        <v>0.3</v>
      </c>
      <c r="I47" s="257">
        <v>0.7</v>
      </c>
      <c r="J47" s="257">
        <v>0.25</v>
      </c>
      <c r="K47" s="257">
        <v>0.25</v>
      </c>
      <c r="L47" s="257">
        <v>0.25</v>
      </c>
      <c r="M47" s="257">
        <v>0.25</v>
      </c>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row>
    <row r="48" spans="1:47" ht="12" customHeight="1" x14ac:dyDescent="0.2">
      <c r="A48" s="5" t="str">
        <f>A8</f>
        <v>Europe</v>
      </c>
      <c r="B48" s="257"/>
      <c r="C48" s="257"/>
      <c r="D48" s="257">
        <v>0.3</v>
      </c>
      <c r="E48" s="257">
        <v>0.7</v>
      </c>
      <c r="F48" s="257">
        <v>0.25</v>
      </c>
      <c r="G48" s="257">
        <v>0.25</v>
      </c>
      <c r="H48" s="257">
        <v>0.25</v>
      </c>
      <c r="I48" s="257">
        <v>0.25</v>
      </c>
      <c r="J48" s="257">
        <v>0.25</v>
      </c>
      <c r="K48" s="257">
        <v>0.25</v>
      </c>
      <c r="L48" s="257">
        <v>0.25</v>
      </c>
      <c r="M48" s="257">
        <v>0.25</v>
      </c>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row>
    <row r="49" spans="1:47" ht="12" customHeight="1" x14ac:dyDescent="0.2">
      <c r="A49" s="5" t="str">
        <f>A9</f>
        <v>Africa</v>
      </c>
      <c r="B49" s="257"/>
      <c r="C49" s="257"/>
      <c r="D49" s="257">
        <v>0.3</v>
      </c>
      <c r="E49" s="257">
        <v>0.7</v>
      </c>
      <c r="F49" s="257">
        <v>0.25</v>
      </c>
      <c r="G49" s="257">
        <v>0.25</v>
      </c>
      <c r="H49" s="257">
        <v>0.25</v>
      </c>
      <c r="I49" s="257">
        <v>0.25</v>
      </c>
      <c r="J49" s="257">
        <v>0.25</v>
      </c>
      <c r="K49" s="257">
        <v>0.25</v>
      </c>
      <c r="L49" s="257">
        <v>0.25</v>
      </c>
      <c r="M49" s="257">
        <v>0.25</v>
      </c>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row>
    <row r="50" spans="1:47" ht="12" customHeight="1" x14ac:dyDescent="0.2">
      <c r="A50" s="5" t="str">
        <f>A10</f>
        <v>Asia-Pacific</v>
      </c>
      <c r="B50" s="257"/>
      <c r="C50" s="257"/>
      <c r="D50" s="257"/>
      <c r="E50" s="257"/>
      <c r="F50" s="257"/>
      <c r="G50" s="257"/>
      <c r="H50" s="257">
        <v>0.5</v>
      </c>
      <c r="I50" s="257">
        <v>0.5</v>
      </c>
      <c r="J50" s="257">
        <v>0.25</v>
      </c>
      <c r="K50" s="257">
        <v>0.25</v>
      </c>
      <c r="L50" s="257">
        <v>0.25</v>
      </c>
      <c r="M50" s="257">
        <v>0.25</v>
      </c>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row>
    <row r="51" spans="1:47" ht="12" customHeight="1" x14ac:dyDescent="0.2">
      <c r="A51" s="543" t="s">
        <v>84</v>
      </c>
      <c r="B51" s="536">
        <v>2015</v>
      </c>
      <c r="C51" s="536"/>
      <c r="D51" s="536"/>
      <c r="E51" s="536"/>
      <c r="F51" s="536">
        <v>2016</v>
      </c>
      <c r="G51" s="536"/>
      <c r="H51" s="536"/>
      <c r="I51" s="536"/>
      <c r="N51" s="185"/>
      <c r="O51" s="185"/>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row>
    <row r="52" spans="1:47" ht="12" customHeight="1" x14ac:dyDescent="0.2">
      <c r="A52" s="543"/>
      <c r="B52" s="113" t="s">
        <v>406</v>
      </c>
      <c r="C52" s="113" t="s">
        <v>407</v>
      </c>
      <c r="D52" s="113" t="s">
        <v>408</v>
      </c>
      <c r="E52" s="113" t="s">
        <v>409</v>
      </c>
      <c r="F52" s="113" t="s">
        <v>406</v>
      </c>
      <c r="G52" s="113" t="s">
        <v>407</v>
      </c>
      <c r="H52" s="113" t="s">
        <v>408</v>
      </c>
      <c r="I52" s="113" t="s">
        <v>409</v>
      </c>
      <c r="N52" s="185"/>
      <c r="O52" s="185"/>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row>
    <row r="53" spans="1:47" ht="12" customHeight="1" x14ac:dyDescent="0.2">
      <c r="A53" s="5" t="str">
        <f>A46</f>
        <v>South America</v>
      </c>
      <c r="B53" s="257">
        <v>0.25</v>
      </c>
      <c r="C53" s="257">
        <v>0.25</v>
      </c>
      <c r="D53" s="257">
        <v>0.25</v>
      </c>
      <c r="E53" s="257">
        <v>0.25</v>
      </c>
      <c r="F53" s="257">
        <v>0.25</v>
      </c>
      <c r="G53" s="257">
        <v>0.25</v>
      </c>
      <c r="H53" s="257">
        <v>0.25</v>
      </c>
      <c r="I53" s="257">
        <v>0.25</v>
      </c>
      <c r="N53" s="185"/>
      <c r="O53" s="185"/>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row>
    <row r="54" spans="1:47" ht="12" customHeight="1" x14ac:dyDescent="0.2">
      <c r="A54" s="5" t="str">
        <f>A47</f>
        <v>USA Canada</v>
      </c>
      <c r="B54" s="257">
        <v>0.25</v>
      </c>
      <c r="C54" s="257">
        <v>0.25</v>
      </c>
      <c r="D54" s="257">
        <v>0.25</v>
      </c>
      <c r="E54" s="257">
        <v>0.25</v>
      </c>
      <c r="F54" s="257">
        <v>0.25</v>
      </c>
      <c r="G54" s="257">
        <v>0.25</v>
      </c>
      <c r="H54" s="257">
        <v>0.25</v>
      </c>
      <c r="I54" s="257">
        <v>0.25</v>
      </c>
      <c r="N54" s="185"/>
      <c r="O54" s="185"/>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7" ht="12" customHeight="1" x14ac:dyDescent="0.2">
      <c r="A55" s="5" t="str">
        <f>A48</f>
        <v>Europe</v>
      </c>
      <c r="B55" s="257">
        <v>0.25</v>
      </c>
      <c r="C55" s="257">
        <v>0.25</v>
      </c>
      <c r="D55" s="257">
        <v>0.25</v>
      </c>
      <c r="E55" s="257">
        <v>0.25</v>
      </c>
      <c r="F55" s="257">
        <v>0.25</v>
      </c>
      <c r="G55" s="257">
        <v>0.25</v>
      </c>
      <c r="H55" s="257">
        <v>0.25</v>
      </c>
      <c r="I55" s="257">
        <v>0.25</v>
      </c>
      <c r="N55" s="185"/>
      <c r="O55" s="185"/>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7" ht="12" customHeight="1" x14ac:dyDescent="0.2">
      <c r="A56" s="5" t="str">
        <f>A49</f>
        <v>Africa</v>
      </c>
      <c r="B56" s="257">
        <v>0.25</v>
      </c>
      <c r="C56" s="257">
        <v>0.25</v>
      </c>
      <c r="D56" s="257">
        <v>0.25</v>
      </c>
      <c r="E56" s="257">
        <v>0.25</v>
      </c>
      <c r="F56" s="257">
        <v>0.25</v>
      </c>
      <c r="G56" s="257">
        <v>0.25</v>
      </c>
      <c r="H56" s="257">
        <v>0.25</v>
      </c>
      <c r="I56" s="257">
        <v>0.25</v>
      </c>
      <c r="N56" s="185"/>
      <c r="O56" s="185"/>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row>
    <row r="57" spans="1:47" ht="12" customHeight="1" x14ac:dyDescent="0.2">
      <c r="A57" s="5" t="str">
        <f>A50</f>
        <v>Asia-Pacific</v>
      </c>
      <c r="B57" s="257">
        <v>0.25</v>
      </c>
      <c r="C57" s="257">
        <v>0.25</v>
      </c>
      <c r="D57" s="257">
        <v>0.25</v>
      </c>
      <c r="E57" s="257">
        <v>0.25</v>
      </c>
      <c r="F57" s="257">
        <v>0.25</v>
      </c>
      <c r="G57" s="257">
        <v>0.25</v>
      </c>
      <c r="H57" s="257">
        <v>0.25</v>
      </c>
      <c r="I57" s="257">
        <v>0.25</v>
      </c>
      <c r="N57" s="185"/>
      <c r="O57" s="185"/>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row>
    <row r="58" spans="1:47" ht="12" customHeight="1" x14ac:dyDescent="0.2">
      <c r="A58"/>
      <c r="B58"/>
      <c r="J58" s="185"/>
      <c r="K58" s="185"/>
      <c r="L58" s="185"/>
      <c r="M58" s="185"/>
      <c r="N58" s="185"/>
      <c r="O58" s="185"/>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row>
    <row r="59" spans="1:47" ht="16.05" customHeight="1" x14ac:dyDescent="0.2">
      <c r="A59" s="543" t="s">
        <v>146</v>
      </c>
      <c r="B59" s="541">
        <v>2012</v>
      </c>
      <c r="C59" s="542"/>
      <c r="D59" s="541">
        <v>2013</v>
      </c>
      <c r="E59" s="542"/>
      <c r="F59" s="541">
        <v>2014</v>
      </c>
      <c r="G59" s="542"/>
      <c r="H59" s="541">
        <v>2015</v>
      </c>
      <c r="I59" s="542"/>
      <c r="J59" s="541">
        <v>2016</v>
      </c>
      <c r="K59" s="542"/>
      <c r="L59"/>
      <c r="M59"/>
      <c r="N59"/>
    </row>
    <row r="60" spans="1:47" ht="12" customHeight="1" x14ac:dyDescent="0.2">
      <c r="A60" s="543"/>
      <c r="B60" s="113" t="s">
        <v>361</v>
      </c>
      <c r="C60" s="113" t="s">
        <v>67</v>
      </c>
      <c r="D60" s="113" t="s">
        <v>361</v>
      </c>
      <c r="E60" s="113" t="s">
        <v>67</v>
      </c>
      <c r="F60" s="113" t="s">
        <v>361</v>
      </c>
      <c r="G60" s="113" t="s">
        <v>67</v>
      </c>
      <c r="H60" s="113" t="s">
        <v>361</v>
      </c>
      <c r="I60" s="113" t="s">
        <v>67</v>
      </c>
      <c r="J60" s="113" t="s">
        <v>361</v>
      </c>
      <c r="K60" s="113" t="s">
        <v>67</v>
      </c>
      <c r="L60"/>
      <c r="M60"/>
      <c r="N60"/>
    </row>
    <row r="61" spans="1:47" ht="12" customHeight="1" x14ac:dyDescent="0.2">
      <c r="A61" s="5" t="str">
        <f>A46</f>
        <v>South America</v>
      </c>
      <c r="B61" s="257">
        <v>0.4</v>
      </c>
      <c r="C61" s="388">
        <f>1-B61</f>
        <v>0.6</v>
      </c>
      <c r="D61" s="257">
        <v>0.35</v>
      </c>
      <c r="E61" s="388">
        <f>1-D61</f>
        <v>0.65</v>
      </c>
      <c r="F61" s="257">
        <v>0.3</v>
      </c>
      <c r="G61" s="388">
        <f>1-F61</f>
        <v>0.7</v>
      </c>
      <c r="H61" s="257">
        <v>0.25</v>
      </c>
      <c r="I61" s="388">
        <f>1-H61</f>
        <v>0.75</v>
      </c>
      <c r="J61" s="257">
        <v>0.2</v>
      </c>
      <c r="K61" s="388">
        <f>1-J61</f>
        <v>0.8</v>
      </c>
      <c r="L61"/>
      <c r="M61"/>
      <c r="N6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spans="1:47" ht="12" customHeight="1" x14ac:dyDescent="0.2">
      <c r="A62" s="5" t="str">
        <f>A47</f>
        <v>USA Canada</v>
      </c>
      <c r="B62" s="257"/>
      <c r="C62" s="388">
        <f t="shared" ref="C62:E63" si="3">1-B62</f>
        <v>1</v>
      </c>
      <c r="D62" s="257"/>
      <c r="E62" s="388">
        <f t="shared" si="3"/>
        <v>1</v>
      </c>
      <c r="F62" s="257"/>
      <c r="G62" s="388">
        <f>1-F62</f>
        <v>1</v>
      </c>
      <c r="H62" s="257"/>
      <c r="I62" s="388">
        <f>1-H62</f>
        <v>1</v>
      </c>
      <c r="J62" s="257"/>
      <c r="K62" s="388">
        <f>1-J62</f>
        <v>1</v>
      </c>
      <c r="L62"/>
      <c r="M62"/>
      <c r="N62"/>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spans="1:47" ht="12" customHeight="1" x14ac:dyDescent="0.2">
      <c r="A63" s="5" t="s">
        <v>69</v>
      </c>
      <c r="B63" s="257"/>
      <c r="C63" s="388">
        <f t="shared" si="3"/>
        <v>1</v>
      </c>
      <c r="D63" s="257"/>
      <c r="E63" s="388">
        <f t="shared" si="3"/>
        <v>1</v>
      </c>
      <c r="F63" s="257"/>
      <c r="G63" s="388">
        <f>1-F63</f>
        <v>1</v>
      </c>
      <c r="H63" s="257"/>
      <c r="I63" s="388">
        <f>1-H63</f>
        <v>1</v>
      </c>
      <c r="J63" s="257"/>
      <c r="K63" s="388">
        <f>1-J63</f>
        <v>1</v>
      </c>
      <c r="L63"/>
      <c r="M63"/>
      <c r="N63"/>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spans="1:47" customFormat="1" ht="12" customHeight="1" x14ac:dyDescent="0.2"/>
    <row r="65" spans="1:15" ht="12" customHeight="1" x14ac:dyDescent="0.2">
      <c r="A65" s="113" t="s">
        <v>277</v>
      </c>
      <c r="B65" s="537" t="s">
        <v>486</v>
      </c>
      <c r="C65" s="538"/>
      <c r="D65" s="537" t="s">
        <v>254</v>
      </c>
      <c r="E65" s="538"/>
      <c r="F65" s="537" t="s">
        <v>255</v>
      </c>
      <c r="G65" s="538"/>
      <c r="J65"/>
      <c r="K65"/>
      <c r="L65"/>
      <c r="M65"/>
      <c r="N65"/>
      <c r="O65"/>
    </row>
    <row r="66" spans="1:15" ht="12" customHeight="1" x14ac:dyDescent="0.2">
      <c r="A66" s="5" t="s">
        <v>116</v>
      </c>
      <c r="B66" s="550">
        <v>8180000</v>
      </c>
      <c r="C66" s="551"/>
      <c r="D66" s="550">
        <v>9000000</v>
      </c>
      <c r="E66" s="551"/>
      <c r="F66" s="550">
        <v>7500000</v>
      </c>
      <c r="G66" s="551"/>
      <c r="J66"/>
      <c r="K66"/>
      <c r="L66"/>
      <c r="M66"/>
      <c r="N66"/>
      <c r="O66"/>
    </row>
    <row r="67" spans="1:15" ht="12" customHeight="1" x14ac:dyDescent="0.2">
      <c r="A67" s="115" t="s">
        <v>491</v>
      </c>
      <c r="B67" s="546">
        <v>0.55000000000000004</v>
      </c>
      <c r="C67" s="547"/>
      <c r="D67" s="546">
        <v>0.55000000000000004</v>
      </c>
      <c r="E67" s="547"/>
      <c r="F67" s="546">
        <v>0.6</v>
      </c>
      <c r="G67" s="547"/>
      <c r="J67"/>
      <c r="K67"/>
      <c r="L67"/>
      <c r="M67"/>
      <c r="N67"/>
      <c r="O67"/>
    </row>
    <row r="68" spans="1:15" ht="12" customHeight="1" x14ac:dyDescent="0.2">
      <c r="A68" s="5" t="s">
        <v>492</v>
      </c>
      <c r="B68" s="548">
        <v>4500000</v>
      </c>
      <c r="C68" s="549"/>
      <c r="D68" s="548">
        <f>D66*D67</f>
        <v>4950000</v>
      </c>
      <c r="E68" s="549"/>
      <c r="F68" s="548">
        <f>F66*F67</f>
        <v>4500000</v>
      </c>
      <c r="G68" s="549"/>
      <c r="J68"/>
      <c r="K68"/>
      <c r="L68"/>
      <c r="M68"/>
      <c r="N68"/>
      <c r="O68"/>
    </row>
    <row r="69" spans="1:15" ht="12" customHeight="1" x14ac:dyDescent="0.2">
      <c r="A69"/>
      <c r="B69"/>
      <c r="C69"/>
      <c r="H69"/>
      <c r="I69"/>
      <c r="J69"/>
      <c r="K69"/>
      <c r="L69"/>
      <c r="M69"/>
      <c r="N69"/>
      <c r="O69"/>
    </row>
    <row r="70" spans="1:15" ht="12" customHeight="1" x14ac:dyDescent="0.2">
      <c r="A70" s="567" t="s">
        <v>300</v>
      </c>
      <c r="B70" s="395" t="s">
        <v>396</v>
      </c>
      <c r="C70" s="394">
        <v>1700000</v>
      </c>
      <c r="D70" s="395" t="s">
        <v>396</v>
      </c>
      <c r="E70" s="394">
        <v>3200000</v>
      </c>
      <c r="F70" s="395" t="s">
        <v>396</v>
      </c>
      <c r="G70" s="394" t="s">
        <v>372</v>
      </c>
      <c r="H70"/>
      <c r="I70"/>
      <c r="J70"/>
      <c r="K70"/>
      <c r="L70"/>
      <c r="M70"/>
      <c r="N70"/>
      <c r="O70"/>
    </row>
    <row r="71" spans="1:15" ht="12" customHeight="1" x14ac:dyDescent="0.2">
      <c r="A71" s="567"/>
      <c r="B71" s="395" t="s">
        <v>383</v>
      </c>
      <c r="C71" s="394">
        <v>0</v>
      </c>
      <c r="D71" s="395" t="s">
        <v>383</v>
      </c>
      <c r="E71" s="394">
        <v>1180000</v>
      </c>
      <c r="F71" s="395" t="s">
        <v>383</v>
      </c>
      <c r="G71" s="394">
        <v>2000000</v>
      </c>
      <c r="H71"/>
      <c r="I71"/>
      <c r="J71"/>
      <c r="K71"/>
      <c r="L71"/>
      <c r="M71"/>
      <c r="N71"/>
      <c r="O71"/>
    </row>
    <row r="72" spans="1:15" ht="12" customHeight="1" x14ac:dyDescent="0.2">
      <c r="A72" s="567"/>
      <c r="B72" s="395" t="s">
        <v>384</v>
      </c>
      <c r="C72" s="394">
        <v>2000000</v>
      </c>
      <c r="D72" s="395" t="s">
        <v>384</v>
      </c>
      <c r="E72" s="394">
        <v>0</v>
      </c>
      <c r="F72" s="395" t="s">
        <v>384</v>
      </c>
      <c r="G72" s="394">
        <v>2000000</v>
      </c>
      <c r="H72"/>
      <c r="I72"/>
      <c r="J72"/>
      <c r="K72"/>
      <c r="L72"/>
      <c r="M72"/>
      <c r="N72"/>
      <c r="O72"/>
    </row>
    <row r="73" spans="1:15" ht="12" customHeight="1" x14ac:dyDescent="0.2">
      <c r="A73" s="567"/>
      <c r="B73" s="395" t="s">
        <v>385</v>
      </c>
      <c r="C73" s="394">
        <v>1000000</v>
      </c>
      <c r="D73" s="395" t="s">
        <v>385</v>
      </c>
      <c r="E73" s="394">
        <v>800000</v>
      </c>
      <c r="F73" s="395" t="s">
        <v>385</v>
      </c>
      <c r="G73" s="394">
        <v>500000</v>
      </c>
      <c r="H73"/>
      <c r="I73"/>
      <c r="J73"/>
      <c r="K73"/>
      <c r="L73"/>
      <c r="M73"/>
      <c r="N73"/>
      <c r="O73"/>
    </row>
    <row r="74" spans="1:15" ht="12" customHeight="1" x14ac:dyDescent="0.2">
      <c r="A74" s="567"/>
      <c r="B74" s="395" t="s">
        <v>386</v>
      </c>
      <c r="C74" s="395">
        <f>SUM(C70:C73)</f>
        <v>4700000</v>
      </c>
      <c r="D74" s="395" t="s">
        <v>377</v>
      </c>
      <c r="E74" s="395">
        <f>SUM(E70:E73)</f>
        <v>5180000</v>
      </c>
      <c r="F74" s="395" t="s">
        <v>377</v>
      </c>
      <c r="G74" s="395">
        <f>SUM(G70:G73)</f>
        <v>4500000</v>
      </c>
      <c r="H74"/>
      <c r="I74"/>
      <c r="J74"/>
      <c r="K74"/>
      <c r="L74"/>
      <c r="M74"/>
      <c r="N74"/>
      <c r="O74"/>
    </row>
    <row r="75" spans="1:15" ht="12" customHeight="1" x14ac:dyDescent="0.2">
      <c r="A75"/>
      <c r="B75"/>
      <c r="F75"/>
      <c r="G75"/>
    </row>
    <row r="76" spans="1:15" ht="12" customHeight="1" x14ac:dyDescent="0.2">
      <c r="A76" s="544" t="s">
        <v>151</v>
      </c>
      <c r="B76" s="396" t="s">
        <v>96</v>
      </c>
      <c r="C76" s="394">
        <v>850000</v>
      </c>
      <c r="D76" s="396" t="s">
        <v>96</v>
      </c>
      <c r="E76" s="394"/>
      <c r="F76" s="396" t="s">
        <v>96</v>
      </c>
      <c r="G76" s="394"/>
    </row>
    <row r="77" spans="1:15" ht="12" customHeight="1" x14ac:dyDescent="0.2">
      <c r="A77" s="545"/>
      <c r="B77" s="396" t="s">
        <v>97</v>
      </c>
      <c r="C77" s="394">
        <v>850000</v>
      </c>
      <c r="D77" s="396" t="s">
        <v>97</v>
      </c>
      <c r="E77" s="394"/>
      <c r="F77" s="396" t="s">
        <v>97</v>
      </c>
      <c r="G77" s="394"/>
    </row>
    <row r="78" spans="1:15" ht="12" customHeight="1" x14ac:dyDescent="0.2">
      <c r="A78"/>
      <c r="B78"/>
      <c r="F78"/>
      <c r="G78"/>
    </row>
    <row r="79" spans="1:15" ht="12" customHeight="1" x14ac:dyDescent="0.2">
      <c r="A79"/>
      <c r="B79"/>
      <c r="C79"/>
      <c r="D79"/>
      <c r="E79"/>
      <c r="F79"/>
      <c r="G79"/>
    </row>
    <row r="80" spans="1:15" ht="12" customHeight="1" x14ac:dyDescent="0.2">
      <c r="A80"/>
      <c r="B80"/>
      <c r="C80"/>
      <c r="D80"/>
      <c r="E80"/>
      <c r="F80"/>
      <c r="G80"/>
    </row>
    <row r="81" spans="1:7" ht="12" customHeight="1" x14ac:dyDescent="0.2">
      <c r="A81"/>
      <c r="B81"/>
      <c r="C81"/>
      <c r="D81"/>
      <c r="E81" s="397"/>
      <c r="F81"/>
      <c r="G81" s="397"/>
    </row>
    <row r="82" spans="1:7" ht="12" customHeight="1" x14ac:dyDescent="0.2">
      <c r="A82"/>
      <c r="B82"/>
      <c r="C82"/>
      <c r="D82"/>
      <c r="E82"/>
      <c r="F82"/>
      <c r="G82"/>
    </row>
    <row r="83" spans="1:7" x14ac:dyDescent="0.2">
      <c r="A83"/>
      <c r="B83"/>
      <c r="C83"/>
      <c r="D83"/>
      <c r="E83"/>
      <c r="F83"/>
      <c r="G83"/>
    </row>
    <row r="84" spans="1:7" x14ac:dyDescent="0.2">
      <c r="A84"/>
      <c r="B84"/>
      <c r="C84"/>
      <c r="D84"/>
      <c r="E84"/>
      <c r="F84"/>
      <c r="G84"/>
    </row>
    <row r="85" spans="1:7" x14ac:dyDescent="0.2">
      <c r="A85"/>
      <c r="B85"/>
      <c r="C85"/>
      <c r="D85"/>
      <c r="E85"/>
      <c r="F85"/>
      <c r="G85"/>
    </row>
    <row r="86" spans="1:7" x14ac:dyDescent="0.2">
      <c r="A86"/>
      <c r="B86"/>
      <c r="C86"/>
      <c r="D86"/>
      <c r="E86"/>
      <c r="F86"/>
      <c r="G86"/>
    </row>
    <row r="87" spans="1:7" x14ac:dyDescent="0.2">
      <c r="A87"/>
      <c r="B87"/>
      <c r="C87"/>
      <c r="D87"/>
      <c r="E87"/>
      <c r="F87"/>
      <c r="G87"/>
    </row>
    <row r="88" spans="1:7" x14ac:dyDescent="0.2">
      <c r="A88"/>
      <c r="B88"/>
      <c r="C88"/>
      <c r="D88"/>
      <c r="E88"/>
      <c r="F88"/>
      <c r="G88"/>
    </row>
    <row r="89" spans="1:7" x14ac:dyDescent="0.2">
      <c r="A89"/>
      <c r="B89"/>
      <c r="C89"/>
      <c r="D89"/>
      <c r="E89"/>
      <c r="F89"/>
      <c r="G89"/>
    </row>
    <row r="90" spans="1:7" x14ac:dyDescent="0.2">
      <c r="A90"/>
      <c r="B90"/>
      <c r="C90"/>
      <c r="D90"/>
      <c r="E90"/>
      <c r="F90"/>
      <c r="G90"/>
    </row>
    <row r="91" spans="1:7" x14ac:dyDescent="0.2">
      <c r="A91"/>
      <c r="B91"/>
      <c r="C91"/>
      <c r="D91"/>
    </row>
  </sheetData>
  <mergeCells count="64">
    <mergeCell ref="D37:F37"/>
    <mergeCell ref="H32:J32"/>
    <mergeCell ref="H31:J31"/>
    <mergeCell ref="H30:K30"/>
    <mergeCell ref="H33:J33"/>
    <mergeCell ref="K4:K5"/>
    <mergeCell ref="J12:K12"/>
    <mergeCell ref="H21:I21"/>
    <mergeCell ref="H20:I20"/>
    <mergeCell ref="B51:E51"/>
    <mergeCell ref="F67:G67"/>
    <mergeCell ref="F68:G68"/>
    <mergeCell ref="B65:C65"/>
    <mergeCell ref="B4:B5"/>
    <mergeCell ref="E4:E5"/>
    <mergeCell ref="F51:I51"/>
    <mergeCell ref="D4:D5"/>
    <mergeCell ref="D35:F35"/>
    <mergeCell ref="D36:F36"/>
    <mergeCell ref="A70:A74"/>
    <mergeCell ref="D66:E66"/>
    <mergeCell ref="D67:E67"/>
    <mergeCell ref="D68:E68"/>
    <mergeCell ref="D65:E65"/>
    <mergeCell ref="B66:C66"/>
    <mergeCell ref="J59:K59"/>
    <mergeCell ref="N4:N5"/>
    <mergeCell ref="L12:M12"/>
    <mergeCell ref="I4:I5"/>
    <mergeCell ref="C4:C5"/>
    <mergeCell ref="I3:N3"/>
    <mergeCell ref="F4:F5"/>
    <mergeCell ref="E3:H3"/>
    <mergeCell ref="B3:C3"/>
    <mergeCell ref="L4:M4"/>
    <mergeCell ref="A1:N1"/>
    <mergeCell ref="H23:I23"/>
    <mergeCell ref="H24:I24"/>
    <mergeCell ref="H25:I25"/>
    <mergeCell ref="H26:I26"/>
    <mergeCell ref="A26:A27"/>
    <mergeCell ref="J4:J5"/>
    <mergeCell ref="B12:E12"/>
    <mergeCell ref="A12:A13"/>
    <mergeCell ref="A76:A77"/>
    <mergeCell ref="B67:C67"/>
    <mergeCell ref="B68:C68"/>
    <mergeCell ref="F65:G65"/>
    <mergeCell ref="F66:G66"/>
    <mergeCell ref="A3:A5"/>
    <mergeCell ref="G4:H4"/>
    <mergeCell ref="F12:I12"/>
    <mergeCell ref="D59:E59"/>
    <mergeCell ref="H59:I59"/>
    <mergeCell ref="B44:E44"/>
    <mergeCell ref="F44:I44"/>
    <mergeCell ref="A30:B30"/>
    <mergeCell ref="N12:O12"/>
    <mergeCell ref="J44:M44"/>
    <mergeCell ref="F59:G59"/>
    <mergeCell ref="A51:A52"/>
    <mergeCell ref="A44:A45"/>
    <mergeCell ref="A59:A60"/>
    <mergeCell ref="B59:C59"/>
  </mergeCells>
  <phoneticPr fontId="10" type="noConversion"/>
  <pageMargins left="0.51181102362204722" right="0.35433070866141736" top="0.59055118110236227" bottom="0.6692913385826772" header="0.51181102362204722" footer="0.51181102362204722"/>
  <pageSetup paperSize="0" scale="51" orientation="landscape" horizontalDpi="4294967292" verticalDpi="429496729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60"/>
  <sheetViews>
    <sheetView zoomScaleNormal="100" workbookViewId="0">
      <selection activeCell="L21" sqref="L21"/>
    </sheetView>
  </sheetViews>
  <sheetFormatPr defaultColWidth="10.6328125" defaultRowHeight="12.6" x14ac:dyDescent="0.2"/>
  <cols>
    <col min="1" max="1" width="2.36328125" style="2" customWidth="1"/>
    <col min="2" max="2" width="41.36328125" style="2" customWidth="1"/>
    <col min="3" max="3" width="7.36328125" style="2" customWidth="1"/>
    <col min="4" max="4" width="9.81640625" style="2" customWidth="1"/>
    <col min="5" max="9" width="12.81640625" style="2" customWidth="1"/>
    <col min="10" max="10" width="6.36328125" style="2" customWidth="1"/>
    <col min="11" max="11" width="10.453125" style="2" customWidth="1"/>
    <col min="12" max="15" width="10.6328125" style="2"/>
    <col min="16" max="23" width="10" style="2" customWidth="1"/>
    <col min="24" max="24" width="10.81640625" style="2" customWidth="1"/>
    <col min="25" max="45" width="10" style="2" customWidth="1"/>
    <col min="46" max="55" width="8.453125" style="2" customWidth="1"/>
    <col min="56" max="16384" width="10.6328125" style="2"/>
  </cols>
  <sheetData>
    <row r="1" spans="1:55" x14ac:dyDescent="0.2">
      <c r="A1" s="914" t="s">
        <v>499</v>
      </c>
      <c r="B1" s="915"/>
      <c r="C1" s="915"/>
      <c r="D1" s="915"/>
      <c r="E1" s="915"/>
      <c r="F1" s="915"/>
      <c r="G1" s="915"/>
      <c r="H1" s="915"/>
      <c r="I1" s="916"/>
    </row>
    <row r="2" spans="1:55" ht="21" customHeight="1" thickBot="1" x14ac:dyDescent="0.25">
      <c r="A2" s="917"/>
      <c r="B2" s="918"/>
      <c r="C2" s="918"/>
      <c r="D2" s="918"/>
      <c r="E2" s="918"/>
      <c r="F2" s="918"/>
      <c r="G2" s="918"/>
      <c r="H2" s="918"/>
      <c r="I2" s="919"/>
    </row>
    <row r="3" spans="1:55" ht="16.05" customHeight="1" x14ac:dyDescent="0.2">
      <c r="A3" s="889">
        <v>2012</v>
      </c>
      <c r="B3" s="890"/>
      <c r="C3" s="893" t="s">
        <v>198</v>
      </c>
      <c r="D3" s="894"/>
      <c r="E3" s="864" t="s">
        <v>406</v>
      </c>
      <c r="F3" s="883" t="s">
        <v>407</v>
      </c>
      <c r="G3" s="883" t="s">
        <v>408</v>
      </c>
      <c r="H3" s="885" t="s">
        <v>409</v>
      </c>
      <c r="I3" s="887" t="s">
        <v>498</v>
      </c>
      <c r="L3" s="80">
        <v>39082</v>
      </c>
      <c r="M3" s="67">
        <f t="shared" ref="M3:W3" si="0">L4+1</f>
        <v>39172</v>
      </c>
      <c r="N3" s="67">
        <f t="shared" si="0"/>
        <v>39263</v>
      </c>
      <c r="O3" s="67">
        <f t="shared" si="0"/>
        <v>39355</v>
      </c>
      <c r="P3" s="67">
        <f t="shared" si="0"/>
        <v>39447</v>
      </c>
      <c r="Q3" s="67">
        <f t="shared" si="0"/>
        <v>39538</v>
      </c>
      <c r="R3" s="67">
        <f t="shared" si="0"/>
        <v>39629</v>
      </c>
      <c r="S3" s="67">
        <f t="shared" si="0"/>
        <v>39721</v>
      </c>
      <c r="T3" s="85">
        <f t="shared" si="0"/>
        <v>39813</v>
      </c>
      <c r="U3" s="85">
        <f t="shared" si="0"/>
        <v>39903</v>
      </c>
      <c r="V3" s="85">
        <f t="shared" si="0"/>
        <v>39994</v>
      </c>
      <c r="W3" s="85">
        <f t="shared" si="0"/>
        <v>40086</v>
      </c>
      <c r="X3" s="85">
        <f t="shared" ref="X3:BC3" si="1">W4+1</f>
        <v>40178</v>
      </c>
      <c r="Y3" s="85">
        <f t="shared" si="1"/>
        <v>40268</v>
      </c>
      <c r="Z3" s="85">
        <f t="shared" si="1"/>
        <v>40359</v>
      </c>
      <c r="AA3" s="85">
        <f t="shared" si="1"/>
        <v>40451</v>
      </c>
      <c r="AB3" s="85">
        <f t="shared" si="1"/>
        <v>40543</v>
      </c>
      <c r="AC3" s="85">
        <f t="shared" si="1"/>
        <v>40633</v>
      </c>
      <c r="AD3" s="85">
        <f t="shared" si="1"/>
        <v>40724</v>
      </c>
      <c r="AE3" s="85">
        <f t="shared" si="1"/>
        <v>40816</v>
      </c>
      <c r="AF3" s="85">
        <f t="shared" si="1"/>
        <v>40908</v>
      </c>
      <c r="AG3" s="85">
        <f t="shared" si="1"/>
        <v>40999</v>
      </c>
      <c r="AH3" s="85">
        <f t="shared" si="1"/>
        <v>41090</v>
      </c>
      <c r="AI3" s="85">
        <f t="shared" si="1"/>
        <v>41182</v>
      </c>
      <c r="AJ3" s="85">
        <f t="shared" si="1"/>
        <v>41274</v>
      </c>
      <c r="AK3" s="85">
        <f t="shared" si="1"/>
        <v>41364</v>
      </c>
      <c r="AL3" s="85">
        <f t="shared" si="1"/>
        <v>41455</v>
      </c>
      <c r="AM3" s="85">
        <f t="shared" si="1"/>
        <v>41547</v>
      </c>
      <c r="AN3" s="85">
        <f t="shared" si="1"/>
        <v>41639</v>
      </c>
      <c r="AO3" s="85">
        <f t="shared" si="1"/>
        <v>41729</v>
      </c>
      <c r="AP3" s="85">
        <f t="shared" si="1"/>
        <v>41820</v>
      </c>
      <c r="AQ3" s="85">
        <f t="shared" si="1"/>
        <v>41912</v>
      </c>
      <c r="AR3" s="85">
        <f t="shared" si="1"/>
        <v>42004</v>
      </c>
      <c r="AS3" s="85">
        <f t="shared" si="1"/>
        <v>42094</v>
      </c>
      <c r="AT3" s="85">
        <f t="shared" si="1"/>
        <v>42185</v>
      </c>
      <c r="AU3" s="85">
        <f t="shared" si="1"/>
        <v>42277</v>
      </c>
      <c r="AV3" s="85">
        <f t="shared" si="1"/>
        <v>42369</v>
      </c>
      <c r="AW3" s="85">
        <f t="shared" si="1"/>
        <v>42460</v>
      </c>
      <c r="AX3" s="85">
        <f t="shared" si="1"/>
        <v>42551</v>
      </c>
      <c r="AY3" s="85">
        <f t="shared" si="1"/>
        <v>42643</v>
      </c>
      <c r="AZ3" s="85">
        <f t="shared" si="1"/>
        <v>42735</v>
      </c>
      <c r="BA3" s="85">
        <f t="shared" si="1"/>
        <v>42825</v>
      </c>
      <c r="BB3" s="85">
        <f t="shared" si="1"/>
        <v>42916</v>
      </c>
      <c r="BC3" s="85">
        <f t="shared" si="1"/>
        <v>43008</v>
      </c>
    </row>
    <row r="4" spans="1:55" ht="16.05" customHeight="1" thickBot="1" x14ac:dyDescent="0.25">
      <c r="A4" s="891"/>
      <c r="B4" s="892"/>
      <c r="C4" s="895"/>
      <c r="D4" s="896"/>
      <c r="E4" s="865"/>
      <c r="F4" s="884"/>
      <c r="G4" s="884"/>
      <c r="H4" s="886"/>
      <c r="I4" s="888"/>
      <c r="L4" s="80">
        <v>39171</v>
      </c>
      <c r="M4" s="80">
        <v>39262</v>
      </c>
      <c r="N4" s="80">
        <v>39354</v>
      </c>
      <c r="O4" s="80">
        <v>39446</v>
      </c>
      <c r="P4" s="80">
        <v>39537</v>
      </c>
      <c r="Q4" s="80">
        <v>39628</v>
      </c>
      <c r="R4" s="80">
        <v>39720</v>
      </c>
      <c r="S4" s="80">
        <v>39812</v>
      </c>
      <c r="T4" s="80">
        <v>39902</v>
      </c>
      <c r="U4" s="80">
        <v>39993</v>
      </c>
      <c r="V4" s="80">
        <v>40085</v>
      </c>
      <c r="W4" s="80">
        <v>40177</v>
      </c>
      <c r="X4" s="80">
        <v>40267</v>
      </c>
      <c r="Y4" s="80">
        <v>40358</v>
      </c>
      <c r="Z4" s="80">
        <v>40450</v>
      </c>
      <c r="AA4" s="80">
        <v>40542</v>
      </c>
      <c r="AB4" s="80">
        <v>40632</v>
      </c>
      <c r="AC4" s="80">
        <v>40723</v>
      </c>
      <c r="AD4" s="80">
        <v>40815</v>
      </c>
      <c r="AE4" s="80">
        <v>40907</v>
      </c>
      <c r="AF4" s="80">
        <v>40998</v>
      </c>
      <c r="AG4" s="80">
        <v>41089</v>
      </c>
      <c r="AH4" s="80">
        <v>41181</v>
      </c>
      <c r="AI4" s="80">
        <v>41273</v>
      </c>
      <c r="AJ4" s="80">
        <v>41363</v>
      </c>
      <c r="AK4" s="80">
        <v>41454</v>
      </c>
      <c r="AL4" s="80">
        <v>41546</v>
      </c>
      <c r="AM4" s="80">
        <v>41638</v>
      </c>
      <c r="AN4" s="80">
        <v>41728</v>
      </c>
      <c r="AO4" s="80">
        <v>41819</v>
      </c>
      <c r="AP4" s="80">
        <v>41911</v>
      </c>
      <c r="AQ4" s="80">
        <v>42003</v>
      </c>
      <c r="AR4" s="80">
        <v>42093</v>
      </c>
      <c r="AS4" s="80">
        <v>42184</v>
      </c>
      <c r="AT4" s="80">
        <v>42276</v>
      </c>
      <c r="AU4" s="80">
        <v>42368</v>
      </c>
      <c r="AV4" s="80">
        <v>42459</v>
      </c>
      <c r="AW4" s="80">
        <v>42550</v>
      </c>
      <c r="AX4" s="80">
        <v>42642</v>
      </c>
      <c r="AY4" s="80">
        <v>42734</v>
      </c>
      <c r="AZ4" s="80">
        <v>42824</v>
      </c>
      <c r="BA4" s="80">
        <v>42915</v>
      </c>
      <c r="BB4" s="80">
        <v>43007</v>
      </c>
      <c r="BC4" s="80">
        <v>43099</v>
      </c>
    </row>
    <row r="5" spans="1:55" ht="15" customHeight="1" x14ac:dyDescent="0.2">
      <c r="A5" s="878" t="s">
        <v>318</v>
      </c>
      <c r="B5" s="870" t="s">
        <v>347</v>
      </c>
      <c r="C5" s="95" t="s">
        <v>374</v>
      </c>
      <c r="D5" s="94">
        <f>1-Parameters!N$6</f>
        <v>0</v>
      </c>
      <c r="E5" s="96">
        <f>ROUND(Calculations!D3*$D5,0)</f>
        <v>0</v>
      </c>
      <c r="F5" s="96">
        <f>ROUND(Calculations!E3*$D5,0)</f>
        <v>0</v>
      </c>
      <c r="G5" s="96">
        <f>ROUND(Calculations!F3*$D5,0)</f>
        <v>0</v>
      </c>
      <c r="H5" s="96">
        <f>ROUND(Calculations!G3*$D5,0)</f>
        <v>0</v>
      </c>
      <c r="I5" s="103">
        <f>SUM(E5:H5)</f>
        <v>0</v>
      </c>
      <c r="L5" s="88"/>
      <c r="M5" s="88"/>
      <c r="N5" s="88"/>
      <c r="O5" s="88"/>
      <c r="P5" s="85">
        <f>P3</f>
        <v>39447</v>
      </c>
      <c r="Q5" s="85">
        <f>Q3</f>
        <v>39538</v>
      </c>
      <c r="R5" s="85">
        <f>R3</f>
        <v>39629</v>
      </c>
      <c r="S5" s="85">
        <f>S3</f>
        <v>39721</v>
      </c>
      <c r="T5" s="88"/>
      <c r="U5" s="88"/>
      <c r="V5" s="88"/>
      <c r="W5" s="88"/>
      <c r="Y5"/>
    </row>
    <row r="6" spans="1:55" ht="15" customHeight="1" x14ac:dyDescent="0.2">
      <c r="A6" s="880"/>
      <c r="B6" s="688"/>
      <c r="C6" s="688" t="s">
        <v>139</v>
      </c>
      <c r="D6" s="871"/>
      <c r="E6" s="92">
        <f>SUM(E5:E5)</f>
        <v>0</v>
      </c>
      <c r="F6" s="92">
        <f>SUM(F5:F5)</f>
        <v>0</v>
      </c>
      <c r="G6" s="92">
        <f>SUM(G5:G5)</f>
        <v>0</v>
      </c>
      <c r="H6" s="92">
        <f>SUM(H5:H5)</f>
        <v>0</v>
      </c>
      <c r="I6" s="872">
        <f>H7</f>
        <v>0</v>
      </c>
      <c r="L6"/>
      <c r="M6"/>
      <c r="N6"/>
      <c r="O6"/>
      <c r="P6"/>
      <c r="Q6"/>
      <c r="R6"/>
      <c r="S6"/>
      <c r="T6"/>
      <c r="U6"/>
      <c r="V6"/>
      <c r="W6"/>
      <c r="X6"/>
      <c r="Y6"/>
      <c r="Z6"/>
      <c r="AA6"/>
      <c r="AB6"/>
    </row>
    <row r="7" spans="1:55" ht="15" customHeight="1" x14ac:dyDescent="0.2">
      <c r="A7" s="880"/>
      <c r="B7" s="688"/>
      <c r="C7" s="874" t="s">
        <v>331</v>
      </c>
      <c r="D7" s="875"/>
      <c r="E7" s="105">
        <f>E6</f>
        <v>0</v>
      </c>
      <c r="F7" s="15">
        <f>E7+F6</f>
        <v>0</v>
      </c>
      <c r="G7" s="15">
        <f>F7+G6</f>
        <v>0</v>
      </c>
      <c r="H7" s="15">
        <f>G7+H6</f>
        <v>0</v>
      </c>
      <c r="I7" s="873"/>
    </row>
    <row r="8" spans="1:55" ht="15" customHeight="1" x14ac:dyDescent="0.2">
      <c r="A8" s="880"/>
      <c r="B8" s="688" t="s">
        <v>411</v>
      </c>
      <c r="C8" s="65" t="s">
        <v>405</v>
      </c>
      <c r="D8" s="104">
        <f>Parameters!$B$21</f>
        <v>22200</v>
      </c>
      <c r="E8" s="72">
        <f>E6*$D8</f>
        <v>0</v>
      </c>
      <c r="F8" s="72">
        <f>F6*$D8</f>
        <v>0</v>
      </c>
      <c r="G8" s="72">
        <f>G6*$D8</f>
        <v>0</v>
      </c>
      <c r="H8" s="72">
        <f>H6*$D8</f>
        <v>0</v>
      </c>
      <c r="I8" s="106">
        <f>SUM(E8:H8)</f>
        <v>0</v>
      </c>
      <c r="L8" s="60" t="s">
        <v>196</v>
      </c>
      <c r="M8" s="79">
        <f>P5+$D9</f>
        <v>39447</v>
      </c>
      <c r="N8" s="79">
        <f>Q5+$D9</f>
        <v>39538</v>
      </c>
      <c r="O8" s="79">
        <f>R5+$D9</f>
        <v>39629</v>
      </c>
      <c r="P8" s="79">
        <f>S5+$D9</f>
        <v>39721</v>
      </c>
      <c r="X8" s="69" t="s">
        <v>366</v>
      </c>
    </row>
    <row r="9" spans="1:55" ht="15" customHeight="1" thickBot="1" x14ac:dyDescent="0.25">
      <c r="A9" s="881"/>
      <c r="B9" s="882"/>
      <c r="C9" s="70" t="s">
        <v>332</v>
      </c>
      <c r="D9" s="84">
        <f>Parameters!$B$36</f>
        <v>0</v>
      </c>
      <c r="E9" s="72">
        <f>SUM(L9:P9)+L38</f>
        <v>0</v>
      </c>
      <c r="F9" s="66">
        <f>Q9+M38</f>
        <v>0</v>
      </c>
      <c r="G9" s="66">
        <f>R9+N38</f>
        <v>0</v>
      </c>
      <c r="H9" s="66">
        <f>S9+O38</f>
        <v>0</v>
      </c>
      <c r="I9" s="89">
        <f>SUM(E9:H9)</f>
        <v>0</v>
      </c>
      <c r="L9" s="68">
        <f>IF($M8&lt;=L4,$E8,IF($N8&lt;=L4,$F8,IF($O8&lt;=L4,$G8,IF($P8&lt;=L4,$H8,))))</f>
        <v>0</v>
      </c>
      <c r="M9" s="68">
        <f t="shared" ref="M9:W9" si="2">IF(AND($M8&gt;L4,$M8&lt;=M4),$E8,IF(AND($N8&gt;L4,$N8&lt;=M4),$F8,IF(AND($O8&gt;L4,$O8&lt;=M4),$G8,IF(AND($P8&gt;L4,$P8&lt;=M4),$H8,))))</f>
        <v>0</v>
      </c>
      <c r="N9" s="68">
        <f t="shared" si="2"/>
        <v>0</v>
      </c>
      <c r="O9" s="68">
        <f t="shared" si="2"/>
        <v>0</v>
      </c>
      <c r="P9" s="68">
        <f t="shared" si="2"/>
        <v>0</v>
      </c>
      <c r="Q9" s="68">
        <f t="shared" si="2"/>
        <v>0</v>
      </c>
      <c r="R9" s="68">
        <f t="shared" si="2"/>
        <v>0</v>
      </c>
      <c r="S9" s="68">
        <f t="shared" si="2"/>
        <v>0</v>
      </c>
      <c r="T9" s="68">
        <f t="shared" si="2"/>
        <v>0</v>
      </c>
      <c r="U9" s="68">
        <f t="shared" si="2"/>
        <v>0</v>
      </c>
      <c r="V9" s="68">
        <f t="shared" si="2"/>
        <v>0</v>
      </c>
      <c r="W9" s="68">
        <f t="shared" si="2"/>
        <v>0</v>
      </c>
      <c r="X9" s="68">
        <f>SUM(L9:W9)</f>
        <v>0</v>
      </c>
    </row>
    <row r="10" spans="1:55" ht="15" customHeight="1" x14ac:dyDescent="0.2">
      <c r="A10" s="866" t="s">
        <v>206</v>
      </c>
      <c r="B10" s="870" t="s">
        <v>317</v>
      </c>
      <c r="C10" s="95" t="str">
        <f>C5</f>
        <v>S. Amer.</v>
      </c>
      <c r="D10" s="94">
        <f>1-D5</f>
        <v>1</v>
      </c>
      <c r="E10" s="96">
        <f>Calculations!D3-E5</f>
        <v>5</v>
      </c>
      <c r="F10" s="97">
        <f>Calculations!E3-F5</f>
        <v>15</v>
      </c>
      <c r="G10" s="97">
        <f>Calculations!F3-G5</f>
        <v>15</v>
      </c>
      <c r="H10" s="96">
        <f>Calculations!G3-H5</f>
        <v>15</v>
      </c>
      <c r="I10" s="103">
        <f>SUM(E10:H10)</f>
        <v>50</v>
      </c>
    </row>
    <row r="11" spans="1:55" ht="15" customHeight="1" x14ac:dyDescent="0.2">
      <c r="A11" s="868"/>
      <c r="B11" s="688"/>
      <c r="C11" s="688" t="s">
        <v>139</v>
      </c>
      <c r="D11" s="871"/>
      <c r="E11" s="92">
        <f>SUM(E10:E10)</f>
        <v>5</v>
      </c>
      <c r="F11" s="10">
        <f>SUM(F10:F10)</f>
        <v>15</v>
      </c>
      <c r="G11" s="10">
        <f>SUM(G10:G10)</f>
        <v>15</v>
      </c>
      <c r="H11" s="101">
        <f>SUM(H10:H10)</f>
        <v>15</v>
      </c>
      <c r="I11" s="872">
        <f>H12</f>
        <v>50</v>
      </c>
      <c r="L11"/>
      <c r="M11"/>
      <c r="N11"/>
      <c r="O11"/>
      <c r="P11"/>
      <c r="Q11"/>
      <c r="R11"/>
      <c r="S11"/>
      <c r="T11"/>
      <c r="U11"/>
      <c r="V11"/>
      <c r="W11"/>
      <c r="X11"/>
      <c r="Y11"/>
    </row>
    <row r="12" spans="1:55" ht="15" customHeight="1" x14ac:dyDescent="0.2">
      <c r="A12" s="868"/>
      <c r="B12" s="688"/>
      <c r="C12" s="874" t="s">
        <v>331</v>
      </c>
      <c r="D12" s="875"/>
      <c r="E12" s="105">
        <f>E11</f>
        <v>5</v>
      </c>
      <c r="F12" s="15">
        <f>F11+E12</f>
        <v>20</v>
      </c>
      <c r="G12" s="15">
        <f>G11+F12</f>
        <v>35</v>
      </c>
      <c r="H12" s="15">
        <f>H11+G12</f>
        <v>50</v>
      </c>
      <c r="I12" s="873"/>
      <c r="L12"/>
      <c r="M12"/>
      <c r="N12"/>
      <c r="O12"/>
      <c r="P12"/>
      <c r="Q12"/>
      <c r="R12"/>
      <c r="S12"/>
      <c r="T12"/>
      <c r="U12"/>
      <c r="V12"/>
      <c r="W12"/>
      <c r="X12"/>
      <c r="Y12"/>
    </row>
    <row r="13" spans="1:55" ht="15" customHeight="1" x14ac:dyDescent="0.2">
      <c r="A13" s="868"/>
      <c r="B13" s="566" t="s">
        <v>68</v>
      </c>
      <c r="C13" s="688" t="s">
        <v>280</v>
      </c>
      <c r="D13" s="871"/>
      <c r="E13" s="72">
        <f>E11*$D8</f>
        <v>111000</v>
      </c>
      <c r="F13" s="66">
        <f>F11*$D8</f>
        <v>333000</v>
      </c>
      <c r="G13" s="66">
        <f>G11*$D8</f>
        <v>333000</v>
      </c>
      <c r="H13" s="86">
        <f>H11*$D8</f>
        <v>333000</v>
      </c>
      <c r="I13" s="74">
        <f>SUM(E13:H13)</f>
        <v>1110000</v>
      </c>
    </row>
    <row r="14" spans="1:55" ht="15" customHeight="1" x14ac:dyDescent="0.2">
      <c r="A14" s="868"/>
      <c r="B14" s="566"/>
      <c r="C14" s="65" t="s">
        <v>413</v>
      </c>
      <c r="D14" s="87">
        <f>1-Parameters!$B$33</f>
        <v>0.19999999999999996</v>
      </c>
      <c r="E14" s="72">
        <f>E13*$D14</f>
        <v>22199.999999999996</v>
      </c>
      <c r="F14" s="66">
        <f>F13*$D14</f>
        <v>66599.999999999985</v>
      </c>
      <c r="G14" s="66">
        <f>G13*$D14</f>
        <v>66599.999999999985</v>
      </c>
      <c r="H14" s="86">
        <f>H13*$D14</f>
        <v>66599.999999999985</v>
      </c>
      <c r="I14" s="106">
        <f>SUM(E14:H14)</f>
        <v>221999.99999999994</v>
      </c>
      <c r="L14" s="60" t="s">
        <v>196</v>
      </c>
      <c r="M14" s="79">
        <f>P5+$D15</f>
        <v>39447</v>
      </c>
      <c r="N14" s="79">
        <f>Q5+$D15</f>
        <v>39538</v>
      </c>
      <c r="O14" s="79">
        <f>R5+$D15</f>
        <v>39629</v>
      </c>
      <c r="P14" s="79">
        <f>S5+$D15</f>
        <v>39721</v>
      </c>
      <c r="X14" s="69" t="s">
        <v>366</v>
      </c>
    </row>
    <row r="15" spans="1:55" ht="15" customHeight="1" x14ac:dyDescent="0.2">
      <c r="A15" s="868"/>
      <c r="B15" s="566"/>
      <c r="C15" s="5" t="s">
        <v>332</v>
      </c>
      <c r="D15" s="73">
        <f>Parameters!$B$36</f>
        <v>0</v>
      </c>
      <c r="E15" s="72">
        <f>SUM(L15:P15)+L44</f>
        <v>22199.999999999996</v>
      </c>
      <c r="F15" s="66">
        <f>Q15+M44</f>
        <v>66599.999999999985</v>
      </c>
      <c r="G15" s="66">
        <f>R15+N44</f>
        <v>66599.999999999985</v>
      </c>
      <c r="H15" s="66">
        <f>S15+O44</f>
        <v>66599.999999999985</v>
      </c>
      <c r="I15" s="74">
        <f>SUM(E15:H15)</f>
        <v>221999.99999999994</v>
      </c>
      <c r="L15" s="68">
        <f>IF($M14&lt;=L4,$E14,IF($N14&lt;=L4,$F14,IF($O14&lt;=L4,$G14,IF($P14&lt;=L4,$H14,))))</f>
        <v>0</v>
      </c>
      <c r="M15" s="68">
        <f t="shared" ref="M15:W15" si="3">IF(AND($M14&gt;L4,$M14&lt;=M4),$E14,IF(AND($N14&gt;L4,$N14&lt;=M4),$F14,IF(AND($O14&gt;L4,$O14&lt;=M4),$G14,IF(AND($P14&gt;L4,$P14&lt;=M4),$H14,))))</f>
        <v>0</v>
      </c>
      <c r="N15" s="68">
        <f t="shared" si="3"/>
        <v>0</v>
      </c>
      <c r="O15" s="68">
        <f t="shared" si="3"/>
        <v>0</v>
      </c>
      <c r="P15" s="68">
        <f t="shared" si="3"/>
        <v>22199.999999999996</v>
      </c>
      <c r="Q15" s="68">
        <f t="shared" si="3"/>
        <v>66599.999999999985</v>
      </c>
      <c r="R15" s="68">
        <f t="shared" si="3"/>
        <v>66599.999999999985</v>
      </c>
      <c r="S15" s="68">
        <f t="shared" si="3"/>
        <v>66599.999999999985</v>
      </c>
      <c r="T15" s="68">
        <f t="shared" si="3"/>
        <v>0</v>
      </c>
      <c r="U15" s="68">
        <f t="shared" si="3"/>
        <v>0</v>
      </c>
      <c r="V15" s="68">
        <f t="shared" si="3"/>
        <v>0</v>
      </c>
      <c r="W15" s="68">
        <f t="shared" si="3"/>
        <v>0</v>
      </c>
      <c r="X15" s="68">
        <f>SUM(L15:W15)</f>
        <v>221999.99999999994</v>
      </c>
    </row>
    <row r="16" spans="1:55" ht="15" customHeight="1" x14ac:dyDescent="0.2">
      <c r="A16" s="868"/>
      <c r="B16" s="566"/>
      <c r="C16" s="65" t="s">
        <v>391</v>
      </c>
      <c r="D16" s="87">
        <f>Parameters!$B$33</f>
        <v>0.8</v>
      </c>
      <c r="E16" s="72">
        <f>E13*$D16</f>
        <v>88800</v>
      </c>
      <c r="F16" s="72">
        <f>F13*$D16</f>
        <v>266400</v>
      </c>
      <c r="G16" s="72">
        <f>G13*$D16</f>
        <v>266400</v>
      </c>
      <c r="H16" s="72">
        <f>H13*$D16</f>
        <v>266400</v>
      </c>
      <c r="I16" s="74">
        <f>SUM(E16:H16)</f>
        <v>888000</v>
      </c>
    </row>
    <row r="17" spans="1:45" ht="15" customHeight="1" x14ac:dyDescent="0.2">
      <c r="A17" s="868"/>
      <c r="B17" s="566"/>
      <c r="C17" s="874" t="s">
        <v>331</v>
      </c>
      <c r="D17" s="875"/>
      <c r="E17" s="81">
        <f>E16</f>
        <v>88800</v>
      </c>
      <c r="F17" s="81">
        <f>E17+F16</f>
        <v>355200</v>
      </c>
      <c r="G17" s="81">
        <f>F17+G16</f>
        <v>621600</v>
      </c>
      <c r="H17" s="81">
        <f>G17+H16</f>
        <v>888000</v>
      </c>
      <c r="I17" s="78">
        <f>H17</f>
        <v>888000</v>
      </c>
    </row>
    <row r="18" spans="1:45" ht="15" customHeight="1" x14ac:dyDescent="0.2">
      <c r="A18" s="868"/>
      <c r="B18" s="566"/>
      <c r="C18" s="537" t="s">
        <v>390</v>
      </c>
      <c r="D18" s="907"/>
      <c r="E18" s="107">
        <f>L29</f>
        <v>3962.2903405196275</v>
      </c>
      <c r="F18" s="107">
        <f>M29</f>
        <v>19811.45170259814</v>
      </c>
      <c r="G18" s="107">
        <f>N29</f>
        <v>43585.193745715907</v>
      </c>
      <c r="H18" s="107">
        <f>O29</f>
        <v>67358.935788833667</v>
      </c>
      <c r="I18" s="74">
        <f>SUM(E18:H18)</f>
        <v>134717.87157766736</v>
      </c>
      <c r="L18" s="60" t="s">
        <v>196</v>
      </c>
      <c r="M18" s="79">
        <f>P5+$D19</f>
        <v>39477</v>
      </c>
      <c r="N18" s="79">
        <f>Q5+$D19</f>
        <v>39568</v>
      </c>
      <c r="O18" s="79">
        <f>R5+$D19</f>
        <v>39659</v>
      </c>
      <c r="P18" s="79">
        <f>S5+$D19</f>
        <v>39751</v>
      </c>
      <c r="X18" s="69" t="s">
        <v>366</v>
      </c>
    </row>
    <row r="19" spans="1:45" ht="15" customHeight="1" x14ac:dyDescent="0.2">
      <c r="A19" s="868"/>
      <c r="B19" s="906"/>
      <c r="C19" s="75" t="s">
        <v>332</v>
      </c>
      <c r="D19" s="76">
        <f>Parameters!$B$37</f>
        <v>30</v>
      </c>
      <c r="E19" s="112">
        <f>SUM(L19:P19)</f>
        <v>3962.2903405196275</v>
      </c>
      <c r="F19" s="71">
        <f>Q19</f>
        <v>19811.45170259814</v>
      </c>
      <c r="G19" s="71">
        <f>R19</f>
        <v>43585.193745715907</v>
      </c>
      <c r="H19" s="71">
        <f>S19</f>
        <v>67358.935788833667</v>
      </c>
      <c r="I19" s="77">
        <f>SUM(E19:H19)</f>
        <v>134717.87157766736</v>
      </c>
      <c r="L19" s="68">
        <f>IF($M18&lt;=L4,$E18,IF($N18&lt;=L4,$F18,IF($O18&lt;=L4,$G18,IF($P18&lt;=L4,$H18,))))</f>
        <v>0</v>
      </c>
      <c r="M19" s="68">
        <f t="shared" ref="M19:W19" si="4">IF(AND($M18&gt;L4,$M18&lt;=M4),$E18,IF(AND($N18&gt;L4,$N18&lt;=M4),$F18,IF(AND($O18&gt;L4,$O18&lt;=M4),$G18,IF(AND($P18&gt;L4,$P18&lt;=M4),$H18,))))</f>
        <v>0</v>
      </c>
      <c r="N19" s="68">
        <f t="shared" si="4"/>
        <v>0</v>
      </c>
      <c r="O19" s="68">
        <f t="shared" si="4"/>
        <v>0</v>
      </c>
      <c r="P19" s="68">
        <f t="shared" si="4"/>
        <v>3962.2903405196275</v>
      </c>
      <c r="Q19" s="68">
        <f t="shared" si="4"/>
        <v>19811.45170259814</v>
      </c>
      <c r="R19" s="68">
        <f t="shared" si="4"/>
        <v>43585.193745715907</v>
      </c>
      <c r="S19" s="68">
        <f t="shared" si="4"/>
        <v>67358.935788833667</v>
      </c>
      <c r="T19" s="68">
        <f t="shared" si="4"/>
        <v>0</v>
      </c>
      <c r="U19" s="68">
        <f t="shared" si="4"/>
        <v>0</v>
      </c>
      <c r="V19" s="68">
        <f t="shared" si="4"/>
        <v>0</v>
      </c>
      <c r="W19" s="68">
        <f t="shared" si="4"/>
        <v>0</v>
      </c>
      <c r="X19" s="68">
        <f>SUM(L19:W19)</f>
        <v>134717.87157766736</v>
      </c>
    </row>
    <row r="20" spans="1:45" ht="15" customHeight="1" x14ac:dyDescent="0.2">
      <c r="A20" s="868"/>
      <c r="B20" s="897" t="s">
        <v>410</v>
      </c>
      <c r="C20" s="898"/>
      <c r="D20" s="898"/>
      <c r="E20" s="898"/>
      <c r="F20" s="898"/>
      <c r="G20" s="898"/>
      <c r="H20" s="898"/>
      <c r="I20" s="899"/>
      <c r="L20" s="67">
        <f t="shared" ref="L20:X20" si="5">P4</f>
        <v>39537</v>
      </c>
      <c r="M20" s="67">
        <f t="shared" si="5"/>
        <v>39628</v>
      </c>
      <c r="N20" s="67">
        <f t="shared" si="5"/>
        <v>39720</v>
      </c>
      <c r="O20" s="67">
        <f t="shared" si="5"/>
        <v>39812</v>
      </c>
      <c r="P20" s="67">
        <f t="shared" si="5"/>
        <v>39902</v>
      </c>
      <c r="Q20" s="67">
        <f t="shared" si="5"/>
        <v>39993</v>
      </c>
      <c r="R20" s="67">
        <f t="shared" si="5"/>
        <v>40085</v>
      </c>
      <c r="S20" s="67">
        <f t="shared" si="5"/>
        <v>40177</v>
      </c>
      <c r="T20" s="67">
        <f t="shared" si="5"/>
        <v>40267</v>
      </c>
      <c r="U20" s="67">
        <f t="shared" si="5"/>
        <v>40358</v>
      </c>
      <c r="V20" s="67">
        <f t="shared" si="5"/>
        <v>40450</v>
      </c>
      <c r="W20" s="67">
        <f t="shared" si="5"/>
        <v>40542</v>
      </c>
      <c r="X20" s="67">
        <f t="shared" si="5"/>
        <v>40632</v>
      </c>
      <c r="Y20" s="67">
        <f t="shared" ref="Y20:AM20" si="6">AC4</f>
        <v>40723</v>
      </c>
      <c r="Z20" s="67">
        <f t="shared" si="6"/>
        <v>40815</v>
      </c>
      <c r="AA20" s="67">
        <f t="shared" si="6"/>
        <v>40907</v>
      </c>
      <c r="AB20" s="67">
        <f t="shared" si="6"/>
        <v>40998</v>
      </c>
      <c r="AC20" s="67">
        <f t="shared" si="6"/>
        <v>41089</v>
      </c>
      <c r="AD20" s="67">
        <f t="shared" si="6"/>
        <v>41181</v>
      </c>
      <c r="AE20" s="67">
        <f t="shared" si="6"/>
        <v>41273</v>
      </c>
      <c r="AF20" s="67">
        <f t="shared" si="6"/>
        <v>41363</v>
      </c>
      <c r="AG20" s="67">
        <f t="shared" si="6"/>
        <v>41454</v>
      </c>
      <c r="AH20" s="67">
        <f t="shared" si="6"/>
        <v>41546</v>
      </c>
      <c r="AI20" s="67">
        <f t="shared" si="6"/>
        <v>41638</v>
      </c>
      <c r="AJ20" s="67">
        <f t="shared" si="6"/>
        <v>41728</v>
      </c>
      <c r="AK20" s="67">
        <f t="shared" si="6"/>
        <v>41819</v>
      </c>
      <c r="AL20" s="67">
        <f t="shared" si="6"/>
        <v>41911</v>
      </c>
      <c r="AM20" s="67">
        <f t="shared" si="6"/>
        <v>42003</v>
      </c>
    </row>
    <row r="21" spans="1:45" ht="15" customHeight="1" x14ac:dyDescent="0.2">
      <c r="A21" s="868"/>
      <c r="B21" s="900"/>
      <c r="C21" s="901"/>
      <c r="D21" s="901"/>
      <c r="E21" s="901"/>
      <c r="F21" s="901"/>
      <c r="G21" s="901"/>
      <c r="H21" s="901"/>
      <c r="I21" s="902"/>
      <c r="K21" s="110">
        <f>(-PMT(Parameters!$B$31/12,Parameters!$B$32,$E16))*Parameters!$B$32</f>
        <v>95094.968172471054</v>
      </c>
      <c r="L21" s="108">
        <f>(-PMT(Parameters!$B$31/12,Parameters!$B$32,$E16))*Parameters!$K$32</f>
        <v>3962.2903405196275</v>
      </c>
      <c r="M21" s="108">
        <f>MIN(((-PMT(Parameters!$B$31/12,Parameters!$B$32,$E16))*3),L22)</f>
        <v>7924.5806810392551</v>
      </c>
      <c r="N21" s="108">
        <f>MIN(((-PMT(Parameters!$B$31/12,Parameters!$B$32,$E16))*3),M22)</f>
        <v>7924.5806810392551</v>
      </c>
      <c r="O21" s="108">
        <f>MIN(((-PMT(Parameters!$B$31/12,Parameters!$B$32,$E16))*3),N22)</f>
        <v>7924.5806810392551</v>
      </c>
      <c r="P21" s="108">
        <f>MIN(((-PMT(Parameters!$B$31/12,Parameters!$B$32,$E16))*3),O22)</f>
        <v>7924.5806810392551</v>
      </c>
      <c r="Q21" s="108">
        <f>MIN(((-PMT(Parameters!$B$31/12,Parameters!$B$32,$E16))*3),P22)</f>
        <v>7924.5806810392551</v>
      </c>
      <c r="R21" s="108">
        <f>MIN(((-PMT(Parameters!$B$31/12,Parameters!$B$32,$E16))*3),Q22)</f>
        <v>7924.5806810392551</v>
      </c>
      <c r="S21" s="108">
        <f>MIN(((-PMT(Parameters!$B$31/12,Parameters!$B$32,$E16))*3),R22)</f>
        <v>7924.5806810392551</v>
      </c>
      <c r="T21" s="108">
        <f>MIN(((-PMT(Parameters!$B$31/12,Parameters!$B$32,$E16))*3),S22)</f>
        <v>7924.5806810392551</v>
      </c>
      <c r="U21" s="108">
        <f>MIN(((-PMT(Parameters!$B$31/12,Parameters!$B$32,$E16))*3),T22)</f>
        <v>7924.5806810392551</v>
      </c>
      <c r="V21" s="108">
        <f>MIN(((-PMT(Parameters!$B$31/12,Parameters!$B$32,$E16))*3),U22)</f>
        <v>7924.5806810392551</v>
      </c>
      <c r="W21" s="108">
        <f>MIN(((-PMT(Parameters!$B$31/12,Parameters!$B$32,$E16))*3),V22)</f>
        <v>7924.5806810392551</v>
      </c>
      <c r="X21" s="108">
        <f>MIN(((-PMT(Parameters!$B$31/12,Parameters!$B$32,$E16))*3),W22)</f>
        <v>3962.2903405196375</v>
      </c>
      <c r="Y21" s="108">
        <f>MIN(((-PMT(Parameters!$B$31/12,Parameters!$B$32,$E16))*3),X22)</f>
        <v>0</v>
      </c>
      <c r="Z21" s="108">
        <f>MIN(((-PMT(Parameters!$B$31/12,Parameters!$B$32,$E16))*3),Y22)</f>
        <v>0</v>
      </c>
      <c r="AA21" s="108">
        <f>MIN(((-PMT(Parameters!$B$31/12,Parameters!$B$32,$E16))*3),Z22)</f>
        <v>0</v>
      </c>
      <c r="AB21" s="108">
        <f>MIN(((-PMT(Parameters!$B$31/12,Parameters!$B$32,$E16))*3),AA22)</f>
        <v>0</v>
      </c>
      <c r="AC21" s="108">
        <f>MIN(((-PMT(Parameters!$B$31/12,Parameters!$B$32,$E16))*3),AB22)</f>
        <v>0</v>
      </c>
      <c r="AD21" s="108">
        <f>MIN(((-PMT(Parameters!$B$31/12,Parameters!$B$32,$E16))*3),AC22)</f>
        <v>0</v>
      </c>
      <c r="AE21" s="108">
        <f>MIN(((-PMT(Parameters!$B$31/12,Parameters!$B$32,$E16))*3),AD22)</f>
        <v>0</v>
      </c>
      <c r="AF21" s="108">
        <f>MIN(((-PMT(Parameters!$B$31/12,Parameters!$B$32,$E16))*3),AE22)</f>
        <v>0</v>
      </c>
      <c r="AG21" s="108">
        <f>MIN(((-PMT(Parameters!$B$31/12,Parameters!$B$32,$E16))*3),AF22)</f>
        <v>0</v>
      </c>
      <c r="AH21" s="108">
        <f>MIN(((-PMT(Parameters!$B$31/12,Parameters!$B$32,$E16))*3),AG22)</f>
        <v>0</v>
      </c>
      <c r="AI21" s="108">
        <f>MIN(((-PMT(Parameters!$B$31/12,Parameters!$B$32,$E16))*3),AH22)</f>
        <v>0</v>
      </c>
      <c r="AJ21" s="108">
        <f>MIN(((-PMT(Parameters!$B$31/12,Parameters!$B$32,$E16))*3),AI22)</f>
        <v>0</v>
      </c>
      <c r="AK21" s="108">
        <f>MIN(((-PMT(Parameters!$B$31/12,Parameters!$B$32,$E16))*3),AJ22)</f>
        <v>0</v>
      </c>
      <c r="AL21" s="108">
        <f>MIN(((-PMT(Parameters!$B$31/12,Parameters!$B$32,$E16))*3),AK22)</f>
        <v>0</v>
      </c>
      <c r="AM21" s="108">
        <f>MIN(((-PMT(Parameters!$B$31/12,Parameters!$B$32,$E16))*3),AL22)</f>
        <v>0</v>
      </c>
    </row>
    <row r="22" spans="1:45" ht="15" customHeight="1" x14ac:dyDescent="0.2">
      <c r="A22" s="868"/>
      <c r="B22" s="900"/>
      <c r="C22" s="901"/>
      <c r="D22" s="901"/>
      <c r="E22" s="901"/>
      <c r="F22" s="901"/>
      <c r="G22" s="901"/>
      <c r="H22" s="901"/>
      <c r="I22" s="902"/>
      <c r="L22" s="109">
        <f>K21-L21</f>
        <v>91132.677831951427</v>
      </c>
      <c r="M22" s="109">
        <f>L22-M21</f>
        <v>83208.097150912174</v>
      </c>
      <c r="N22" s="109">
        <f t="shared" ref="N22:AM22" si="7">M22-N21</f>
        <v>75283.51646987292</v>
      </c>
      <c r="O22" s="109">
        <f t="shared" si="7"/>
        <v>67358.935788833667</v>
      </c>
      <c r="P22" s="109">
        <f t="shared" si="7"/>
        <v>59434.355107794414</v>
      </c>
      <c r="Q22" s="109">
        <f t="shared" si="7"/>
        <v>51509.774426755161</v>
      </c>
      <c r="R22" s="109">
        <f t="shared" si="7"/>
        <v>43585.193745715907</v>
      </c>
      <c r="S22" s="109">
        <f t="shared" si="7"/>
        <v>35660.613064676654</v>
      </c>
      <c r="T22" s="109">
        <f t="shared" si="7"/>
        <v>27736.032383637401</v>
      </c>
      <c r="U22" s="109">
        <f t="shared" si="7"/>
        <v>19811.451702598148</v>
      </c>
      <c r="V22" s="109">
        <f t="shared" si="7"/>
        <v>11886.871021558893</v>
      </c>
      <c r="W22" s="109">
        <f t="shared" si="7"/>
        <v>3962.2903405196375</v>
      </c>
      <c r="X22" s="109">
        <f t="shared" si="7"/>
        <v>0</v>
      </c>
      <c r="Y22" s="109">
        <f>X22-Y21</f>
        <v>0</v>
      </c>
      <c r="Z22" s="109">
        <f t="shared" si="7"/>
        <v>0</v>
      </c>
      <c r="AA22" s="109">
        <f t="shared" si="7"/>
        <v>0</v>
      </c>
      <c r="AB22" s="109">
        <f t="shared" si="7"/>
        <v>0</v>
      </c>
      <c r="AC22" s="109">
        <f t="shared" si="7"/>
        <v>0</v>
      </c>
      <c r="AD22" s="109">
        <f t="shared" si="7"/>
        <v>0</v>
      </c>
      <c r="AE22" s="109">
        <f t="shared" si="7"/>
        <v>0</v>
      </c>
      <c r="AF22" s="109">
        <f t="shared" si="7"/>
        <v>0</v>
      </c>
      <c r="AG22" s="109">
        <f t="shared" si="7"/>
        <v>0</v>
      </c>
      <c r="AH22" s="109">
        <f t="shared" si="7"/>
        <v>0</v>
      </c>
      <c r="AI22" s="109">
        <f t="shared" si="7"/>
        <v>0</v>
      </c>
      <c r="AJ22" s="109">
        <f t="shared" si="7"/>
        <v>0</v>
      </c>
      <c r="AK22" s="109">
        <f t="shared" si="7"/>
        <v>0</v>
      </c>
      <c r="AL22" s="109">
        <f t="shared" si="7"/>
        <v>0</v>
      </c>
      <c r="AM22" s="109">
        <f t="shared" si="7"/>
        <v>0</v>
      </c>
    </row>
    <row r="23" spans="1:45" ht="15" customHeight="1" x14ac:dyDescent="0.2">
      <c r="A23" s="868"/>
      <c r="B23" s="900"/>
      <c r="C23" s="901"/>
      <c r="D23" s="901"/>
      <c r="E23" s="901"/>
      <c r="F23" s="901"/>
      <c r="G23" s="901"/>
      <c r="H23" s="901"/>
      <c r="I23" s="902"/>
      <c r="K23" s="110">
        <f>(-PMT(Parameters!$B$31/12,Parameters!$B$32,$F16))*Parameters!$B$32</f>
        <v>285284.90451741318</v>
      </c>
      <c r="L23" s="111"/>
      <c r="M23" s="108">
        <f>(-PMT(Parameters!$B$31/12,Parameters!$B$32,$F16))*Parameters!$K$32</f>
        <v>11886.871021558884</v>
      </c>
      <c r="N23" s="108">
        <f>MIN(((-PMT(Parameters!$B$31/12,Parameters!$B$32,$F16))*3),M24)</f>
        <v>23773.742043117767</v>
      </c>
      <c r="O23" s="108">
        <f>MIN(((-PMT(Parameters!$B$31/12,Parameters!$B$32,$F16))*3),N24)</f>
        <v>23773.742043117767</v>
      </c>
      <c r="P23" s="108">
        <f>MIN(((-PMT(Parameters!$B$31/12,Parameters!$B$32,$F16))*3),O24)</f>
        <v>23773.742043117767</v>
      </c>
      <c r="Q23" s="108">
        <f>MIN(((-PMT(Parameters!$B$31/12,Parameters!$B$32,$F16))*3),P24)</f>
        <v>23773.742043117767</v>
      </c>
      <c r="R23" s="108">
        <f>MIN(((-PMT(Parameters!$B$31/12,Parameters!$B$32,$F16))*3),Q24)</f>
        <v>23773.742043117767</v>
      </c>
      <c r="S23" s="108">
        <f>MIN(((-PMT(Parameters!$B$31/12,Parameters!$B$32,$F16))*3),R24)</f>
        <v>23773.742043117767</v>
      </c>
      <c r="T23" s="108">
        <f>MIN(((-PMT(Parameters!$B$31/12,Parameters!$B$32,$F16))*3),S24)</f>
        <v>23773.742043117767</v>
      </c>
      <c r="U23" s="108">
        <f>MIN(((-PMT(Parameters!$B$31/12,Parameters!$B$32,$F16))*3),T24)</f>
        <v>23773.742043117767</v>
      </c>
      <c r="V23" s="108">
        <f>MIN(((-PMT(Parameters!$B$31/12,Parameters!$B$32,$F16))*3),U24)</f>
        <v>23773.742043117767</v>
      </c>
      <c r="W23" s="108">
        <f>MIN(((-PMT(Parameters!$B$31/12,Parameters!$B$32,$F16))*3),V24)</f>
        <v>23773.742043117767</v>
      </c>
      <c r="X23" s="108">
        <f>MIN(((-PMT(Parameters!$B$31/12,Parameters!$B$32,$F16))*3),W24)</f>
        <v>23773.742043117767</v>
      </c>
      <c r="Y23" s="108">
        <f>MIN(((-PMT(Parameters!$B$31/12,Parameters!$B$32,$F16))*3),X24)</f>
        <v>11886.871021558916</v>
      </c>
      <c r="Z23" s="108">
        <f>MIN(((-PMT(Parameters!$B$31/12,Parameters!$B$32,$F16))*3),Y24)</f>
        <v>0</v>
      </c>
      <c r="AA23" s="108">
        <f>MIN(((-PMT(Parameters!$B$31/12,Parameters!$B$32,$F16))*3),Z24)</f>
        <v>0</v>
      </c>
      <c r="AB23" s="108">
        <f>MIN(((-PMT(Parameters!$B$31/12,Parameters!$B$32,$F16))*3),AA24)</f>
        <v>0</v>
      </c>
      <c r="AC23" s="108">
        <f>MIN(((-PMT(Parameters!$B$31/12,Parameters!$B$32,$F16))*3),AB24)</f>
        <v>0</v>
      </c>
      <c r="AD23" s="108">
        <f>MIN(((-PMT(Parameters!$B$31/12,Parameters!$B$32,$F16))*3),AC24)</f>
        <v>0</v>
      </c>
      <c r="AE23" s="108">
        <f>MIN(((-PMT(Parameters!$B$31/12,Parameters!$B$32,$F16))*3),AD24)</f>
        <v>0</v>
      </c>
      <c r="AF23" s="108">
        <f>MIN(((-PMT(Parameters!$B$31/12,Parameters!$B$32,$F16))*3),AE24)</f>
        <v>0</v>
      </c>
      <c r="AG23" s="108">
        <f>MIN(((-PMT(Parameters!$B$31/12,Parameters!$B$32,$F16))*3),AF24)</f>
        <v>0</v>
      </c>
      <c r="AH23" s="108">
        <f>MIN(((-PMT(Parameters!$B$31/12,Parameters!$B$32,$F16))*3),AG24)</f>
        <v>0</v>
      </c>
      <c r="AI23" s="108">
        <f>MIN(((-PMT(Parameters!$B$31/12,Parameters!$B$32,$F16))*3),AH24)</f>
        <v>0</v>
      </c>
      <c r="AJ23" s="108">
        <f>MIN(((-PMT(Parameters!$B$31/12,Parameters!$B$32,$F16))*3),AI24)</f>
        <v>0</v>
      </c>
      <c r="AK23" s="108">
        <f>MIN(((-PMT(Parameters!$B$31/12,Parameters!$B$32,$F16))*3),AJ24)</f>
        <v>0</v>
      </c>
      <c r="AL23" s="108">
        <f>MIN(((-PMT(Parameters!$B$31/12,Parameters!$B$32,$F16))*3),AK24)</f>
        <v>0</v>
      </c>
      <c r="AM23" s="108">
        <f>MIN(((-PMT(Parameters!$B$31/12,Parameters!$B$32,$F16))*3),AL24)</f>
        <v>0</v>
      </c>
    </row>
    <row r="24" spans="1:45" ht="15" customHeight="1" x14ac:dyDescent="0.2">
      <c r="A24" s="868"/>
      <c r="B24" s="900"/>
      <c r="C24" s="901"/>
      <c r="D24" s="901"/>
      <c r="E24" s="901"/>
      <c r="F24" s="901"/>
      <c r="G24" s="901"/>
      <c r="H24" s="901"/>
      <c r="I24" s="902"/>
      <c r="L24" s="109">
        <f>K23</f>
        <v>285284.90451741318</v>
      </c>
      <c r="M24" s="109">
        <f t="shared" ref="M24:AM24" si="8">L24-M23</f>
        <v>273398.0334958543</v>
      </c>
      <c r="N24" s="109">
        <f t="shared" si="8"/>
        <v>249624.29145273654</v>
      </c>
      <c r="O24" s="109">
        <f t="shared" si="8"/>
        <v>225850.54940961878</v>
      </c>
      <c r="P24" s="109">
        <f t="shared" si="8"/>
        <v>202076.80736650102</v>
      </c>
      <c r="Q24" s="109">
        <f t="shared" si="8"/>
        <v>178303.06532338326</v>
      </c>
      <c r="R24" s="109">
        <f t="shared" si="8"/>
        <v>154529.3232802655</v>
      </c>
      <c r="S24" s="109">
        <f t="shared" si="8"/>
        <v>130755.58123714774</v>
      </c>
      <c r="T24" s="109">
        <f t="shared" si="8"/>
        <v>106981.83919402998</v>
      </c>
      <c r="U24" s="109">
        <f t="shared" si="8"/>
        <v>83208.097150912217</v>
      </c>
      <c r="V24" s="109">
        <f t="shared" si="8"/>
        <v>59434.35510779445</v>
      </c>
      <c r="W24" s="109">
        <f t="shared" si="8"/>
        <v>35660.613064676683</v>
      </c>
      <c r="X24" s="109">
        <f t="shared" si="8"/>
        <v>11886.871021558916</v>
      </c>
      <c r="Y24" s="109">
        <f>X24-Y23</f>
        <v>0</v>
      </c>
      <c r="Z24" s="109">
        <f t="shared" si="8"/>
        <v>0</v>
      </c>
      <c r="AA24" s="109">
        <f t="shared" si="8"/>
        <v>0</v>
      </c>
      <c r="AB24" s="109">
        <f t="shared" si="8"/>
        <v>0</v>
      </c>
      <c r="AC24" s="109">
        <f t="shared" si="8"/>
        <v>0</v>
      </c>
      <c r="AD24" s="109">
        <f t="shared" si="8"/>
        <v>0</v>
      </c>
      <c r="AE24" s="109">
        <f t="shared" si="8"/>
        <v>0</v>
      </c>
      <c r="AF24" s="109">
        <f t="shared" si="8"/>
        <v>0</v>
      </c>
      <c r="AG24" s="109">
        <f t="shared" si="8"/>
        <v>0</v>
      </c>
      <c r="AH24" s="109">
        <f t="shared" si="8"/>
        <v>0</v>
      </c>
      <c r="AI24" s="109">
        <f t="shared" si="8"/>
        <v>0</v>
      </c>
      <c r="AJ24" s="109">
        <f t="shared" si="8"/>
        <v>0</v>
      </c>
      <c r="AK24" s="109">
        <f t="shared" si="8"/>
        <v>0</v>
      </c>
      <c r="AL24" s="109">
        <f t="shared" si="8"/>
        <v>0</v>
      </c>
      <c r="AM24" s="109">
        <f t="shared" si="8"/>
        <v>0</v>
      </c>
    </row>
    <row r="25" spans="1:45" ht="15" customHeight="1" x14ac:dyDescent="0.2">
      <c r="A25" s="868"/>
      <c r="B25" s="900"/>
      <c r="C25" s="901"/>
      <c r="D25" s="901"/>
      <c r="E25" s="901"/>
      <c r="F25" s="901"/>
      <c r="G25" s="901"/>
      <c r="H25" s="901"/>
      <c r="I25" s="902"/>
      <c r="K25" s="110">
        <f>(-PMT(Parameters!$B$31/12,Parameters!$B$32,$G16))*Parameters!$B$32</f>
        <v>285284.90451741318</v>
      </c>
      <c r="L25" s="111"/>
      <c r="M25" s="111"/>
      <c r="N25" s="108">
        <f>(-PMT(Parameters!$B$31/12,Parameters!$B$32,$G16))*Parameters!$K$32</f>
        <v>11886.871021558884</v>
      </c>
      <c r="O25" s="108">
        <f>MIN(((-PMT(Parameters!$B$31/12,Parameters!$B$32,$G16))*3),N26)</f>
        <v>23773.742043117767</v>
      </c>
      <c r="P25" s="108">
        <f>MIN(((-PMT(Parameters!$B$31/12,Parameters!$B$32,$G16))*3),O26)</f>
        <v>23773.742043117767</v>
      </c>
      <c r="Q25" s="108">
        <f>MIN(((-PMT(Parameters!$B$31/12,Parameters!$B$32,$G16))*3),P26)</f>
        <v>23773.742043117767</v>
      </c>
      <c r="R25" s="108">
        <f>MIN(((-PMT(Parameters!$B$31/12,Parameters!$B$32,$G16))*3),Q26)</f>
        <v>23773.742043117767</v>
      </c>
      <c r="S25" s="108">
        <f>MIN(((-PMT(Parameters!$B$31/12,Parameters!$B$32,$G16))*3),R26)</f>
        <v>23773.742043117767</v>
      </c>
      <c r="T25" s="108">
        <f>MIN(((-PMT(Parameters!$B$31/12,Parameters!$B$32,$G16))*3),S26)</f>
        <v>23773.742043117767</v>
      </c>
      <c r="U25" s="108">
        <f>MIN(((-PMT(Parameters!$B$31/12,Parameters!$B$32,$G16))*3),T26)</f>
        <v>23773.742043117767</v>
      </c>
      <c r="V25" s="108">
        <f>MIN(((-PMT(Parameters!$B$31/12,Parameters!$B$32,$G16))*3),U26)</f>
        <v>23773.742043117767</v>
      </c>
      <c r="W25" s="108">
        <f>MIN(((-PMT(Parameters!$B$31/12,Parameters!$B$32,$G16))*3),V26)</f>
        <v>23773.742043117767</v>
      </c>
      <c r="X25" s="108">
        <f>MIN(((-PMT(Parameters!$B$31/12,Parameters!$B$32,$G16))*3),W26)</f>
        <v>23773.742043117767</v>
      </c>
      <c r="Y25" s="108">
        <f>MIN(((-PMT(Parameters!$B$31/12,Parameters!$B$32,$G16))*3),X26)</f>
        <v>23773.742043117767</v>
      </c>
      <c r="Z25" s="108">
        <f>MIN(((-PMT(Parameters!$B$31/12,Parameters!$B$32,$G16))*3),Y26)</f>
        <v>11886.871021558916</v>
      </c>
      <c r="AA25" s="108">
        <f>MIN(((-PMT(Parameters!$B$31/12,Parameters!$B$32,$G16))*3),Z26)</f>
        <v>0</v>
      </c>
      <c r="AB25" s="108">
        <f>MIN(((-PMT(Parameters!$B$31/12,Parameters!$B$32,$G16))*3),AA26)</f>
        <v>0</v>
      </c>
      <c r="AC25" s="108">
        <f>MIN(((-PMT(Parameters!$B$31/12,Parameters!$B$32,$G16))*3),AB26)</f>
        <v>0</v>
      </c>
      <c r="AD25" s="108">
        <f>MIN(((-PMT(Parameters!$B$31/12,Parameters!$B$32,$G16))*3),AC26)</f>
        <v>0</v>
      </c>
      <c r="AE25" s="108">
        <f>MIN(((-PMT(Parameters!$B$31/12,Parameters!$B$32,$G16))*3),AD26)</f>
        <v>0</v>
      </c>
      <c r="AF25" s="108">
        <f>MIN(((-PMT(Parameters!$B$31/12,Parameters!$B$32,$G16))*3),AE26)</f>
        <v>0</v>
      </c>
      <c r="AG25" s="108">
        <f>MIN(((-PMT(Parameters!$B$31/12,Parameters!$B$32,$G16))*3),AF26)</f>
        <v>0</v>
      </c>
      <c r="AH25" s="108">
        <f>MIN(((-PMT(Parameters!$B$31/12,Parameters!$B$32,$G16))*3),AG26)</f>
        <v>0</v>
      </c>
      <c r="AI25" s="108">
        <f>MIN(((-PMT(Parameters!$B$31/12,Parameters!$B$32,$G16))*3),AH26)</f>
        <v>0</v>
      </c>
      <c r="AJ25" s="108">
        <f>MIN(((-PMT(Parameters!$B$31/12,Parameters!$B$32,$G16))*3),AI26)</f>
        <v>0</v>
      </c>
      <c r="AK25" s="108">
        <f>MIN(((-PMT(Parameters!$B$31/12,Parameters!$B$32,$G16))*3),AJ26)</f>
        <v>0</v>
      </c>
      <c r="AL25" s="108">
        <f>MIN(((-PMT(Parameters!$B$31/12,Parameters!$B$32,$G16))*3),AK26)</f>
        <v>0</v>
      </c>
      <c r="AM25" s="108">
        <f>MIN(((-PMT(Parameters!$B$31/12,Parameters!$B$32,$G16))*3),AL26)</f>
        <v>0</v>
      </c>
    </row>
    <row r="26" spans="1:45" ht="15" customHeight="1" x14ac:dyDescent="0.2">
      <c r="A26" s="868"/>
      <c r="B26" s="900"/>
      <c r="C26" s="901"/>
      <c r="D26" s="901"/>
      <c r="E26" s="901"/>
      <c r="F26" s="901"/>
      <c r="G26" s="901"/>
      <c r="H26" s="901"/>
      <c r="I26" s="902"/>
      <c r="L26" s="109">
        <f>K25</f>
        <v>285284.90451741318</v>
      </c>
      <c r="M26" s="109">
        <f>L26</f>
        <v>285284.90451741318</v>
      </c>
      <c r="N26" s="109">
        <f t="shared" ref="N26:AM26" si="9">M26-N25</f>
        <v>273398.0334958543</v>
      </c>
      <c r="O26" s="109">
        <f t="shared" si="9"/>
        <v>249624.29145273654</v>
      </c>
      <c r="P26" s="109">
        <f t="shared" si="9"/>
        <v>225850.54940961878</v>
      </c>
      <c r="Q26" s="109">
        <f t="shared" si="9"/>
        <v>202076.80736650102</v>
      </c>
      <c r="R26" s="109">
        <f t="shared" si="9"/>
        <v>178303.06532338326</v>
      </c>
      <c r="S26" s="109">
        <f t="shared" si="9"/>
        <v>154529.3232802655</v>
      </c>
      <c r="T26" s="109">
        <f t="shared" si="9"/>
        <v>130755.58123714774</v>
      </c>
      <c r="U26" s="109">
        <f t="shared" si="9"/>
        <v>106981.83919402998</v>
      </c>
      <c r="V26" s="109">
        <f t="shared" si="9"/>
        <v>83208.097150912217</v>
      </c>
      <c r="W26" s="109">
        <f t="shared" si="9"/>
        <v>59434.35510779445</v>
      </c>
      <c r="X26" s="109">
        <f t="shared" si="9"/>
        <v>35660.613064676683</v>
      </c>
      <c r="Y26" s="109">
        <f>X26-Y25</f>
        <v>11886.871021558916</v>
      </c>
      <c r="Z26" s="109">
        <f t="shared" si="9"/>
        <v>0</v>
      </c>
      <c r="AA26" s="109">
        <f t="shared" si="9"/>
        <v>0</v>
      </c>
      <c r="AB26" s="109">
        <f t="shared" si="9"/>
        <v>0</v>
      </c>
      <c r="AC26" s="109">
        <f t="shared" si="9"/>
        <v>0</v>
      </c>
      <c r="AD26" s="109">
        <f t="shared" si="9"/>
        <v>0</v>
      </c>
      <c r="AE26" s="109">
        <f t="shared" si="9"/>
        <v>0</v>
      </c>
      <c r="AF26" s="109">
        <f t="shared" si="9"/>
        <v>0</v>
      </c>
      <c r="AG26" s="109">
        <f t="shared" si="9"/>
        <v>0</v>
      </c>
      <c r="AH26" s="109">
        <f t="shared" si="9"/>
        <v>0</v>
      </c>
      <c r="AI26" s="109">
        <f t="shared" si="9"/>
        <v>0</v>
      </c>
      <c r="AJ26" s="109">
        <f t="shared" si="9"/>
        <v>0</v>
      </c>
      <c r="AK26" s="109">
        <f t="shared" si="9"/>
        <v>0</v>
      </c>
      <c r="AL26" s="109">
        <f t="shared" si="9"/>
        <v>0</v>
      </c>
      <c r="AM26" s="109">
        <f t="shared" si="9"/>
        <v>0</v>
      </c>
    </row>
    <row r="27" spans="1:45" ht="15" customHeight="1" x14ac:dyDescent="0.2">
      <c r="A27" s="868"/>
      <c r="B27" s="900"/>
      <c r="C27" s="901"/>
      <c r="D27" s="901"/>
      <c r="E27" s="901"/>
      <c r="F27" s="901"/>
      <c r="G27" s="901"/>
      <c r="H27" s="901"/>
      <c r="I27" s="902"/>
      <c r="K27" s="110">
        <f>(-PMT(Parameters!$B$31/12,Parameters!$B$32,$H16))*Parameters!$B$32</f>
        <v>285284.90451741318</v>
      </c>
      <c r="L27" s="111"/>
      <c r="M27" s="111"/>
      <c r="N27" s="111"/>
      <c r="O27" s="108">
        <f>(-PMT(Parameters!$B$31/12,Parameters!$B$32,$H16))*Parameters!$K$32</f>
        <v>11886.871021558884</v>
      </c>
      <c r="P27" s="108">
        <f>MIN(((-PMT(Parameters!$B$31/12,Parameters!$B$32,$H16))*3),O28)</f>
        <v>23773.742043117767</v>
      </c>
      <c r="Q27" s="108">
        <f>MIN(((-PMT(Parameters!$B$31/12,Parameters!$B$32,$H16))*3),P28)</f>
        <v>23773.742043117767</v>
      </c>
      <c r="R27" s="108">
        <f>MIN(((-PMT(Parameters!$B$31/12,Parameters!$B$32,$H16))*3),Q28)</f>
        <v>23773.742043117767</v>
      </c>
      <c r="S27" s="108">
        <f>MIN(((-PMT(Parameters!$B$31/12,Parameters!$B$32,$H16))*3),R28)</f>
        <v>23773.742043117767</v>
      </c>
      <c r="T27" s="108">
        <f>MIN(((-PMT(Parameters!$B$31/12,Parameters!$B$32,$H16))*3),S28)</f>
        <v>23773.742043117767</v>
      </c>
      <c r="U27" s="108">
        <f>MIN(((-PMT(Parameters!$B$31/12,Parameters!$B$32,$H16))*3),T28)</f>
        <v>23773.742043117767</v>
      </c>
      <c r="V27" s="108">
        <f>MIN(((-PMT(Parameters!$B$31/12,Parameters!$B$32,$H16))*3),U28)</f>
        <v>23773.742043117767</v>
      </c>
      <c r="W27" s="108">
        <f>MIN(((-PMT(Parameters!$B$31/12,Parameters!$B$32,$H16))*3),V28)</f>
        <v>23773.742043117767</v>
      </c>
      <c r="X27" s="108">
        <f>MIN(((-PMT(Parameters!$B$31/12,Parameters!$B$32,$H16))*3),W28)</f>
        <v>23773.742043117767</v>
      </c>
      <c r="Y27" s="108">
        <f>MIN(((-PMT(Parameters!$B$31/12,Parameters!$B$32,$H16))*3),X28)</f>
        <v>23773.742043117767</v>
      </c>
      <c r="Z27" s="108">
        <f>MIN(((-PMT(Parameters!$B$31/12,Parameters!$B$32,$H16))*3),Y28)</f>
        <v>23773.742043117767</v>
      </c>
      <c r="AA27" s="108">
        <f>MIN(((-PMT(Parameters!$B$31/12,Parameters!$B$32,$H16))*3),Z28)</f>
        <v>11886.871021558916</v>
      </c>
      <c r="AB27" s="108">
        <f>MIN(((-PMT(Parameters!$B$31/12,Parameters!$B$32,$H16))*3),AA28)</f>
        <v>0</v>
      </c>
      <c r="AC27" s="108">
        <f>MIN(((-PMT(Parameters!$B$31/12,Parameters!$B$32,$H16))*3),AB28)</f>
        <v>0</v>
      </c>
      <c r="AD27" s="108">
        <f>MIN(((-PMT(Parameters!$B$31/12,Parameters!$B$32,$H16))*3),AC28)</f>
        <v>0</v>
      </c>
      <c r="AE27" s="108">
        <f>MIN(((-PMT(Parameters!$B$31/12,Parameters!$B$32,$H16))*3),AD28)</f>
        <v>0</v>
      </c>
      <c r="AF27" s="108">
        <f>MIN(((-PMT(Parameters!$B$31/12,Parameters!$B$32,$H16))*3),AE28)</f>
        <v>0</v>
      </c>
      <c r="AG27" s="108">
        <f>MIN(((-PMT(Parameters!$B$31/12,Parameters!$B$32,$H16))*3),AF28)</f>
        <v>0</v>
      </c>
      <c r="AH27" s="108">
        <f>MIN(((-PMT(Parameters!$B$31/12,Parameters!$B$32,$H16))*3),AG28)</f>
        <v>0</v>
      </c>
      <c r="AI27" s="108">
        <f>MIN(((-PMT(Parameters!$B$31/12,Parameters!$B$32,$H16))*3),AH28)</f>
        <v>0</v>
      </c>
      <c r="AJ27" s="108">
        <f>MIN(((-PMT(Parameters!$B$31/12,Parameters!$B$32,$H16))*3),AI28)</f>
        <v>0</v>
      </c>
      <c r="AK27" s="108">
        <f>MIN(((-PMT(Parameters!$B$31/12,Parameters!$B$32,$H16))*3),AJ28)</f>
        <v>0</v>
      </c>
      <c r="AL27" s="108">
        <f>MIN(((-PMT(Parameters!$B$31/12,Parameters!$B$32,$H16))*3),AK28)</f>
        <v>0</v>
      </c>
      <c r="AM27" s="108">
        <f>MIN(((-PMT(Parameters!$B$31/12,Parameters!$B$32,$H16))*3),AL28)</f>
        <v>0</v>
      </c>
    </row>
    <row r="28" spans="1:45" ht="15" customHeight="1" x14ac:dyDescent="0.2">
      <c r="A28" s="868"/>
      <c r="B28" s="900"/>
      <c r="C28" s="901"/>
      <c r="D28" s="901"/>
      <c r="E28" s="901"/>
      <c r="F28" s="901"/>
      <c r="G28" s="901"/>
      <c r="H28" s="901"/>
      <c r="I28" s="902"/>
      <c r="L28" s="109">
        <f>K27</f>
        <v>285284.90451741318</v>
      </c>
      <c r="M28" s="109">
        <f>L28</f>
        <v>285284.90451741318</v>
      </c>
      <c r="N28" s="109">
        <f t="shared" ref="N28:X28" si="10">M28-N27</f>
        <v>285284.90451741318</v>
      </c>
      <c r="O28" s="109">
        <f t="shared" si="10"/>
        <v>273398.0334958543</v>
      </c>
      <c r="P28" s="109">
        <f t="shared" si="10"/>
        <v>249624.29145273654</v>
      </c>
      <c r="Q28" s="109">
        <f t="shared" si="10"/>
        <v>225850.54940961878</v>
      </c>
      <c r="R28" s="109">
        <f t="shared" si="10"/>
        <v>202076.80736650102</v>
      </c>
      <c r="S28" s="109">
        <f t="shared" si="10"/>
        <v>178303.06532338326</v>
      </c>
      <c r="T28" s="109">
        <f t="shared" si="10"/>
        <v>154529.3232802655</v>
      </c>
      <c r="U28" s="109">
        <f t="shared" si="10"/>
        <v>130755.58123714774</v>
      </c>
      <c r="V28" s="109">
        <f t="shared" si="10"/>
        <v>106981.83919402998</v>
      </c>
      <c r="W28" s="109">
        <f t="shared" si="10"/>
        <v>83208.097150912217</v>
      </c>
      <c r="X28" s="109">
        <f t="shared" si="10"/>
        <v>59434.35510779445</v>
      </c>
      <c r="Y28" s="109">
        <f t="shared" ref="Y28:AM28" si="11">X28-Y27</f>
        <v>35660.613064676683</v>
      </c>
      <c r="Z28" s="109">
        <f t="shared" si="11"/>
        <v>11886.871021558916</v>
      </c>
      <c r="AA28" s="109">
        <f t="shared" si="11"/>
        <v>0</v>
      </c>
      <c r="AB28" s="109">
        <f t="shared" si="11"/>
        <v>0</v>
      </c>
      <c r="AC28" s="109">
        <f t="shared" si="11"/>
        <v>0</v>
      </c>
      <c r="AD28" s="109">
        <f t="shared" si="11"/>
        <v>0</v>
      </c>
      <c r="AE28" s="109">
        <f t="shared" si="11"/>
        <v>0</v>
      </c>
      <c r="AF28" s="109">
        <f t="shared" si="11"/>
        <v>0</v>
      </c>
      <c r="AG28" s="109">
        <f t="shared" si="11"/>
        <v>0</v>
      </c>
      <c r="AH28" s="109">
        <f t="shared" si="11"/>
        <v>0</v>
      </c>
      <c r="AI28" s="109">
        <f t="shared" si="11"/>
        <v>0</v>
      </c>
      <c r="AJ28" s="109">
        <f t="shared" si="11"/>
        <v>0</v>
      </c>
      <c r="AK28" s="109">
        <f t="shared" si="11"/>
        <v>0</v>
      </c>
      <c r="AL28" s="109">
        <f t="shared" si="11"/>
        <v>0</v>
      </c>
      <c r="AM28" s="109">
        <f t="shared" si="11"/>
        <v>0</v>
      </c>
    </row>
    <row r="29" spans="1:45" ht="15" customHeight="1" x14ac:dyDescent="0.2">
      <c r="A29" s="868"/>
      <c r="B29" s="900"/>
      <c r="C29" s="901"/>
      <c r="D29" s="901"/>
      <c r="E29" s="901"/>
      <c r="F29" s="901"/>
      <c r="G29" s="901"/>
      <c r="H29" s="901"/>
      <c r="I29" s="902"/>
      <c r="L29" s="109">
        <f>L21+L23+L25+L27</f>
        <v>3962.2903405196275</v>
      </c>
      <c r="M29" s="109">
        <f t="shared" ref="M29:X29" si="12">M21+M23+M25+M27</f>
        <v>19811.45170259814</v>
      </c>
      <c r="N29" s="109">
        <f t="shared" si="12"/>
        <v>43585.193745715907</v>
      </c>
      <c r="O29" s="109">
        <f t="shared" si="12"/>
        <v>67358.935788833667</v>
      </c>
      <c r="P29" s="109">
        <f t="shared" si="12"/>
        <v>79245.806810392562</v>
      </c>
      <c r="Q29" s="109">
        <f t="shared" si="12"/>
        <v>79245.806810392562</v>
      </c>
      <c r="R29" s="109">
        <f t="shared" si="12"/>
        <v>79245.806810392562</v>
      </c>
      <c r="S29" s="109">
        <f t="shared" si="12"/>
        <v>79245.806810392562</v>
      </c>
      <c r="T29" s="109">
        <f t="shared" si="12"/>
        <v>79245.806810392562</v>
      </c>
      <c r="U29" s="109">
        <f t="shared" si="12"/>
        <v>79245.806810392562</v>
      </c>
      <c r="V29" s="109">
        <f t="shared" si="12"/>
        <v>79245.806810392562</v>
      </c>
      <c r="W29" s="109">
        <f t="shared" si="12"/>
        <v>79245.806810392562</v>
      </c>
      <c r="X29" s="109">
        <f t="shared" si="12"/>
        <v>75283.516469872935</v>
      </c>
      <c r="Y29" s="109">
        <f t="shared" ref="Y29:AM29" si="13">Y21+Y23+Y25+Y27</f>
        <v>59434.35510779445</v>
      </c>
      <c r="Z29" s="109">
        <f t="shared" si="13"/>
        <v>35660.613064676683</v>
      </c>
      <c r="AA29" s="109">
        <f t="shared" si="13"/>
        <v>11886.871021558916</v>
      </c>
      <c r="AB29" s="109">
        <f t="shared" si="13"/>
        <v>0</v>
      </c>
      <c r="AC29" s="109">
        <f t="shared" si="13"/>
        <v>0</v>
      </c>
      <c r="AD29" s="109">
        <f t="shared" si="13"/>
        <v>0</v>
      </c>
      <c r="AE29" s="109">
        <f t="shared" si="13"/>
        <v>0</v>
      </c>
      <c r="AF29" s="109">
        <f t="shared" si="13"/>
        <v>0</v>
      </c>
      <c r="AG29" s="109">
        <f t="shared" si="13"/>
        <v>0</v>
      </c>
      <c r="AH29" s="109">
        <f t="shared" si="13"/>
        <v>0</v>
      </c>
      <c r="AI29" s="109">
        <f t="shared" si="13"/>
        <v>0</v>
      </c>
      <c r="AJ29" s="109">
        <f t="shared" si="13"/>
        <v>0</v>
      </c>
      <c r="AK29" s="109">
        <f t="shared" si="13"/>
        <v>0</v>
      </c>
      <c r="AL29" s="109">
        <f t="shared" si="13"/>
        <v>0</v>
      </c>
      <c r="AM29" s="109">
        <f t="shared" si="13"/>
        <v>0</v>
      </c>
    </row>
    <row r="30" spans="1:45" ht="15" customHeight="1" thickBot="1" x14ac:dyDescent="0.25">
      <c r="A30" s="869"/>
      <c r="B30" s="903"/>
      <c r="C30" s="904"/>
      <c r="D30" s="904"/>
      <c r="E30" s="904"/>
      <c r="F30" s="904"/>
      <c r="G30" s="904"/>
      <c r="H30" s="904"/>
      <c r="I30" s="905"/>
      <c r="L30"/>
      <c r="M30"/>
      <c r="N30"/>
      <c r="O30"/>
      <c r="P30"/>
      <c r="Q30"/>
      <c r="R30"/>
      <c r="S30"/>
      <c r="T30"/>
      <c r="U30"/>
      <c r="V30"/>
      <c r="W30"/>
      <c r="X30"/>
      <c r="Y30"/>
      <c r="Z30"/>
      <c r="AA30"/>
      <c r="AB30"/>
      <c r="AC30"/>
      <c r="AD30"/>
      <c r="AE30"/>
      <c r="AF30"/>
      <c r="AG30"/>
      <c r="AH30"/>
      <c r="AI30"/>
      <c r="AJ30"/>
      <c r="AK30"/>
      <c r="AL30"/>
      <c r="AM30"/>
      <c r="AN30"/>
      <c r="AO30"/>
      <c r="AP30"/>
      <c r="AQ30"/>
    </row>
    <row r="31" spans="1:45" ht="13.2" thickBot="1" x14ac:dyDescent="0.25">
      <c r="L31"/>
      <c r="M31"/>
      <c r="N31"/>
      <c r="O31"/>
      <c r="P31"/>
      <c r="Q31"/>
      <c r="R31"/>
      <c r="S31"/>
      <c r="T31"/>
      <c r="U31"/>
      <c r="V31"/>
      <c r="W31"/>
      <c r="X31"/>
      <c r="Y31"/>
      <c r="Z31"/>
      <c r="AA31"/>
      <c r="AB31"/>
      <c r="AC31"/>
      <c r="AD31"/>
      <c r="AE31"/>
      <c r="AF31"/>
      <c r="AG31"/>
      <c r="AH31"/>
      <c r="AI31"/>
      <c r="AJ31"/>
      <c r="AK31"/>
      <c r="AL31"/>
      <c r="AM31"/>
      <c r="AN31"/>
      <c r="AO31"/>
      <c r="AP31"/>
      <c r="AQ31"/>
      <c r="AR31"/>
      <c r="AS31"/>
    </row>
    <row r="32" spans="1:45" ht="16.05" customHeight="1" x14ac:dyDescent="0.2">
      <c r="A32" s="889">
        <v>2013</v>
      </c>
      <c r="B32" s="890"/>
      <c r="C32" s="893" t="s">
        <v>198</v>
      </c>
      <c r="D32" s="894"/>
      <c r="E32" s="864" t="s">
        <v>406</v>
      </c>
      <c r="F32" s="883" t="s">
        <v>407</v>
      </c>
      <c r="G32" s="883" t="s">
        <v>408</v>
      </c>
      <c r="H32" s="885" t="s">
        <v>409</v>
      </c>
      <c r="I32" s="887" t="s">
        <v>498</v>
      </c>
      <c r="L32" s="85">
        <f>P3</f>
        <v>39447</v>
      </c>
      <c r="M32" s="85">
        <f>L33+1</f>
        <v>39538</v>
      </c>
      <c r="N32" s="85">
        <f t="shared" ref="N32:AM32" si="14">M33+1</f>
        <v>39629</v>
      </c>
      <c r="O32" s="85">
        <f t="shared" si="14"/>
        <v>39721</v>
      </c>
      <c r="P32" s="85">
        <f t="shared" si="14"/>
        <v>39813</v>
      </c>
      <c r="Q32" s="85">
        <f t="shared" si="14"/>
        <v>39903</v>
      </c>
      <c r="R32" s="85">
        <f t="shared" si="14"/>
        <v>39994</v>
      </c>
      <c r="S32" s="85">
        <f t="shared" si="14"/>
        <v>40086</v>
      </c>
      <c r="T32" s="85">
        <f t="shared" si="14"/>
        <v>40178</v>
      </c>
      <c r="U32" s="85">
        <f t="shared" si="14"/>
        <v>40268</v>
      </c>
      <c r="V32" s="85">
        <f t="shared" si="14"/>
        <v>40359</v>
      </c>
      <c r="W32" s="85">
        <f t="shared" si="14"/>
        <v>40451</v>
      </c>
      <c r="X32" s="85">
        <f t="shared" si="14"/>
        <v>40543</v>
      </c>
      <c r="Y32" s="85">
        <f>X33+1</f>
        <v>40633</v>
      </c>
      <c r="Z32" s="85">
        <f t="shared" si="14"/>
        <v>40724</v>
      </c>
      <c r="AA32" s="85">
        <f t="shared" si="14"/>
        <v>40816</v>
      </c>
      <c r="AB32" s="85">
        <f t="shared" si="14"/>
        <v>40908</v>
      </c>
      <c r="AC32" s="85">
        <f t="shared" si="14"/>
        <v>40999</v>
      </c>
      <c r="AD32" s="85">
        <f t="shared" si="14"/>
        <v>41090</v>
      </c>
      <c r="AE32" s="85">
        <f t="shared" si="14"/>
        <v>41182</v>
      </c>
      <c r="AF32" s="85">
        <f t="shared" si="14"/>
        <v>41274</v>
      </c>
      <c r="AG32" s="85">
        <f t="shared" si="14"/>
        <v>41364</v>
      </c>
      <c r="AH32" s="85">
        <f t="shared" si="14"/>
        <v>41455</v>
      </c>
      <c r="AI32" s="85">
        <f t="shared" si="14"/>
        <v>41547</v>
      </c>
      <c r="AJ32" s="85">
        <f t="shared" si="14"/>
        <v>41639</v>
      </c>
      <c r="AK32" s="85">
        <f t="shared" si="14"/>
        <v>41729</v>
      </c>
      <c r="AL32" s="85">
        <f t="shared" si="14"/>
        <v>41820</v>
      </c>
      <c r="AM32" s="85">
        <f t="shared" si="14"/>
        <v>41912</v>
      </c>
    </row>
    <row r="33" spans="1:39" ht="16.05" customHeight="1" thickBot="1" x14ac:dyDescent="0.25">
      <c r="A33" s="891"/>
      <c r="B33" s="892"/>
      <c r="C33" s="895"/>
      <c r="D33" s="896"/>
      <c r="E33" s="865"/>
      <c r="F33" s="884"/>
      <c r="G33" s="884"/>
      <c r="H33" s="886"/>
      <c r="I33" s="888"/>
      <c r="L33" s="85">
        <f>P4</f>
        <v>39537</v>
      </c>
      <c r="M33" s="85">
        <f t="shared" ref="M33:X33" si="15">Q4</f>
        <v>39628</v>
      </c>
      <c r="N33" s="85">
        <f t="shared" si="15"/>
        <v>39720</v>
      </c>
      <c r="O33" s="85">
        <f t="shared" si="15"/>
        <v>39812</v>
      </c>
      <c r="P33" s="85">
        <f t="shared" si="15"/>
        <v>39902</v>
      </c>
      <c r="Q33" s="85">
        <f t="shared" si="15"/>
        <v>39993</v>
      </c>
      <c r="R33" s="85">
        <f t="shared" si="15"/>
        <v>40085</v>
      </c>
      <c r="S33" s="85">
        <f t="shared" si="15"/>
        <v>40177</v>
      </c>
      <c r="T33" s="85">
        <f t="shared" si="15"/>
        <v>40267</v>
      </c>
      <c r="U33" s="85">
        <f t="shared" si="15"/>
        <v>40358</v>
      </c>
      <c r="V33" s="85">
        <f t="shared" si="15"/>
        <v>40450</v>
      </c>
      <c r="W33" s="85">
        <f t="shared" si="15"/>
        <v>40542</v>
      </c>
      <c r="X33" s="85">
        <f t="shared" si="15"/>
        <v>40632</v>
      </c>
      <c r="Y33" s="85">
        <f t="shared" ref="Y33:AM33" si="16">AC4</f>
        <v>40723</v>
      </c>
      <c r="Z33" s="85">
        <f t="shared" si="16"/>
        <v>40815</v>
      </c>
      <c r="AA33" s="85">
        <f t="shared" si="16"/>
        <v>40907</v>
      </c>
      <c r="AB33" s="85">
        <f t="shared" si="16"/>
        <v>40998</v>
      </c>
      <c r="AC33" s="85">
        <f t="shared" si="16"/>
        <v>41089</v>
      </c>
      <c r="AD33" s="85">
        <f t="shared" si="16"/>
        <v>41181</v>
      </c>
      <c r="AE33" s="85">
        <f t="shared" si="16"/>
        <v>41273</v>
      </c>
      <c r="AF33" s="85">
        <f t="shared" si="16"/>
        <v>41363</v>
      </c>
      <c r="AG33" s="85">
        <f t="shared" si="16"/>
        <v>41454</v>
      </c>
      <c r="AH33" s="85">
        <f t="shared" si="16"/>
        <v>41546</v>
      </c>
      <c r="AI33" s="85">
        <f t="shared" si="16"/>
        <v>41638</v>
      </c>
      <c r="AJ33" s="85">
        <f t="shared" si="16"/>
        <v>41728</v>
      </c>
      <c r="AK33" s="85">
        <f t="shared" si="16"/>
        <v>41819</v>
      </c>
      <c r="AL33" s="85">
        <f t="shared" si="16"/>
        <v>41911</v>
      </c>
      <c r="AM33" s="85">
        <f t="shared" si="16"/>
        <v>42003</v>
      </c>
    </row>
    <row r="34" spans="1:39" ht="15" customHeight="1" x14ac:dyDescent="0.2">
      <c r="A34" s="878" t="s">
        <v>318</v>
      </c>
      <c r="B34" s="870" t="s">
        <v>347</v>
      </c>
      <c r="C34" s="95" t="s">
        <v>374</v>
      </c>
      <c r="D34" s="94">
        <f>1-Parameters!N$6</f>
        <v>0</v>
      </c>
      <c r="E34" s="96">
        <f>ROUND(Calculations!I3*$D34,0)</f>
        <v>0</v>
      </c>
      <c r="F34" s="96">
        <f>ROUND(Calculations!J3*$D34,0)</f>
        <v>0</v>
      </c>
      <c r="G34" s="96">
        <f>ROUND(Calculations!K3*$D34,0)</f>
        <v>0</v>
      </c>
      <c r="H34" s="96">
        <f>ROUND(Calculations!L3*$D34,0)</f>
        <v>0</v>
      </c>
      <c r="I34" s="103">
        <f>SUM(E34:H34)</f>
        <v>0</v>
      </c>
      <c r="L34" s="88"/>
      <c r="M34" s="88"/>
      <c r="N34" s="88"/>
      <c r="O34" s="88"/>
      <c r="P34" s="85">
        <f>P32</f>
        <v>39813</v>
      </c>
      <c r="Q34" s="85">
        <f>Q32</f>
        <v>39903</v>
      </c>
      <c r="R34" s="85">
        <f>R32</f>
        <v>39994</v>
      </c>
      <c r="S34" s="85">
        <f>S32</f>
        <v>40086</v>
      </c>
      <c r="T34" s="88"/>
      <c r="U34" s="88"/>
      <c r="V34" s="88"/>
      <c r="W34" s="88"/>
      <c r="Y34"/>
    </row>
    <row r="35" spans="1:39" ht="15" customHeight="1" x14ac:dyDescent="0.2">
      <c r="A35" s="880"/>
      <c r="B35" s="688"/>
      <c r="C35" s="688" t="s">
        <v>139</v>
      </c>
      <c r="D35" s="871"/>
      <c r="E35" s="92">
        <f>SUM(E34:E34)</f>
        <v>0</v>
      </c>
      <c r="F35" s="92">
        <f>SUM(F34:F34)</f>
        <v>0</v>
      </c>
      <c r="G35" s="92">
        <f>SUM(G34:G34)</f>
        <v>0</v>
      </c>
      <c r="H35" s="92">
        <f>SUM(H34:H34)</f>
        <v>0</v>
      </c>
      <c r="I35" s="872">
        <f>H36</f>
        <v>0</v>
      </c>
      <c r="L35" s="93">
        <f>IF($M37&lt;=L33,$E35,IF($N37&lt;=L33,$F35,IF($O37&lt;=L33,$G35,IF($P37&lt;=L33,$H35,))))</f>
        <v>0</v>
      </c>
      <c r="M35" s="93">
        <f t="shared" ref="M35:W35" si="17">IF(AND($M37&gt;L33,$M37&lt;=M33),$E35,IF(AND($N37&gt;L33,$N37&lt;=M33),$F35,IF(AND($O37&gt;L33,$O37&lt;=M33),$G35,IF(AND($P37&gt;L33,$P37&lt;=M33),$H35,))))</f>
        <v>0</v>
      </c>
      <c r="N35" s="93">
        <f t="shared" si="17"/>
        <v>0</v>
      </c>
      <c r="O35" s="93">
        <f t="shared" si="17"/>
        <v>0</v>
      </c>
      <c r="P35" s="93">
        <f t="shared" si="17"/>
        <v>0</v>
      </c>
      <c r="Q35" s="93">
        <f t="shared" si="17"/>
        <v>0</v>
      </c>
      <c r="R35" s="93">
        <f t="shared" si="17"/>
        <v>0</v>
      </c>
      <c r="S35" s="93">
        <f t="shared" si="17"/>
        <v>0</v>
      </c>
      <c r="T35" s="93">
        <f t="shared" si="17"/>
        <v>0</v>
      </c>
      <c r="U35" s="93">
        <f t="shared" si="17"/>
        <v>0</v>
      </c>
      <c r="V35" s="93">
        <f t="shared" si="17"/>
        <v>0</v>
      </c>
      <c r="W35" s="93">
        <f t="shared" si="17"/>
        <v>0</v>
      </c>
      <c r="X35" s="93">
        <f>SUM(L35:W35)</f>
        <v>0</v>
      </c>
      <c r="Y35"/>
    </row>
    <row r="36" spans="1:39" ht="15" customHeight="1" x14ac:dyDescent="0.2">
      <c r="A36" s="880"/>
      <c r="B36" s="688"/>
      <c r="C36" s="874" t="s">
        <v>331</v>
      </c>
      <c r="D36" s="875"/>
      <c r="E36" s="105">
        <f>E35</f>
        <v>0</v>
      </c>
      <c r="F36" s="15">
        <f>E36+F35</f>
        <v>0</v>
      </c>
      <c r="G36" s="15">
        <f>F36+G35</f>
        <v>0</v>
      </c>
      <c r="H36" s="15">
        <f>G36+H35</f>
        <v>0</v>
      </c>
      <c r="I36" s="873"/>
    </row>
    <row r="37" spans="1:39" ht="15" customHeight="1" x14ac:dyDescent="0.2">
      <c r="A37" s="880"/>
      <c r="B37" s="688" t="s">
        <v>411</v>
      </c>
      <c r="C37" s="65" t="s">
        <v>405</v>
      </c>
      <c r="D37" s="104">
        <f>Parameters!$C$21</f>
        <v>20000</v>
      </c>
      <c r="E37" s="72">
        <f>E35*$D37</f>
        <v>0</v>
      </c>
      <c r="F37" s="72">
        <f>F35*$D37</f>
        <v>0</v>
      </c>
      <c r="G37" s="72">
        <f>G35*$D37</f>
        <v>0</v>
      </c>
      <c r="H37" s="72">
        <f>H35*$D37</f>
        <v>0</v>
      </c>
      <c r="I37" s="106">
        <f>SUM(E37:H37)</f>
        <v>0</v>
      </c>
      <c r="L37" s="60" t="s">
        <v>196</v>
      </c>
      <c r="M37" s="79">
        <f>P34+$D38</f>
        <v>39813</v>
      </c>
      <c r="N37" s="79">
        <f>Q34+$D38</f>
        <v>39903</v>
      </c>
      <c r="O37" s="79">
        <f>R34+$D38</f>
        <v>39994</v>
      </c>
      <c r="P37" s="79">
        <f>S34+$D38</f>
        <v>40086</v>
      </c>
      <c r="X37" s="69" t="s">
        <v>366</v>
      </c>
    </row>
    <row r="38" spans="1:39" ht="15" customHeight="1" thickBot="1" x14ac:dyDescent="0.25">
      <c r="A38" s="881"/>
      <c r="B38" s="882"/>
      <c r="C38" s="70" t="s">
        <v>332</v>
      </c>
      <c r="D38" s="84">
        <f>Parameters!$B$36</f>
        <v>0</v>
      </c>
      <c r="E38" s="72">
        <f>SUM(L38:P38)+L67+T9</f>
        <v>0</v>
      </c>
      <c r="F38" s="66">
        <f>Q38+M67+U9</f>
        <v>0</v>
      </c>
      <c r="G38" s="66">
        <f>R38+N67+V9</f>
        <v>0</v>
      </c>
      <c r="H38" s="66">
        <f>S38+O67+W9</f>
        <v>0</v>
      </c>
      <c r="I38" s="89">
        <f>SUM(E38:H38)</f>
        <v>0</v>
      </c>
      <c r="L38" s="68">
        <f>IF($M37&lt;=L33,$E37,IF($N37&lt;=L33,$F37,IF($O37&lt;=L33,$G37,IF($P37&lt;=L33,$H37,))))</f>
        <v>0</v>
      </c>
      <c r="M38" s="68">
        <f t="shared" ref="M38:W38" si="18">IF(AND($M37&gt;L33,$M37&lt;=M33),$E37,IF(AND($N37&gt;L33,$N37&lt;=M33),$F37,IF(AND($O37&gt;L33,$O37&lt;=M33),$G37,IF(AND($P37&gt;L33,$P37&lt;=M33),$H37,))))</f>
        <v>0</v>
      </c>
      <c r="N38" s="68">
        <f t="shared" si="18"/>
        <v>0</v>
      </c>
      <c r="O38" s="68">
        <f t="shared" si="18"/>
        <v>0</v>
      </c>
      <c r="P38" s="68">
        <f t="shared" si="18"/>
        <v>0</v>
      </c>
      <c r="Q38" s="68">
        <f t="shared" si="18"/>
        <v>0</v>
      </c>
      <c r="R38" s="68">
        <f t="shared" si="18"/>
        <v>0</v>
      </c>
      <c r="S38" s="68">
        <f t="shared" si="18"/>
        <v>0</v>
      </c>
      <c r="T38" s="68">
        <f t="shared" si="18"/>
        <v>0</v>
      </c>
      <c r="U38" s="68">
        <f t="shared" si="18"/>
        <v>0</v>
      </c>
      <c r="V38" s="68">
        <f t="shared" si="18"/>
        <v>0</v>
      </c>
      <c r="W38" s="68">
        <f t="shared" si="18"/>
        <v>0</v>
      </c>
      <c r="X38" s="68">
        <f>SUM(L38:W38)</f>
        <v>0</v>
      </c>
    </row>
    <row r="39" spans="1:39" ht="15" customHeight="1" x14ac:dyDescent="0.2">
      <c r="A39" s="866" t="s">
        <v>206</v>
      </c>
      <c r="B39" s="870" t="s">
        <v>317</v>
      </c>
      <c r="C39" s="95" t="str">
        <f>C34</f>
        <v>S. Amer.</v>
      </c>
      <c r="D39" s="94">
        <f>1-D34</f>
        <v>1</v>
      </c>
      <c r="E39" s="96">
        <f>Calculations!I3-E34</f>
        <v>50</v>
      </c>
      <c r="F39" s="97">
        <f>Calculations!J3-F34</f>
        <v>50</v>
      </c>
      <c r="G39" s="97">
        <f>Calculations!K3-G34</f>
        <v>50</v>
      </c>
      <c r="H39" s="96">
        <f>Calculations!L3-H34</f>
        <v>50</v>
      </c>
      <c r="I39" s="103">
        <f>SUM(E39:H39)</f>
        <v>200</v>
      </c>
    </row>
    <row r="40" spans="1:39" ht="15" customHeight="1" x14ac:dyDescent="0.2">
      <c r="A40" s="868"/>
      <c r="B40" s="688"/>
      <c r="C40" s="688" t="s">
        <v>139</v>
      </c>
      <c r="D40" s="871"/>
      <c r="E40" s="92">
        <f>SUM(E39:E39)</f>
        <v>50</v>
      </c>
      <c r="F40" s="10">
        <f>SUM(F39:F39)</f>
        <v>50</v>
      </c>
      <c r="G40" s="10">
        <f>SUM(G39:G39)</f>
        <v>50</v>
      </c>
      <c r="H40" s="101">
        <f>SUM(H39:H39)</f>
        <v>50</v>
      </c>
      <c r="I40" s="872">
        <f>H41</f>
        <v>200</v>
      </c>
      <c r="L40"/>
      <c r="M40"/>
      <c r="N40"/>
      <c r="O40"/>
      <c r="P40"/>
      <c r="Q40"/>
      <c r="R40"/>
      <c r="S40"/>
      <c r="T40"/>
      <c r="U40"/>
      <c r="V40"/>
      <c r="W40"/>
      <c r="X40"/>
      <c r="Y40"/>
    </row>
    <row r="41" spans="1:39" ht="15" customHeight="1" x14ac:dyDescent="0.2">
      <c r="A41" s="868"/>
      <c r="B41" s="688"/>
      <c r="C41" s="874" t="s">
        <v>331</v>
      </c>
      <c r="D41" s="875"/>
      <c r="E41" s="105">
        <f>E40</f>
        <v>50</v>
      </c>
      <c r="F41" s="15">
        <f>F40+E41</f>
        <v>100</v>
      </c>
      <c r="G41" s="15">
        <f>G40+F41</f>
        <v>150</v>
      </c>
      <c r="H41" s="15">
        <f>H40+G41</f>
        <v>200</v>
      </c>
      <c r="I41" s="873"/>
      <c r="L41"/>
      <c r="M41"/>
      <c r="N41"/>
      <c r="O41"/>
      <c r="P41"/>
      <c r="Q41"/>
      <c r="R41"/>
      <c r="S41"/>
      <c r="T41"/>
      <c r="U41"/>
      <c r="V41"/>
      <c r="W41"/>
      <c r="X41"/>
      <c r="Y41"/>
    </row>
    <row r="42" spans="1:39" ht="15" customHeight="1" x14ac:dyDescent="0.2">
      <c r="A42" s="868"/>
      <c r="B42" s="566" t="s">
        <v>68</v>
      </c>
      <c r="C42" s="688" t="s">
        <v>412</v>
      </c>
      <c r="D42" s="871"/>
      <c r="E42" s="72">
        <f>E40*$D37</f>
        <v>1000000</v>
      </c>
      <c r="F42" s="66">
        <f>F40*$D37</f>
        <v>1000000</v>
      </c>
      <c r="G42" s="66">
        <f>G40*$D37</f>
        <v>1000000</v>
      </c>
      <c r="H42" s="86">
        <f>H40*$D37</f>
        <v>1000000</v>
      </c>
      <c r="I42" s="74">
        <f>SUM(E42:H42)</f>
        <v>4000000</v>
      </c>
    </row>
    <row r="43" spans="1:39" ht="15" customHeight="1" x14ac:dyDescent="0.2">
      <c r="A43" s="868"/>
      <c r="B43" s="566"/>
      <c r="C43" s="65" t="s">
        <v>413</v>
      </c>
      <c r="D43" s="87">
        <f>1-Parameters!$B$33</f>
        <v>0.19999999999999996</v>
      </c>
      <c r="E43" s="72">
        <f>E42*$D43</f>
        <v>199999.99999999994</v>
      </c>
      <c r="F43" s="66">
        <f>F42*$D43</f>
        <v>199999.99999999994</v>
      </c>
      <c r="G43" s="66">
        <f>G42*$D43</f>
        <v>199999.99999999994</v>
      </c>
      <c r="H43" s="86">
        <f>H42*$D43</f>
        <v>199999.99999999994</v>
      </c>
      <c r="I43" s="106">
        <f>SUM(E43:H43)</f>
        <v>799999.99999999977</v>
      </c>
      <c r="L43" s="60" t="s">
        <v>196</v>
      </c>
      <c r="M43" s="79">
        <f>P34+$D44</f>
        <v>39813</v>
      </c>
      <c r="N43" s="79">
        <f>Q34+$D44</f>
        <v>39903</v>
      </c>
      <c r="O43" s="79">
        <f>R34+$D44</f>
        <v>39994</v>
      </c>
      <c r="P43" s="79">
        <f>S34+$D44</f>
        <v>40086</v>
      </c>
      <c r="X43" s="69" t="s">
        <v>366</v>
      </c>
    </row>
    <row r="44" spans="1:39" ht="15" customHeight="1" x14ac:dyDescent="0.2">
      <c r="A44" s="868"/>
      <c r="B44" s="566"/>
      <c r="C44" s="5" t="s">
        <v>332</v>
      </c>
      <c r="D44" s="73">
        <f>Parameters!$B$36</f>
        <v>0</v>
      </c>
      <c r="E44" s="72">
        <f>SUM(L44:P44)+L73+T15</f>
        <v>199999.99999999994</v>
      </c>
      <c r="F44" s="66">
        <f>Q44+M73+U15</f>
        <v>199999.99999999994</v>
      </c>
      <c r="G44" s="66">
        <f>R44+N73+V15</f>
        <v>199999.99999999994</v>
      </c>
      <c r="H44" s="66">
        <f>S44+O73+W15</f>
        <v>199999.99999999994</v>
      </c>
      <c r="I44" s="74">
        <f>SUM(E44:H44)</f>
        <v>799999.99999999977</v>
      </c>
      <c r="L44" s="68">
        <f>IF($M43&lt;=L33,$E43,IF($N43&lt;=L33,$F43,IF($O43&lt;=L33,$G43,IF($P43&lt;=L33,$H43,))))</f>
        <v>0</v>
      </c>
      <c r="M44" s="68">
        <f t="shared" ref="M44:W44" si="19">IF(AND($M43&gt;L33,$M43&lt;=M33),$E43,IF(AND($N43&gt;L33,$N43&lt;=M33),$F43,IF(AND($O43&gt;L33,$O43&lt;=M33),$G43,IF(AND($P43&gt;L33,$P43&lt;=M33),$H43,))))</f>
        <v>0</v>
      </c>
      <c r="N44" s="68">
        <f t="shared" si="19"/>
        <v>0</v>
      </c>
      <c r="O44" s="68">
        <f t="shared" si="19"/>
        <v>0</v>
      </c>
      <c r="P44" s="68">
        <f t="shared" si="19"/>
        <v>199999.99999999994</v>
      </c>
      <c r="Q44" s="68">
        <f t="shared" si="19"/>
        <v>199999.99999999994</v>
      </c>
      <c r="R44" s="68">
        <f t="shared" si="19"/>
        <v>199999.99999999994</v>
      </c>
      <c r="S44" s="68">
        <f t="shared" si="19"/>
        <v>199999.99999999994</v>
      </c>
      <c r="T44" s="68">
        <f t="shared" si="19"/>
        <v>0</v>
      </c>
      <c r="U44" s="68">
        <f t="shared" si="19"/>
        <v>0</v>
      </c>
      <c r="V44" s="68">
        <f t="shared" si="19"/>
        <v>0</v>
      </c>
      <c r="W44" s="68">
        <f t="shared" si="19"/>
        <v>0</v>
      </c>
      <c r="X44" s="68">
        <f>SUM(L44:W44)</f>
        <v>799999.99999999977</v>
      </c>
    </row>
    <row r="45" spans="1:39" ht="15" customHeight="1" x14ac:dyDescent="0.2">
      <c r="A45" s="868"/>
      <c r="B45" s="566"/>
      <c r="C45" s="65" t="s">
        <v>194</v>
      </c>
      <c r="D45" s="87">
        <f>Parameters!$B$33</f>
        <v>0.8</v>
      </c>
      <c r="E45" s="72">
        <f>E42*$D45</f>
        <v>800000</v>
      </c>
      <c r="F45" s="72">
        <f>F42*$D45</f>
        <v>800000</v>
      </c>
      <c r="G45" s="72">
        <f>G42*$D45</f>
        <v>800000</v>
      </c>
      <c r="H45" s="72">
        <f>H42*$D45</f>
        <v>800000</v>
      </c>
      <c r="I45" s="74">
        <f>SUM(E45:H45)</f>
        <v>3200000</v>
      </c>
      <c r="L45" s="91"/>
      <c r="M45" s="91"/>
      <c r="N45" s="91"/>
      <c r="O45" s="91"/>
      <c r="P45" s="91"/>
      <c r="Q45" s="91"/>
      <c r="R45" s="91"/>
      <c r="S45" s="91"/>
      <c r="T45" s="91"/>
      <c r="U45" s="91"/>
      <c r="V45" s="91"/>
      <c r="W45" s="91"/>
      <c r="X45" s="91"/>
    </row>
    <row r="46" spans="1:39" ht="15" customHeight="1" x14ac:dyDescent="0.2">
      <c r="A46" s="868"/>
      <c r="B46" s="566"/>
      <c r="C46" s="874" t="s">
        <v>331</v>
      </c>
      <c r="D46" s="875"/>
      <c r="E46" s="81">
        <f>E45</f>
        <v>800000</v>
      </c>
      <c r="F46" s="81">
        <f>E46+F45</f>
        <v>1600000</v>
      </c>
      <c r="G46" s="81">
        <f>F46+G45</f>
        <v>2400000</v>
      </c>
      <c r="H46" s="81">
        <f>G46+H45</f>
        <v>3200000</v>
      </c>
      <c r="I46" s="78">
        <f>H46</f>
        <v>3200000</v>
      </c>
      <c r="L46" s="91"/>
      <c r="M46" s="91"/>
      <c r="N46" s="91"/>
      <c r="O46" s="91"/>
      <c r="P46" s="91"/>
      <c r="Q46" s="91"/>
      <c r="R46" s="91"/>
      <c r="S46" s="91"/>
      <c r="T46" s="91"/>
      <c r="U46" s="91"/>
      <c r="V46" s="91"/>
      <c r="W46" s="91"/>
      <c r="X46" s="91"/>
    </row>
    <row r="47" spans="1:39" ht="15" customHeight="1" x14ac:dyDescent="0.2">
      <c r="A47" s="868"/>
      <c r="B47" s="566"/>
      <c r="C47" s="876" t="s">
        <v>390</v>
      </c>
      <c r="D47" s="877"/>
      <c r="E47" s="107">
        <f>L58+Q29</f>
        <v>114942.11618444326</v>
      </c>
      <c r="F47" s="107">
        <f>M58+R29</f>
        <v>186334.73493254464</v>
      </c>
      <c r="G47" s="107">
        <f>N58+S29</f>
        <v>257727.35368064605</v>
      </c>
      <c r="H47" s="107">
        <f>O58+T29</f>
        <v>329119.97242874745</v>
      </c>
      <c r="I47" s="74">
        <f>SUM(E47:H47)</f>
        <v>888124.17722638138</v>
      </c>
      <c r="L47" s="60" t="s">
        <v>196</v>
      </c>
      <c r="M47" s="79">
        <f>P34+$D48</f>
        <v>39843</v>
      </c>
      <c r="N47" s="79">
        <f>Q34+$D48</f>
        <v>39933</v>
      </c>
      <c r="O47" s="79">
        <f>R34+$D48</f>
        <v>40024</v>
      </c>
      <c r="P47" s="79">
        <f>S34+$D48</f>
        <v>40116</v>
      </c>
      <c r="X47" s="69" t="s">
        <v>366</v>
      </c>
    </row>
    <row r="48" spans="1:39" ht="15" customHeight="1" x14ac:dyDescent="0.2">
      <c r="A48" s="868"/>
      <c r="B48" s="566"/>
      <c r="C48" s="75" t="s">
        <v>332</v>
      </c>
      <c r="D48" s="76">
        <f>Parameters!$B$37</f>
        <v>30</v>
      </c>
      <c r="E48" s="112">
        <f>SUM(L48:P48)+L77</f>
        <v>114942.11618444326</v>
      </c>
      <c r="F48" s="71">
        <f>Q48+M77</f>
        <v>186334.73493254464</v>
      </c>
      <c r="G48" s="71">
        <f>R48+N77</f>
        <v>257727.35368064605</v>
      </c>
      <c r="H48" s="71">
        <f>S48+O77</f>
        <v>329119.97242874745</v>
      </c>
      <c r="I48" s="77">
        <f>SUM(E48:H48)</f>
        <v>888124.17722638138</v>
      </c>
      <c r="L48" s="68">
        <f>IF($M47&lt;=L33,$E47,IF($N47&lt;=L33,$F47,IF($O47&lt;=L33,$G47,IF($P47&lt;=L33,$H47,))))</f>
        <v>0</v>
      </c>
      <c r="M48" s="68">
        <f t="shared" ref="M48:W48" si="20">IF(AND($M47&gt;L33,$M47&lt;=M33),$E47,IF(AND($N47&gt;L33,$N47&lt;=M33),$F47,IF(AND($O47&gt;L33,$O47&lt;=M33),$G47,IF(AND($P47&gt;L33,$P47&lt;=M33),$H47,))))</f>
        <v>0</v>
      </c>
      <c r="N48" s="68">
        <f t="shared" si="20"/>
        <v>0</v>
      </c>
      <c r="O48" s="68">
        <f t="shared" si="20"/>
        <v>0</v>
      </c>
      <c r="P48" s="68">
        <f t="shared" si="20"/>
        <v>114942.11618444326</v>
      </c>
      <c r="Q48" s="68">
        <f t="shared" si="20"/>
        <v>186334.73493254464</v>
      </c>
      <c r="R48" s="68">
        <f t="shared" si="20"/>
        <v>257727.35368064605</v>
      </c>
      <c r="S48" s="68">
        <f t="shared" si="20"/>
        <v>329119.97242874745</v>
      </c>
      <c r="T48" s="68">
        <f t="shared" si="20"/>
        <v>0</v>
      </c>
      <c r="U48" s="68">
        <f t="shared" si="20"/>
        <v>0</v>
      </c>
      <c r="V48" s="68">
        <f t="shared" si="20"/>
        <v>0</v>
      </c>
      <c r="W48" s="68">
        <f t="shared" si="20"/>
        <v>0</v>
      </c>
      <c r="X48" s="68">
        <f>SUM(L48:W48)</f>
        <v>888124.17722638138</v>
      </c>
    </row>
    <row r="49" spans="1:39" ht="15" customHeight="1" x14ac:dyDescent="0.2">
      <c r="A49" s="868"/>
      <c r="B49" s="860" t="s">
        <v>410</v>
      </c>
      <c r="C49" s="860"/>
      <c r="D49" s="860"/>
      <c r="E49" s="860"/>
      <c r="F49" s="860"/>
      <c r="G49" s="860"/>
      <c r="H49" s="860"/>
      <c r="I49" s="861"/>
      <c r="L49" s="67">
        <f t="shared" ref="L49:X49" si="21">P33</f>
        <v>39902</v>
      </c>
      <c r="M49" s="67">
        <f t="shared" si="21"/>
        <v>39993</v>
      </c>
      <c r="N49" s="67">
        <f t="shared" si="21"/>
        <v>40085</v>
      </c>
      <c r="O49" s="67">
        <f t="shared" si="21"/>
        <v>40177</v>
      </c>
      <c r="P49" s="67">
        <f t="shared" si="21"/>
        <v>40267</v>
      </c>
      <c r="Q49" s="67">
        <f t="shared" si="21"/>
        <v>40358</v>
      </c>
      <c r="R49" s="67">
        <f t="shared" si="21"/>
        <v>40450</v>
      </c>
      <c r="S49" s="67">
        <f t="shared" si="21"/>
        <v>40542</v>
      </c>
      <c r="T49" s="67">
        <f t="shared" si="21"/>
        <v>40632</v>
      </c>
      <c r="U49" s="67">
        <f t="shared" si="21"/>
        <v>40723</v>
      </c>
      <c r="V49" s="67">
        <f t="shared" si="21"/>
        <v>40815</v>
      </c>
      <c r="W49" s="67">
        <f t="shared" si="21"/>
        <v>40907</v>
      </c>
      <c r="X49" s="67">
        <f t="shared" si="21"/>
        <v>40998</v>
      </c>
      <c r="Y49" s="67">
        <f t="shared" ref="Y49:AI49" si="22">AC33</f>
        <v>41089</v>
      </c>
      <c r="Z49" s="67">
        <f t="shared" si="22"/>
        <v>41181</v>
      </c>
      <c r="AA49" s="67">
        <f t="shared" si="22"/>
        <v>41273</v>
      </c>
      <c r="AB49" s="67">
        <f t="shared" si="22"/>
        <v>41363</v>
      </c>
      <c r="AC49" s="67">
        <f t="shared" si="22"/>
        <v>41454</v>
      </c>
      <c r="AD49" s="67">
        <f t="shared" si="22"/>
        <v>41546</v>
      </c>
      <c r="AE49" s="67">
        <f t="shared" si="22"/>
        <v>41638</v>
      </c>
      <c r="AF49" s="67">
        <f t="shared" si="22"/>
        <v>41728</v>
      </c>
      <c r="AG49" s="67">
        <f t="shared" si="22"/>
        <v>41819</v>
      </c>
      <c r="AH49" s="67">
        <f t="shared" si="22"/>
        <v>41911</v>
      </c>
      <c r="AI49" s="67">
        <f t="shared" si="22"/>
        <v>42003</v>
      </c>
      <c r="AJ49" s="67">
        <f>AN33</f>
        <v>0</v>
      </c>
      <c r="AK49" s="67">
        <f>AO33</f>
        <v>0</v>
      </c>
      <c r="AL49" s="67">
        <f>AP33</f>
        <v>0</v>
      </c>
      <c r="AM49" s="67">
        <f>AQ33</f>
        <v>0</v>
      </c>
    </row>
    <row r="50" spans="1:39" ht="15" customHeight="1" x14ac:dyDescent="0.2">
      <c r="A50" s="868"/>
      <c r="B50" s="860"/>
      <c r="C50" s="860"/>
      <c r="D50" s="860"/>
      <c r="E50" s="860"/>
      <c r="F50" s="860"/>
      <c r="G50" s="860"/>
      <c r="H50" s="860"/>
      <c r="I50" s="861"/>
      <c r="K50" s="110">
        <f>(-PMT(Parameters!$B$31/12,Parameters!$B$32,$E45))*Parameters!$B$32</f>
        <v>856711.42497721675</v>
      </c>
      <c r="L50" s="108">
        <f>(-PMT(Parameters!$B$31/12,Parameters!$B$32,$E45))*Parameters!$K$32</f>
        <v>35696.309374050696</v>
      </c>
      <c r="M50" s="108">
        <f>MIN(((-PMT(Parameters!$B$31/12,Parameters!$B$32,$E45))*3),L51)</f>
        <v>71392.618748101391</v>
      </c>
      <c r="N50" s="108">
        <f>MIN(((-PMT(Parameters!$B$31/12,Parameters!$B$32,$E45))*3),M51)</f>
        <v>71392.618748101391</v>
      </c>
      <c r="O50" s="108">
        <f>MIN(((-PMT(Parameters!$B$31/12,Parameters!$B$32,$E45))*3),N51)</f>
        <v>71392.618748101391</v>
      </c>
      <c r="P50" s="108">
        <f>MIN(((-PMT(Parameters!$B$31/12,Parameters!$B$32,$E45))*3),O51)</f>
        <v>71392.618748101391</v>
      </c>
      <c r="Q50" s="108">
        <f>MIN(((-PMT(Parameters!$B$31/12,Parameters!$B$32,$E45))*3),P51)</f>
        <v>71392.618748101391</v>
      </c>
      <c r="R50" s="108">
        <f>MIN(((-PMT(Parameters!$B$31/12,Parameters!$B$32,$E45))*3),Q51)</f>
        <v>71392.618748101391</v>
      </c>
      <c r="S50" s="108">
        <f>MIN(((-PMT(Parameters!$B$31/12,Parameters!$B$32,$E45))*3),R51)</f>
        <v>71392.618748101391</v>
      </c>
      <c r="T50" s="108">
        <f>MIN(((-PMT(Parameters!$B$31/12,Parameters!$B$32,$E45))*3),S51)</f>
        <v>71392.618748101391</v>
      </c>
      <c r="U50" s="108">
        <f>MIN(((-PMT(Parameters!$B$31/12,Parameters!$B$32,$E45))*3),T51)</f>
        <v>71392.618748101391</v>
      </c>
      <c r="V50" s="108">
        <f>MIN(((-PMT(Parameters!$B$31/12,Parameters!$B$32,$E45))*3),U51)</f>
        <v>71392.618748101391</v>
      </c>
      <c r="W50" s="108">
        <f>MIN(((-PMT(Parameters!$B$31/12,Parameters!$B$32,$E45))*3),V51)</f>
        <v>71392.618748101391</v>
      </c>
      <c r="X50" s="108">
        <f>MIN(((-PMT(Parameters!$B$31/12,Parameters!$B$32,$E45))*3),W51)</f>
        <v>35696.309374050616</v>
      </c>
      <c r="Y50" s="108">
        <f>MIN(((-PMT(Parameters!$B$31/12,Parameters!$B$32,$E45))*3),X51)</f>
        <v>0</v>
      </c>
      <c r="Z50" s="108">
        <f>MIN(((-PMT(Parameters!$B$31/12,Parameters!$B$32,$E45))*3),Y51)</f>
        <v>0</v>
      </c>
      <c r="AA50" s="108">
        <f>MIN(((-PMT(Parameters!$B$31/12,Parameters!$B$32,$E45))*3),Z51)</f>
        <v>0</v>
      </c>
      <c r="AB50" s="108">
        <f>MIN(((-PMT(Parameters!$B$31/12,Parameters!$B$32,$E45))*3),AA51)</f>
        <v>0</v>
      </c>
      <c r="AC50" s="108">
        <f>MIN(((-PMT(Parameters!$B$31/12,Parameters!$B$32,$E45))*3),AB51)</f>
        <v>0</v>
      </c>
      <c r="AD50" s="108">
        <f>MIN(((-PMT(Parameters!$B$31/12,Parameters!$B$32,$E45))*3),AC51)</f>
        <v>0</v>
      </c>
      <c r="AE50" s="108">
        <f>MIN(((-PMT(Parameters!$B$31/12,Parameters!$B$32,$E45))*3),AD51)</f>
        <v>0</v>
      </c>
      <c r="AF50" s="108">
        <f>MIN(((-PMT(Parameters!$B$31/12,Parameters!$B$32,$E45))*3),AE51)</f>
        <v>0</v>
      </c>
      <c r="AG50" s="108">
        <f>MIN(((-PMT(Parameters!$B$31/12,Parameters!$B$32,$E45))*3),AF51)</f>
        <v>0</v>
      </c>
      <c r="AH50" s="108">
        <f>MIN(((-PMT(Parameters!$B$31/12,Parameters!$B$32,$E45))*3),AG51)</f>
        <v>0</v>
      </c>
      <c r="AI50" s="108">
        <f>MIN(((-PMT(Parameters!$B$31/12,Parameters!$B$32,$E45))*3),AH51)</f>
        <v>0</v>
      </c>
      <c r="AJ50" s="108">
        <f>MIN(((-PMT(Parameters!$B$31/12,Parameters!$B$32,$E45))*3),AI51)</f>
        <v>0</v>
      </c>
      <c r="AK50" s="108">
        <f>MIN(((-PMT(Parameters!$B$31/12,Parameters!$B$32,$E45))*3),AJ51)</f>
        <v>0</v>
      </c>
      <c r="AL50" s="108">
        <f>MIN(((-PMT(Parameters!$B$31/12,Parameters!$B$32,$E45))*3),AK51)</f>
        <v>0</v>
      </c>
      <c r="AM50" s="108">
        <f>MIN(((-PMT(Parameters!$B$31/12,Parameters!$B$32,$E45))*3),AL51)</f>
        <v>0</v>
      </c>
    </row>
    <row r="51" spans="1:39" ht="15" customHeight="1" x14ac:dyDescent="0.2">
      <c r="A51" s="868"/>
      <c r="B51" s="860"/>
      <c r="C51" s="860"/>
      <c r="D51" s="860"/>
      <c r="E51" s="860"/>
      <c r="F51" s="860"/>
      <c r="G51" s="860"/>
      <c r="H51" s="860"/>
      <c r="I51" s="861"/>
      <c r="L51" s="109">
        <f>K50-L50</f>
        <v>821015.11560316605</v>
      </c>
      <c r="M51" s="109">
        <f t="shared" ref="M51:AM51" si="23">L51-M50</f>
        <v>749622.49685506464</v>
      </c>
      <c r="N51" s="109">
        <f t="shared" si="23"/>
        <v>678229.87810696324</v>
      </c>
      <c r="O51" s="109">
        <f t="shared" si="23"/>
        <v>606837.25935886183</v>
      </c>
      <c r="P51" s="109">
        <f t="shared" si="23"/>
        <v>535444.64061076043</v>
      </c>
      <c r="Q51" s="109">
        <f t="shared" si="23"/>
        <v>464052.02186265902</v>
      </c>
      <c r="R51" s="109">
        <f t="shared" si="23"/>
        <v>392659.40311455762</v>
      </c>
      <c r="S51" s="109">
        <f t="shared" si="23"/>
        <v>321266.78436645621</v>
      </c>
      <c r="T51" s="109">
        <f t="shared" si="23"/>
        <v>249874.1656183548</v>
      </c>
      <c r="U51" s="109">
        <f t="shared" si="23"/>
        <v>178481.5468702534</v>
      </c>
      <c r="V51" s="109">
        <f t="shared" si="23"/>
        <v>107088.92812215201</v>
      </c>
      <c r="W51" s="109">
        <f t="shared" si="23"/>
        <v>35696.309374050616</v>
      </c>
      <c r="X51" s="109">
        <f t="shared" si="23"/>
        <v>0</v>
      </c>
      <c r="Y51" s="109">
        <f>X51-Y50</f>
        <v>0</v>
      </c>
      <c r="Z51" s="109">
        <f t="shared" si="23"/>
        <v>0</v>
      </c>
      <c r="AA51" s="109">
        <f t="shared" si="23"/>
        <v>0</v>
      </c>
      <c r="AB51" s="109">
        <f t="shared" si="23"/>
        <v>0</v>
      </c>
      <c r="AC51" s="109">
        <f t="shared" si="23"/>
        <v>0</v>
      </c>
      <c r="AD51" s="109">
        <f t="shared" si="23"/>
        <v>0</v>
      </c>
      <c r="AE51" s="109">
        <f t="shared" si="23"/>
        <v>0</v>
      </c>
      <c r="AF51" s="109">
        <f t="shared" si="23"/>
        <v>0</v>
      </c>
      <c r="AG51" s="109">
        <f t="shared" si="23"/>
        <v>0</v>
      </c>
      <c r="AH51" s="109">
        <f t="shared" si="23"/>
        <v>0</v>
      </c>
      <c r="AI51" s="109">
        <f t="shared" si="23"/>
        <v>0</v>
      </c>
      <c r="AJ51" s="109">
        <f t="shared" si="23"/>
        <v>0</v>
      </c>
      <c r="AK51" s="109">
        <f t="shared" si="23"/>
        <v>0</v>
      </c>
      <c r="AL51" s="109">
        <f t="shared" si="23"/>
        <v>0</v>
      </c>
      <c r="AM51" s="109">
        <f t="shared" si="23"/>
        <v>0</v>
      </c>
    </row>
    <row r="52" spans="1:39" ht="15" customHeight="1" x14ac:dyDescent="0.2">
      <c r="A52" s="868"/>
      <c r="B52" s="860"/>
      <c r="C52" s="860"/>
      <c r="D52" s="860"/>
      <c r="E52" s="860"/>
      <c r="F52" s="860"/>
      <c r="G52" s="860"/>
      <c r="H52" s="860"/>
      <c r="I52" s="861"/>
      <c r="K52" s="110">
        <f>(-PMT(Parameters!$B$31/12,Parameters!$B$32,$F45))*Parameters!$B$32</f>
        <v>856711.42497721675</v>
      </c>
      <c r="L52" s="111"/>
      <c r="M52" s="108">
        <f>(-PMT(Parameters!$B$31/12,Parameters!$B$32,$F45))*Parameters!$K$32</f>
        <v>35696.309374050696</v>
      </c>
      <c r="N52" s="108">
        <f>MIN(((-PMT(Parameters!$B$31/12,Parameters!$B$32,$F45))*3),M53)</f>
        <v>71392.618748101391</v>
      </c>
      <c r="O52" s="108">
        <f>MIN(((-PMT(Parameters!$B$31/12,Parameters!$B$32,$F45))*3),N53)</f>
        <v>71392.618748101391</v>
      </c>
      <c r="P52" s="108">
        <f>MIN(((-PMT(Parameters!$B$31/12,Parameters!$B$32,$F45))*3),O53)</f>
        <v>71392.618748101391</v>
      </c>
      <c r="Q52" s="108">
        <f>MIN(((-PMT(Parameters!$B$31/12,Parameters!$B$32,$F45))*3),P53)</f>
        <v>71392.618748101391</v>
      </c>
      <c r="R52" s="108">
        <f>MIN(((-PMT(Parameters!$B$31/12,Parameters!$B$32,$F45))*3),Q53)</f>
        <v>71392.618748101391</v>
      </c>
      <c r="S52" s="108">
        <f>MIN(((-PMT(Parameters!$B$31/12,Parameters!$B$32,$F45))*3),R53)</f>
        <v>71392.618748101391</v>
      </c>
      <c r="T52" s="108">
        <f>MIN(((-PMT(Parameters!$B$31/12,Parameters!$B$32,$F45))*3),S53)</f>
        <v>71392.618748101391</v>
      </c>
      <c r="U52" s="108">
        <f>MIN(((-PMT(Parameters!$B$31/12,Parameters!$B$32,$F45))*3),T53)</f>
        <v>71392.618748101391</v>
      </c>
      <c r="V52" s="108">
        <f>MIN(((-PMT(Parameters!$B$31/12,Parameters!$B$32,$F45))*3),U53)</f>
        <v>71392.618748101391</v>
      </c>
      <c r="W52" s="108">
        <f>MIN(((-PMT(Parameters!$B$31/12,Parameters!$B$32,$F45))*3),V53)</f>
        <v>71392.618748101391</v>
      </c>
      <c r="X52" s="108">
        <f>MIN(((-PMT(Parameters!$B$31/12,Parameters!$B$32,$F45))*3),W53)</f>
        <v>71392.618748101391</v>
      </c>
      <c r="Y52" s="108">
        <f>MIN(((-PMT(Parameters!$B$31/12,Parameters!$B$32,$F45))*3),X53)</f>
        <v>35696.309374050616</v>
      </c>
      <c r="Z52" s="108">
        <f>MIN(((-PMT(Parameters!$B$31/12,Parameters!$B$32,$F45))*3),Y53)</f>
        <v>0</v>
      </c>
      <c r="AA52" s="108">
        <f>MIN(((-PMT(Parameters!$B$31/12,Parameters!$B$32,$F45))*3),Z53)</f>
        <v>0</v>
      </c>
      <c r="AB52" s="108">
        <f>MIN(((-PMT(Parameters!$B$31/12,Parameters!$B$32,$F45))*3),AA53)</f>
        <v>0</v>
      </c>
      <c r="AC52" s="108">
        <f>MIN(((-PMT(Parameters!$B$31/12,Parameters!$B$32,$F45))*3),AB53)</f>
        <v>0</v>
      </c>
      <c r="AD52" s="108">
        <f>MIN(((-PMT(Parameters!$B$31/12,Parameters!$B$32,$F45))*3),AC53)</f>
        <v>0</v>
      </c>
      <c r="AE52" s="108">
        <f>MIN(((-PMT(Parameters!$B$31/12,Parameters!$B$32,$F45))*3),AD53)</f>
        <v>0</v>
      </c>
      <c r="AF52" s="108">
        <f>MIN(((-PMT(Parameters!$B$31/12,Parameters!$B$32,$F45))*3),AE53)</f>
        <v>0</v>
      </c>
      <c r="AG52" s="108">
        <f>MIN(((-PMT(Parameters!$B$31/12,Parameters!$B$32,$F45))*3),AF53)</f>
        <v>0</v>
      </c>
      <c r="AH52" s="108">
        <f>MIN(((-PMT(Parameters!$B$31/12,Parameters!$B$32,$F45))*3),AG53)</f>
        <v>0</v>
      </c>
      <c r="AI52" s="108">
        <f>MIN(((-PMT(Parameters!$B$31/12,Parameters!$B$32,$F45))*3),AH53)</f>
        <v>0</v>
      </c>
      <c r="AJ52" s="108">
        <f>MIN(((-PMT(Parameters!$B$31/12,Parameters!$B$32,$F45))*3),AI53)</f>
        <v>0</v>
      </c>
      <c r="AK52" s="108">
        <f>MIN(((-PMT(Parameters!$B$31/12,Parameters!$B$32,$F45))*3),AJ53)</f>
        <v>0</v>
      </c>
      <c r="AL52" s="108">
        <f>MIN(((-PMT(Parameters!$B$31/12,Parameters!$B$32,$F45))*3),AK53)</f>
        <v>0</v>
      </c>
      <c r="AM52" s="108">
        <f>MIN(((-PMT(Parameters!$B$31/12,Parameters!$B$32,$F45))*3),AL53)</f>
        <v>0</v>
      </c>
    </row>
    <row r="53" spans="1:39" ht="15" customHeight="1" x14ac:dyDescent="0.2">
      <c r="A53" s="868"/>
      <c r="B53" s="860"/>
      <c r="C53" s="860"/>
      <c r="D53" s="860"/>
      <c r="E53" s="860"/>
      <c r="F53" s="860"/>
      <c r="G53" s="860"/>
      <c r="H53" s="860"/>
      <c r="I53" s="861"/>
      <c r="L53" s="109">
        <f>K52</f>
        <v>856711.42497721675</v>
      </c>
      <c r="M53" s="109">
        <f t="shared" ref="M53:AM53" si="24">L53-M52</f>
        <v>821015.11560316605</v>
      </c>
      <c r="N53" s="109">
        <f t="shared" si="24"/>
        <v>749622.49685506464</v>
      </c>
      <c r="O53" s="109">
        <f t="shared" si="24"/>
        <v>678229.87810696324</v>
      </c>
      <c r="P53" s="109">
        <f t="shared" si="24"/>
        <v>606837.25935886183</v>
      </c>
      <c r="Q53" s="109">
        <f t="shared" si="24"/>
        <v>535444.64061076043</v>
      </c>
      <c r="R53" s="109">
        <f t="shared" si="24"/>
        <v>464052.02186265902</v>
      </c>
      <c r="S53" s="109">
        <f t="shared" si="24"/>
        <v>392659.40311455762</v>
      </c>
      <c r="T53" s="109">
        <f t="shared" si="24"/>
        <v>321266.78436645621</v>
      </c>
      <c r="U53" s="109">
        <f t="shared" si="24"/>
        <v>249874.1656183548</v>
      </c>
      <c r="V53" s="109">
        <f t="shared" si="24"/>
        <v>178481.5468702534</v>
      </c>
      <c r="W53" s="109">
        <f t="shared" si="24"/>
        <v>107088.92812215201</v>
      </c>
      <c r="X53" s="109">
        <f t="shared" si="24"/>
        <v>35696.309374050616</v>
      </c>
      <c r="Y53" s="109">
        <f>X53-Y52</f>
        <v>0</v>
      </c>
      <c r="Z53" s="109">
        <f t="shared" si="24"/>
        <v>0</v>
      </c>
      <c r="AA53" s="109">
        <f t="shared" si="24"/>
        <v>0</v>
      </c>
      <c r="AB53" s="109">
        <f t="shared" si="24"/>
        <v>0</v>
      </c>
      <c r="AC53" s="109">
        <f t="shared" si="24"/>
        <v>0</v>
      </c>
      <c r="AD53" s="109">
        <f t="shared" si="24"/>
        <v>0</v>
      </c>
      <c r="AE53" s="109">
        <f t="shared" si="24"/>
        <v>0</v>
      </c>
      <c r="AF53" s="109">
        <f t="shared" si="24"/>
        <v>0</v>
      </c>
      <c r="AG53" s="109">
        <f t="shared" si="24"/>
        <v>0</v>
      </c>
      <c r="AH53" s="109">
        <f t="shared" si="24"/>
        <v>0</v>
      </c>
      <c r="AI53" s="109">
        <f t="shared" si="24"/>
        <v>0</v>
      </c>
      <c r="AJ53" s="109">
        <f t="shared" si="24"/>
        <v>0</v>
      </c>
      <c r="AK53" s="109">
        <f t="shared" si="24"/>
        <v>0</v>
      </c>
      <c r="AL53" s="109">
        <f t="shared" si="24"/>
        <v>0</v>
      </c>
      <c r="AM53" s="109">
        <f t="shared" si="24"/>
        <v>0</v>
      </c>
    </row>
    <row r="54" spans="1:39" ht="15" customHeight="1" x14ac:dyDescent="0.2">
      <c r="A54" s="868"/>
      <c r="B54" s="860"/>
      <c r="C54" s="860"/>
      <c r="D54" s="860"/>
      <c r="E54" s="860"/>
      <c r="F54" s="860"/>
      <c r="G54" s="860"/>
      <c r="H54" s="860"/>
      <c r="I54" s="861"/>
      <c r="K54" s="110">
        <f>(-PMT(Parameters!$B$31/12,Parameters!$B$32,$G45))*Parameters!$B$32</f>
        <v>856711.42497721675</v>
      </c>
      <c r="L54" s="111"/>
      <c r="M54" s="111"/>
      <c r="N54" s="108">
        <f>(-PMT(Parameters!$B$31/12,Parameters!$B$32,$G45))*Parameters!$K$32</f>
        <v>35696.309374050696</v>
      </c>
      <c r="O54" s="108">
        <f>MIN(((-PMT(Parameters!$B$31/12,Parameters!$B$32,$G45))*3),N55)</f>
        <v>71392.618748101391</v>
      </c>
      <c r="P54" s="108">
        <f>MIN(((-PMT(Parameters!$B$31/12,Parameters!$B$32,$G45))*3),O55)</f>
        <v>71392.618748101391</v>
      </c>
      <c r="Q54" s="108">
        <f>MIN(((-PMT(Parameters!$B$31/12,Parameters!$B$32,$G45))*3),P55)</f>
        <v>71392.618748101391</v>
      </c>
      <c r="R54" s="108">
        <f>MIN(((-PMT(Parameters!$B$31/12,Parameters!$B$32,$G45))*3),Q55)</f>
        <v>71392.618748101391</v>
      </c>
      <c r="S54" s="108">
        <f>MIN(((-PMT(Parameters!$B$31/12,Parameters!$B$32,$G45))*3),R55)</f>
        <v>71392.618748101391</v>
      </c>
      <c r="T54" s="108">
        <f>MIN(((-PMT(Parameters!$B$31/12,Parameters!$B$32,$G45))*3),S55)</f>
        <v>71392.618748101391</v>
      </c>
      <c r="U54" s="108">
        <f>MIN(((-PMT(Parameters!$B$31/12,Parameters!$B$32,$G45))*3),T55)</f>
        <v>71392.618748101391</v>
      </c>
      <c r="V54" s="108">
        <f>MIN(((-PMT(Parameters!$B$31/12,Parameters!$B$32,$G45))*3),U55)</f>
        <v>71392.618748101391</v>
      </c>
      <c r="W54" s="108">
        <f>MIN(((-PMT(Parameters!$B$31/12,Parameters!$B$32,$G45))*3),V55)</f>
        <v>71392.618748101391</v>
      </c>
      <c r="X54" s="108">
        <f>MIN(((-PMT(Parameters!$B$31/12,Parameters!$B$32,$G45))*3),W55)</f>
        <v>71392.618748101391</v>
      </c>
      <c r="Y54" s="108">
        <f>MIN(((-PMT(Parameters!$B$31/12,Parameters!$B$32,$G45))*3),X55)</f>
        <v>71392.618748101391</v>
      </c>
      <c r="Z54" s="108">
        <f>MIN(((-PMT(Parameters!$B$31/12,Parameters!$B$32,$G45))*3),Y55)</f>
        <v>35696.309374050616</v>
      </c>
      <c r="AA54" s="108">
        <f>MIN(((-PMT(Parameters!$B$31/12,Parameters!$B$32,$G45))*3),Z55)</f>
        <v>0</v>
      </c>
      <c r="AB54" s="108">
        <f>MIN(((-PMT(Parameters!$B$31/12,Parameters!$B$32,$G45))*3),AA55)</f>
        <v>0</v>
      </c>
      <c r="AC54" s="108">
        <f>MIN(((-PMT(Parameters!$B$31/12,Parameters!$B$32,$G45))*3),AB55)</f>
        <v>0</v>
      </c>
      <c r="AD54" s="108">
        <f>MIN(((-PMT(Parameters!$B$31/12,Parameters!$B$32,$G45))*3),AC55)</f>
        <v>0</v>
      </c>
      <c r="AE54" s="108">
        <f>MIN(((-PMT(Parameters!$B$31/12,Parameters!$B$32,$G45))*3),AD55)</f>
        <v>0</v>
      </c>
      <c r="AF54" s="108">
        <f>MIN(((-PMT(Parameters!$B$31/12,Parameters!$B$32,$G45))*3),AE55)</f>
        <v>0</v>
      </c>
      <c r="AG54" s="108">
        <f>MIN(((-PMT(Parameters!$B$31/12,Parameters!$B$32,$G45))*3),AF55)</f>
        <v>0</v>
      </c>
      <c r="AH54" s="108">
        <f>MIN(((-PMT(Parameters!$B$31/12,Parameters!$B$32,$G45))*3),AG55)</f>
        <v>0</v>
      </c>
      <c r="AI54" s="108">
        <f>MIN(((-PMT(Parameters!$B$31/12,Parameters!$B$32,$G45))*3),AH55)</f>
        <v>0</v>
      </c>
      <c r="AJ54" s="108">
        <f>MIN(((-PMT(Parameters!$B$31/12,Parameters!$B$32,$G45))*3),AI55)</f>
        <v>0</v>
      </c>
      <c r="AK54" s="108">
        <f>MIN(((-PMT(Parameters!$B$31/12,Parameters!$B$32,$G45))*3),AJ55)</f>
        <v>0</v>
      </c>
      <c r="AL54" s="108">
        <f>MIN(((-PMT(Parameters!$B$31/12,Parameters!$B$32,$G45))*3),AK55)</f>
        <v>0</v>
      </c>
      <c r="AM54" s="108">
        <f>MIN(((-PMT(Parameters!$B$31/12,Parameters!$B$32,$G45))*3),AL55)</f>
        <v>0</v>
      </c>
    </row>
    <row r="55" spans="1:39" ht="15" customHeight="1" x14ac:dyDescent="0.2">
      <c r="A55" s="868"/>
      <c r="B55" s="860"/>
      <c r="C55" s="860"/>
      <c r="D55" s="860"/>
      <c r="E55" s="860"/>
      <c r="F55" s="860"/>
      <c r="G55" s="860"/>
      <c r="H55" s="860"/>
      <c r="I55" s="861"/>
      <c r="L55" s="109">
        <f>K54</f>
        <v>856711.42497721675</v>
      </c>
      <c r="M55" s="109">
        <f>L55</f>
        <v>856711.42497721675</v>
      </c>
      <c r="N55" s="109">
        <f t="shared" ref="N55:AM55" si="25">M55-N54</f>
        <v>821015.11560316605</v>
      </c>
      <c r="O55" s="109">
        <f t="shared" si="25"/>
        <v>749622.49685506464</v>
      </c>
      <c r="P55" s="109">
        <f t="shared" si="25"/>
        <v>678229.87810696324</v>
      </c>
      <c r="Q55" s="109">
        <f t="shared" si="25"/>
        <v>606837.25935886183</v>
      </c>
      <c r="R55" s="109">
        <f t="shared" si="25"/>
        <v>535444.64061076043</v>
      </c>
      <c r="S55" s="109">
        <f t="shared" si="25"/>
        <v>464052.02186265902</v>
      </c>
      <c r="T55" s="109">
        <f t="shared" si="25"/>
        <v>392659.40311455762</v>
      </c>
      <c r="U55" s="109">
        <f t="shared" si="25"/>
        <v>321266.78436645621</v>
      </c>
      <c r="V55" s="109">
        <f t="shared" si="25"/>
        <v>249874.1656183548</v>
      </c>
      <c r="W55" s="109">
        <f t="shared" si="25"/>
        <v>178481.5468702534</v>
      </c>
      <c r="X55" s="109">
        <f t="shared" si="25"/>
        <v>107088.92812215201</v>
      </c>
      <c r="Y55" s="109">
        <f>X55-Y54</f>
        <v>35696.309374050616</v>
      </c>
      <c r="Z55" s="109">
        <f t="shared" si="25"/>
        <v>0</v>
      </c>
      <c r="AA55" s="109">
        <f t="shared" si="25"/>
        <v>0</v>
      </c>
      <c r="AB55" s="109">
        <f t="shared" si="25"/>
        <v>0</v>
      </c>
      <c r="AC55" s="109">
        <f t="shared" si="25"/>
        <v>0</v>
      </c>
      <c r="AD55" s="109">
        <f t="shared" si="25"/>
        <v>0</v>
      </c>
      <c r="AE55" s="109">
        <f t="shared" si="25"/>
        <v>0</v>
      </c>
      <c r="AF55" s="109">
        <f t="shared" si="25"/>
        <v>0</v>
      </c>
      <c r="AG55" s="109">
        <f t="shared" si="25"/>
        <v>0</v>
      </c>
      <c r="AH55" s="109">
        <f t="shared" si="25"/>
        <v>0</v>
      </c>
      <c r="AI55" s="109">
        <f t="shared" si="25"/>
        <v>0</v>
      </c>
      <c r="AJ55" s="109">
        <f t="shared" si="25"/>
        <v>0</v>
      </c>
      <c r="AK55" s="109">
        <f t="shared" si="25"/>
        <v>0</v>
      </c>
      <c r="AL55" s="109">
        <f t="shared" si="25"/>
        <v>0</v>
      </c>
      <c r="AM55" s="109">
        <f t="shared" si="25"/>
        <v>0</v>
      </c>
    </row>
    <row r="56" spans="1:39" ht="15" customHeight="1" x14ac:dyDescent="0.2">
      <c r="A56" s="868"/>
      <c r="B56" s="860"/>
      <c r="C56" s="860"/>
      <c r="D56" s="860"/>
      <c r="E56" s="860"/>
      <c r="F56" s="860"/>
      <c r="G56" s="860"/>
      <c r="H56" s="860"/>
      <c r="I56" s="861"/>
      <c r="K56" s="110">
        <f>(-PMT(Parameters!$B$31/12,Parameters!$B$32,$H45))*Parameters!$B$32</f>
        <v>856711.42497721675</v>
      </c>
      <c r="L56" s="111"/>
      <c r="M56" s="111"/>
      <c r="N56" s="111"/>
      <c r="O56" s="108">
        <f>(-PMT(Parameters!$B$31/12,Parameters!$B$32,$H45))*Parameters!$K$32</f>
        <v>35696.309374050696</v>
      </c>
      <c r="P56" s="108">
        <f>MIN(((-PMT(Parameters!$B$31/12,Parameters!$B$32,$H45))*3),O57)</f>
        <v>71392.618748101391</v>
      </c>
      <c r="Q56" s="108">
        <f>MIN(((-PMT(Parameters!$B$31/12,Parameters!$B$32,$H45))*3),P57)</f>
        <v>71392.618748101391</v>
      </c>
      <c r="R56" s="108">
        <f>MIN(((-PMT(Parameters!$B$31/12,Parameters!$B$32,$H45))*3),Q57)</f>
        <v>71392.618748101391</v>
      </c>
      <c r="S56" s="108">
        <f>MIN(((-PMT(Parameters!$B$31/12,Parameters!$B$32,$H45))*3),R57)</f>
        <v>71392.618748101391</v>
      </c>
      <c r="T56" s="108">
        <f>MIN(((-PMT(Parameters!$B$31/12,Parameters!$B$32,$H45))*3),S57)</f>
        <v>71392.618748101391</v>
      </c>
      <c r="U56" s="108">
        <f>MIN(((-PMT(Parameters!$B$31/12,Parameters!$B$32,$H45))*3),T57)</f>
        <v>71392.618748101391</v>
      </c>
      <c r="V56" s="108">
        <f>MIN(((-PMT(Parameters!$B$31/12,Parameters!$B$32,$H45))*3),U57)</f>
        <v>71392.618748101391</v>
      </c>
      <c r="W56" s="108">
        <f>MIN(((-PMT(Parameters!$B$31/12,Parameters!$B$32,$H45))*3),V57)</f>
        <v>71392.618748101391</v>
      </c>
      <c r="X56" s="108">
        <f>MIN(((-PMT(Parameters!$B$31/12,Parameters!$B$32,$H45))*3),W57)</f>
        <v>71392.618748101391</v>
      </c>
      <c r="Y56" s="108">
        <f>MIN(((-PMT(Parameters!$B$31/12,Parameters!$B$32,$H45))*3),X57)</f>
        <v>71392.618748101391</v>
      </c>
      <c r="Z56" s="108">
        <f>MIN(((-PMT(Parameters!$B$31/12,Parameters!$B$32,$H45))*3),Y57)</f>
        <v>71392.618748101391</v>
      </c>
      <c r="AA56" s="108">
        <f>MIN(((-PMT(Parameters!$B$31/12,Parameters!$B$32,$H45))*3),Z57)</f>
        <v>35696.309374050616</v>
      </c>
      <c r="AB56" s="108">
        <f>MIN(((-PMT(Parameters!$B$31/12,Parameters!$B$32,$H45))*3),AA57)</f>
        <v>0</v>
      </c>
      <c r="AC56" s="108">
        <f>MIN(((-PMT(Parameters!$B$31/12,Parameters!$B$32,$H45))*3),AB57)</f>
        <v>0</v>
      </c>
      <c r="AD56" s="108">
        <f>MIN(((-PMT(Parameters!$B$31/12,Parameters!$B$32,$H45))*3),AC57)</f>
        <v>0</v>
      </c>
      <c r="AE56" s="108">
        <f>MIN(((-PMT(Parameters!$B$31/12,Parameters!$B$32,$H45))*3),AD57)</f>
        <v>0</v>
      </c>
      <c r="AF56" s="108">
        <f>MIN(((-PMT(Parameters!$B$31/12,Parameters!$B$32,$H45))*3),AE57)</f>
        <v>0</v>
      </c>
      <c r="AG56" s="108">
        <f>MIN(((-PMT(Parameters!$B$31/12,Parameters!$B$32,$H45))*3),AF57)</f>
        <v>0</v>
      </c>
      <c r="AH56" s="108">
        <f>MIN(((-PMT(Parameters!$B$31/12,Parameters!$B$32,$H45))*3),AG57)</f>
        <v>0</v>
      </c>
      <c r="AI56" s="108">
        <f>MIN(((-PMT(Parameters!$B$31/12,Parameters!$B$32,$H45))*3),AH57)</f>
        <v>0</v>
      </c>
      <c r="AJ56" s="108">
        <f>MIN(((-PMT(Parameters!$B$31/12,Parameters!$B$32,$H45))*3),AI57)</f>
        <v>0</v>
      </c>
      <c r="AK56" s="108">
        <f>MIN(((-PMT(Parameters!$B$31/12,Parameters!$B$32,$H45))*3),AJ57)</f>
        <v>0</v>
      </c>
      <c r="AL56" s="108">
        <f>MIN(((-PMT(Parameters!$B$31/12,Parameters!$B$32,$H45))*3),AK57)</f>
        <v>0</v>
      </c>
      <c r="AM56" s="108">
        <f>MIN(((-PMT(Parameters!$B$31/12,Parameters!$B$32,$H45))*3),AL57)</f>
        <v>0</v>
      </c>
    </row>
    <row r="57" spans="1:39" ht="15" customHeight="1" x14ac:dyDescent="0.2">
      <c r="A57" s="868"/>
      <c r="B57" s="860"/>
      <c r="C57" s="860"/>
      <c r="D57" s="860"/>
      <c r="E57" s="860"/>
      <c r="F57" s="860"/>
      <c r="G57" s="860"/>
      <c r="H57" s="860"/>
      <c r="I57" s="861"/>
      <c r="L57" s="109">
        <f>K56</f>
        <v>856711.42497721675</v>
      </c>
      <c r="M57" s="109">
        <f>L57</f>
        <v>856711.42497721675</v>
      </c>
      <c r="N57" s="109">
        <f t="shared" ref="N57:AM57" si="26">M57-N56</f>
        <v>856711.42497721675</v>
      </c>
      <c r="O57" s="109">
        <f t="shared" si="26"/>
        <v>821015.11560316605</v>
      </c>
      <c r="P57" s="109">
        <f t="shared" si="26"/>
        <v>749622.49685506464</v>
      </c>
      <c r="Q57" s="109">
        <f t="shared" si="26"/>
        <v>678229.87810696324</v>
      </c>
      <c r="R57" s="109">
        <f t="shared" si="26"/>
        <v>606837.25935886183</v>
      </c>
      <c r="S57" s="109">
        <f t="shared" si="26"/>
        <v>535444.64061076043</v>
      </c>
      <c r="T57" s="109">
        <f t="shared" si="26"/>
        <v>464052.02186265902</v>
      </c>
      <c r="U57" s="109">
        <f t="shared" si="26"/>
        <v>392659.40311455762</v>
      </c>
      <c r="V57" s="109">
        <f t="shared" si="26"/>
        <v>321266.78436645621</v>
      </c>
      <c r="W57" s="109">
        <f t="shared" si="26"/>
        <v>249874.1656183548</v>
      </c>
      <c r="X57" s="109">
        <f t="shared" si="26"/>
        <v>178481.5468702534</v>
      </c>
      <c r="Y57" s="109">
        <f>X57-Y56</f>
        <v>107088.92812215201</v>
      </c>
      <c r="Z57" s="109">
        <f t="shared" si="26"/>
        <v>35696.309374050616</v>
      </c>
      <c r="AA57" s="109">
        <f t="shared" si="26"/>
        <v>0</v>
      </c>
      <c r="AB57" s="109">
        <f t="shared" si="26"/>
        <v>0</v>
      </c>
      <c r="AC57" s="109">
        <f t="shared" si="26"/>
        <v>0</v>
      </c>
      <c r="AD57" s="109">
        <f t="shared" si="26"/>
        <v>0</v>
      </c>
      <c r="AE57" s="109">
        <f t="shared" si="26"/>
        <v>0</v>
      </c>
      <c r="AF57" s="109">
        <f t="shared" si="26"/>
        <v>0</v>
      </c>
      <c r="AG57" s="109">
        <f t="shared" si="26"/>
        <v>0</v>
      </c>
      <c r="AH57" s="109">
        <f t="shared" si="26"/>
        <v>0</v>
      </c>
      <c r="AI57" s="109">
        <f t="shared" si="26"/>
        <v>0</v>
      </c>
      <c r="AJ57" s="109">
        <f t="shared" si="26"/>
        <v>0</v>
      </c>
      <c r="AK57" s="109">
        <f t="shared" si="26"/>
        <v>0</v>
      </c>
      <c r="AL57" s="109">
        <f t="shared" si="26"/>
        <v>0</v>
      </c>
      <c r="AM57" s="109">
        <f t="shared" si="26"/>
        <v>0</v>
      </c>
    </row>
    <row r="58" spans="1:39" ht="15" customHeight="1" x14ac:dyDescent="0.2">
      <c r="A58" s="868"/>
      <c r="B58" s="860"/>
      <c r="C58" s="860"/>
      <c r="D58" s="860"/>
      <c r="E58" s="860"/>
      <c r="F58" s="860"/>
      <c r="G58" s="860"/>
      <c r="H58" s="860"/>
      <c r="I58" s="861"/>
      <c r="L58" s="109">
        <f>L50+L52+L54+L56</f>
        <v>35696.309374050696</v>
      </c>
      <c r="M58" s="109">
        <f t="shared" ref="M58:AM58" si="27">M50+M52+M54+M56</f>
        <v>107088.92812215208</v>
      </c>
      <c r="N58" s="109">
        <f t="shared" si="27"/>
        <v>178481.54687025349</v>
      </c>
      <c r="O58" s="109">
        <f t="shared" si="27"/>
        <v>249874.16561835486</v>
      </c>
      <c r="P58" s="109">
        <f t="shared" si="27"/>
        <v>285570.47499240556</v>
      </c>
      <c r="Q58" s="109">
        <f t="shared" si="27"/>
        <v>285570.47499240556</v>
      </c>
      <c r="R58" s="109">
        <f t="shared" si="27"/>
        <v>285570.47499240556</v>
      </c>
      <c r="S58" s="109">
        <f t="shared" si="27"/>
        <v>285570.47499240556</v>
      </c>
      <c r="T58" s="109">
        <f t="shared" si="27"/>
        <v>285570.47499240556</v>
      </c>
      <c r="U58" s="109">
        <f t="shared" si="27"/>
        <v>285570.47499240556</v>
      </c>
      <c r="V58" s="109">
        <f t="shared" si="27"/>
        <v>285570.47499240556</v>
      </c>
      <c r="W58" s="109">
        <f t="shared" si="27"/>
        <v>285570.47499240556</v>
      </c>
      <c r="X58" s="109">
        <f t="shared" si="27"/>
        <v>249874.1656183548</v>
      </c>
      <c r="Y58" s="109">
        <f t="shared" si="27"/>
        <v>178481.5468702534</v>
      </c>
      <c r="Z58" s="109">
        <f t="shared" si="27"/>
        <v>107088.92812215201</v>
      </c>
      <c r="AA58" s="109">
        <f t="shared" si="27"/>
        <v>35696.309374050616</v>
      </c>
      <c r="AB58" s="109">
        <f t="shared" si="27"/>
        <v>0</v>
      </c>
      <c r="AC58" s="109">
        <f t="shared" si="27"/>
        <v>0</v>
      </c>
      <c r="AD58" s="109">
        <f t="shared" si="27"/>
        <v>0</v>
      </c>
      <c r="AE58" s="109">
        <f t="shared" si="27"/>
        <v>0</v>
      </c>
      <c r="AF58" s="109">
        <f t="shared" si="27"/>
        <v>0</v>
      </c>
      <c r="AG58" s="109">
        <f t="shared" si="27"/>
        <v>0</v>
      </c>
      <c r="AH58" s="109">
        <f t="shared" si="27"/>
        <v>0</v>
      </c>
      <c r="AI58" s="109">
        <f t="shared" si="27"/>
        <v>0</v>
      </c>
      <c r="AJ58" s="109">
        <f t="shared" si="27"/>
        <v>0</v>
      </c>
      <c r="AK58" s="109">
        <f t="shared" si="27"/>
        <v>0</v>
      </c>
      <c r="AL58" s="109">
        <f t="shared" si="27"/>
        <v>0</v>
      </c>
      <c r="AM58" s="109">
        <f t="shared" si="27"/>
        <v>0</v>
      </c>
    </row>
    <row r="59" spans="1:39" ht="15" customHeight="1" thickBot="1" x14ac:dyDescent="0.25">
      <c r="A59" s="869"/>
      <c r="B59" s="862"/>
      <c r="C59" s="862"/>
      <c r="D59" s="862"/>
      <c r="E59" s="862"/>
      <c r="F59" s="862"/>
      <c r="G59" s="862"/>
      <c r="H59" s="862"/>
      <c r="I59" s="863"/>
      <c r="L59"/>
      <c r="M59"/>
      <c r="N59"/>
      <c r="O59"/>
      <c r="P59"/>
      <c r="Q59"/>
      <c r="R59"/>
      <c r="S59"/>
      <c r="T59"/>
      <c r="U59"/>
      <c r="V59"/>
      <c r="W59"/>
      <c r="X59"/>
      <c r="Y59"/>
      <c r="Z59"/>
      <c r="AA59"/>
      <c r="AB59"/>
      <c r="AC59"/>
      <c r="AD59"/>
      <c r="AE59"/>
      <c r="AF59"/>
      <c r="AG59"/>
      <c r="AH59"/>
      <c r="AI59"/>
      <c r="AJ59"/>
      <c r="AK59"/>
      <c r="AL59"/>
      <c r="AM59"/>
    </row>
    <row r="60" spans="1:39" ht="13.2" thickBot="1" x14ac:dyDescent="0.25"/>
    <row r="61" spans="1:39" ht="16.05" customHeight="1" x14ac:dyDescent="0.2">
      <c r="A61" s="889">
        <v>2014</v>
      </c>
      <c r="B61" s="890"/>
      <c r="C61" s="893" t="s">
        <v>198</v>
      </c>
      <c r="D61" s="894"/>
      <c r="E61" s="864" t="s">
        <v>406</v>
      </c>
      <c r="F61" s="883" t="s">
        <v>407</v>
      </c>
      <c r="G61" s="883" t="s">
        <v>408</v>
      </c>
      <c r="H61" s="885" t="s">
        <v>409</v>
      </c>
      <c r="I61" s="887" t="s">
        <v>498</v>
      </c>
      <c r="L61" s="85">
        <f>T3</f>
        <v>39813</v>
      </c>
      <c r="M61" s="85">
        <f>L62+1</f>
        <v>39903</v>
      </c>
      <c r="N61" s="85">
        <f t="shared" ref="N61:AM61" si="28">M62+1</f>
        <v>39994</v>
      </c>
      <c r="O61" s="85">
        <f t="shared" si="28"/>
        <v>40086</v>
      </c>
      <c r="P61" s="85">
        <f t="shared" si="28"/>
        <v>40178</v>
      </c>
      <c r="Q61" s="85">
        <f t="shared" si="28"/>
        <v>40268</v>
      </c>
      <c r="R61" s="85">
        <f t="shared" si="28"/>
        <v>40359</v>
      </c>
      <c r="S61" s="85">
        <f t="shared" si="28"/>
        <v>40451</v>
      </c>
      <c r="T61" s="85">
        <f t="shared" si="28"/>
        <v>40543</v>
      </c>
      <c r="U61" s="85">
        <f t="shared" si="28"/>
        <v>40633</v>
      </c>
      <c r="V61" s="85">
        <f t="shared" si="28"/>
        <v>40724</v>
      </c>
      <c r="W61" s="85">
        <f t="shared" si="28"/>
        <v>40816</v>
      </c>
      <c r="X61" s="85">
        <f t="shared" si="28"/>
        <v>40908</v>
      </c>
      <c r="Y61" s="85">
        <f>X62+1</f>
        <v>40999</v>
      </c>
      <c r="Z61" s="85">
        <f t="shared" si="28"/>
        <v>41090</v>
      </c>
      <c r="AA61" s="85">
        <f t="shared" si="28"/>
        <v>41182</v>
      </c>
      <c r="AB61" s="85">
        <f t="shared" si="28"/>
        <v>41274</v>
      </c>
      <c r="AC61" s="85">
        <f t="shared" si="28"/>
        <v>41364</v>
      </c>
      <c r="AD61" s="85">
        <f t="shared" si="28"/>
        <v>41455</v>
      </c>
      <c r="AE61" s="85">
        <f t="shared" si="28"/>
        <v>41547</v>
      </c>
      <c r="AF61" s="85">
        <f t="shared" si="28"/>
        <v>41639</v>
      </c>
      <c r="AG61" s="85">
        <f t="shared" si="28"/>
        <v>41729</v>
      </c>
      <c r="AH61" s="85">
        <f t="shared" si="28"/>
        <v>41820</v>
      </c>
      <c r="AI61" s="85">
        <f t="shared" si="28"/>
        <v>41912</v>
      </c>
      <c r="AJ61" s="85">
        <f t="shared" si="28"/>
        <v>42004</v>
      </c>
      <c r="AK61" s="85">
        <f t="shared" si="28"/>
        <v>42094</v>
      </c>
      <c r="AL61" s="85">
        <f t="shared" si="28"/>
        <v>42185</v>
      </c>
      <c r="AM61" s="85">
        <f t="shared" si="28"/>
        <v>42277</v>
      </c>
    </row>
    <row r="62" spans="1:39" ht="16.05" customHeight="1" thickBot="1" x14ac:dyDescent="0.25">
      <c r="A62" s="891"/>
      <c r="B62" s="892"/>
      <c r="C62" s="895"/>
      <c r="D62" s="896"/>
      <c r="E62" s="865"/>
      <c r="F62" s="884"/>
      <c r="G62" s="884"/>
      <c r="H62" s="886"/>
      <c r="I62" s="888"/>
      <c r="L62" s="85">
        <f>T4</f>
        <v>39902</v>
      </c>
      <c r="M62" s="85">
        <f t="shared" ref="M62:X62" si="29">U4</f>
        <v>39993</v>
      </c>
      <c r="N62" s="85">
        <f t="shared" si="29"/>
        <v>40085</v>
      </c>
      <c r="O62" s="85">
        <f t="shared" si="29"/>
        <v>40177</v>
      </c>
      <c r="P62" s="85">
        <f t="shared" si="29"/>
        <v>40267</v>
      </c>
      <c r="Q62" s="85">
        <f t="shared" si="29"/>
        <v>40358</v>
      </c>
      <c r="R62" s="85">
        <f t="shared" si="29"/>
        <v>40450</v>
      </c>
      <c r="S62" s="85">
        <f t="shared" si="29"/>
        <v>40542</v>
      </c>
      <c r="T62" s="85">
        <f t="shared" si="29"/>
        <v>40632</v>
      </c>
      <c r="U62" s="85">
        <f t="shared" si="29"/>
        <v>40723</v>
      </c>
      <c r="V62" s="85">
        <f t="shared" si="29"/>
        <v>40815</v>
      </c>
      <c r="W62" s="85">
        <f t="shared" si="29"/>
        <v>40907</v>
      </c>
      <c r="X62" s="85">
        <f t="shared" si="29"/>
        <v>40998</v>
      </c>
      <c r="Y62" s="85">
        <f t="shared" ref="Y62:AM62" si="30">AG4</f>
        <v>41089</v>
      </c>
      <c r="Z62" s="85">
        <f t="shared" si="30"/>
        <v>41181</v>
      </c>
      <c r="AA62" s="85">
        <f t="shared" si="30"/>
        <v>41273</v>
      </c>
      <c r="AB62" s="85">
        <f t="shared" si="30"/>
        <v>41363</v>
      </c>
      <c r="AC62" s="85">
        <f t="shared" si="30"/>
        <v>41454</v>
      </c>
      <c r="AD62" s="85">
        <f t="shared" si="30"/>
        <v>41546</v>
      </c>
      <c r="AE62" s="85">
        <f t="shared" si="30"/>
        <v>41638</v>
      </c>
      <c r="AF62" s="85">
        <f t="shared" si="30"/>
        <v>41728</v>
      </c>
      <c r="AG62" s="85">
        <f t="shared" si="30"/>
        <v>41819</v>
      </c>
      <c r="AH62" s="85">
        <f t="shared" si="30"/>
        <v>41911</v>
      </c>
      <c r="AI62" s="85">
        <f t="shared" si="30"/>
        <v>42003</v>
      </c>
      <c r="AJ62" s="85">
        <f t="shared" si="30"/>
        <v>42093</v>
      </c>
      <c r="AK62" s="85">
        <f t="shared" si="30"/>
        <v>42184</v>
      </c>
      <c r="AL62" s="85">
        <f t="shared" si="30"/>
        <v>42276</v>
      </c>
      <c r="AM62" s="85">
        <f t="shared" si="30"/>
        <v>42368</v>
      </c>
    </row>
    <row r="63" spans="1:39" ht="15" customHeight="1" x14ac:dyDescent="0.2">
      <c r="A63" s="878" t="s">
        <v>318</v>
      </c>
      <c r="B63" s="870" t="s">
        <v>347</v>
      </c>
      <c r="C63" s="95" t="s">
        <v>374</v>
      </c>
      <c r="D63" s="94">
        <f>1-Parameters!N$6</f>
        <v>0</v>
      </c>
      <c r="E63" s="96">
        <f>ROUND(Calculations!N3*$D63,0)</f>
        <v>0</v>
      </c>
      <c r="F63" s="96">
        <f>ROUND(Calculations!O3*$D63,0)</f>
        <v>0</v>
      </c>
      <c r="G63" s="96">
        <f>ROUND(Calculations!P3*$D63,0)</f>
        <v>0</v>
      </c>
      <c r="H63" s="96">
        <f>ROUND(Calculations!Q3*$D63,0)</f>
        <v>0</v>
      </c>
      <c r="I63" s="103">
        <f>SUM(E63:H63)</f>
        <v>0</v>
      </c>
      <c r="L63" s="88"/>
      <c r="M63" s="88"/>
      <c r="N63" s="88"/>
      <c r="O63" s="88"/>
      <c r="P63" s="85">
        <f>P61</f>
        <v>40178</v>
      </c>
      <c r="Q63" s="85">
        <f>Q61</f>
        <v>40268</v>
      </c>
      <c r="R63" s="85">
        <f>R61</f>
        <v>40359</v>
      </c>
      <c r="S63" s="85">
        <f>S61</f>
        <v>40451</v>
      </c>
      <c r="T63" s="88"/>
      <c r="U63" s="88"/>
      <c r="V63" s="88"/>
      <c r="W63" s="88"/>
      <c r="Y63"/>
    </row>
    <row r="64" spans="1:39" ht="15" customHeight="1" x14ac:dyDescent="0.2">
      <c r="A64" s="880"/>
      <c r="B64" s="688"/>
      <c r="C64" s="688" t="s">
        <v>139</v>
      </c>
      <c r="D64" s="871"/>
      <c r="E64" s="92">
        <f>SUM(E63:E63)</f>
        <v>0</v>
      </c>
      <c r="F64" s="92">
        <f>SUM(F63:F63)</f>
        <v>0</v>
      </c>
      <c r="G64" s="92">
        <f>SUM(G63:G63)</f>
        <v>0</v>
      </c>
      <c r="H64" s="92">
        <f>SUM(H63:H63)</f>
        <v>0</v>
      </c>
      <c r="I64" s="872">
        <f>H65</f>
        <v>0</v>
      </c>
      <c r="L64" s="93">
        <f>IF($M66&lt;=L62,$E64,IF($N66&lt;=L62,$F64,IF($O66&lt;=L62,$G64,IF($P66&lt;=L62,$H64,))))</f>
        <v>0</v>
      </c>
      <c r="M64" s="93">
        <f t="shared" ref="M64:W64" si="31">IF(AND($M66&gt;L62,$M66&lt;=M62),$E64,IF(AND($N66&gt;L62,$N66&lt;=M62),$F64,IF(AND($O66&gt;L62,$O66&lt;=M62),$G64,IF(AND($P66&gt;L62,$P66&lt;=M62),$H64,))))</f>
        <v>0</v>
      </c>
      <c r="N64" s="93">
        <f t="shared" si="31"/>
        <v>0</v>
      </c>
      <c r="O64" s="93">
        <f t="shared" si="31"/>
        <v>0</v>
      </c>
      <c r="P64" s="93">
        <f t="shared" si="31"/>
        <v>0</v>
      </c>
      <c r="Q64" s="93">
        <f t="shared" si="31"/>
        <v>0</v>
      </c>
      <c r="R64" s="93">
        <f t="shared" si="31"/>
        <v>0</v>
      </c>
      <c r="S64" s="93">
        <f t="shared" si="31"/>
        <v>0</v>
      </c>
      <c r="T64" s="93">
        <f t="shared" si="31"/>
        <v>0</v>
      </c>
      <c r="U64" s="93">
        <f t="shared" si="31"/>
        <v>0</v>
      </c>
      <c r="V64" s="93">
        <f t="shared" si="31"/>
        <v>0</v>
      </c>
      <c r="W64" s="93">
        <f t="shared" si="31"/>
        <v>0</v>
      </c>
      <c r="X64" s="93">
        <f>SUM(L64:W64)</f>
        <v>0</v>
      </c>
      <c r="Y64"/>
    </row>
    <row r="65" spans="1:39" ht="15" customHeight="1" x14ac:dyDescent="0.2">
      <c r="A65" s="880"/>
      <c r="B65" s="688"/>
      <c r="C65" s="874" t="s">
        <v>331</v>
      </c>
      <c r="D65" s="875"/>
      <c r="E65" s="105">
        <f>E64</f>
        <v>0</v>
      </c>
      <c r="F65" s="15">
        <f>E65+F64</f>
        <v>0</v>
      </c>
      <c r="G65" s="15">
        <f>F65+G64</f>
        <v>0</v>
      </c>
      <c r="H65" s="15">
        <f>G65+H64</f>
        <v>0</v>
      </c>
      <c r="I65" s="873"/>
    </row>
    <row r="66" spans="1:39" ht="15" customHeight="1" x14ac:dyDescent="0.2">
      <c r="A66" s="880"/>
      <c r="B66" s="688" t="s">
        <v>411</v>
      </c>
      <c r="C66" s="65" t="s">
        <v>405</v>
      </c>
      <c r="D66" s="104">
        <f>Parameters!$D$21</f>
        <v>18000</v>
      </c>
      <c r="E66" s="72">
        <f>E64*$D66</f>
        <v>0</v>
      </c>
      <c r="F66" s="72">
        <f>F64*$D66</f>
        <v>0</v>
      </c>
      <c r="G66" s="72">
        <f>G64*$D66</f>
        <v>0</v>
      </c>
      <c r="H66" s="72">
        <f>H64*$D66</f>
        <v>0</v>
      </c>
      <c r="I66" s="106">
        <f>SUM(E66:H66)</f>
        <v>0</v>
      </c>
      <c r="L66" s="60" t="s">
        <v>196</v>
      </c>
      <c r="M66" s="79">
        <f>P63+$D67</f>
        <v>40178</v>
      </c>
      <c r="N66" s="79">
        <f>Q63+$D67</f>
        <v>40268</v>
      </c>
      <c r="O66" s="79">
        <f>R63+$D67</f>
        <v>40359</v>
      </c>
      <c r="P66" s="79">
        <f>S63+$D67</f>
        <v>40451</v>
      </c>
      <c r="X66" s="69" t="s">
        <v>366</v>
      </c>
    </row>
    <row r="67" spans="1:39" ht="15" customHeight="1" thickBot="1" x14ac:dyDescent="0.25">
      <c r="A67" s="881"/>
      <c r="B67" s="882"/>
      <c r="C67" s="70" t="s">
        <v>332</v>
      </c>
      <c r="D67" s="84">
        <f>Parameters!$B$36</f>
        <v>0</v>
      </c>
      <c r="E67" s="72">
        <f>SUM(L67:P67)+L96+T38</f>
        <v>0</v>
      </c>
      <c r="F67" s="66">
        <f>Q67+M96+U38</f>
        <v>0</v>
      </c>
      <c r="G67" s="66">
        <f>R67+N96+V38</f>
        <v>0</v>
      </c>
      <c r="H67" s="66">
        <f>S67+O96+W38</f>
        <v>0</v>
      </c>
      <c r="I67" s="89">
        <f>SUM(E67:H67)</f>
        <v>0</v>
      </c>
      <c r="L67" s="68">
        <f>IF($M66&lt;=L62,$E66,IF($N66&lt;=L62,$F66,IF($O66&lt;=L62,$G66,IF($P66&lt;=L62,$H66,))))</f>
        <v>0</v>
      </c>
      <c r="M67" s="68">
        <f t="shared" ref="M67:W67" si="32">IF(AND($M66&gt;L62,$M66&lt;=M62),$E66,IF(AND($N66&gt;L62,$N66&lt;=M62),$F66,IF(AND($O66&gt;L62,$O66&lt;=M62),$G66,IF(AND($P66&gt;L62,$P66&lt;=M62),$H66,))))</f>
        <v>0</v>
      </c>
      <c r="N67" s="68">
        <f t="shared" si="32"/>
        <v>0</v>
      </c>
      <c r="O67" s="68">
        <f t="shared" si="32"/>
        <v>0</v>
      </c>
      <c r="P67" s="68">
        <f t="shared" si="32"/>
        <v>0</v>
      </c>
      <c r="Q67" s="68">
        <f t="shared" si="32"/>
        <v>0</v>
      </c>
      <c r="R67" s="68">
        <f t="shared" si="32"/>
        <v>0</v>
      </c>
      <c r="S67" s="68">
        <f t="shared" si="32"/>
        <v>0</v>
      </c>
      <c r="T67" s="68">
        <f t="shared" si="32"/>
        <v>0</v>
      </c>
      <c r="U67" s="68">
        <f t="shared" si="32"/>
        <v>0</v>
      </c>
      <c r="V67" s="68">
        <f t="shared" si="32"/>
        <v>0</v>
      </c>
      <c r="W67" s="68">
        <f t="shared" si="32"/>
        <v>0</v>
      </c>
      <c r="X67" s="68">
        <f>SUM(L67:W67)</f>
        <v>0</v>
      </c>
    </row>
    <row r="68" spans="1:39" ht="15" customHeight="1" x14ac:dyDescent="0.2">
      <c r="A68" s="866" t="s">
        <v>206</v>
      </c>
      <c r="B68" s="870" t="s">
        <v>317</v>
      </c>
      <c r="C68" s="95" t="str">
        <f>C63</f>
        <v>S. Amer.</v>
      </c>
      <c r="D68" s="94">
        <f>1-D63</f>
        <v>1</v>
      </c>
      <c r="E68" s="96">
        <f>Calculations!N3-E63</f>
        <v>65</v>
      </c>
      <c r="F68" s="97">
        <f>Calculations!O3-F63</f>
        <v>65</v>
      </c>
      <c r="G68" s="97">
        <f>Calculations!P3-G63</f>
        <v>65</v>
      </c>
      <c r="H68" s="96">
        <f>Calculations!Q3-H63</f>
        <v>65</v>
      </c>
      <c r="I68" s="103">
        <f>SUM(E68:H68)</f>
        <v>260</v>
      </c>
    </row>
    <row r="69" spans="1:39" ht="15" customHeight="1" x14ac:dyDescent="0.2">
      <c r="A69" s="868"/>
      <c r="B69" s="688"/>
      <c r="C69" s="688" t="s">
        <v>139</v>
      </c>
      <c r="D69" s="871"/>
      <c r="E69" s="92">
        <f>SUM(E68:E68)</f>
        <v>65</v>
      </c>
      <c r="F69" s="10">
        <f>SUM(F68:F68)</f>
        <v>65</v>
      </c>
      <c r="G69" s="10">
        <f>SUM(G68:G68)</f>
        <v>65</v>
      </c>
      <c r="H69" s="101">
        <f>SUM(H68:H68)</f>
        <v>65</v>
      </c>
      <c r="I69" s="872">
        <f>H70</f>
        <v>260</v>
      </c>
      <c r="L69"/>
      <c r="M69"/>
      <c r="N69"/>
      <c r="O69"/>
      <c r="P69"/>
      <c r="Q69"/>
      <c r="R69"/>
      <c r="S69"/>
      <c r="T69"/>
      <c r="U69"/>
      <c r="V69"/>
      <c r="W69"/>
      <c r="X69"/>
      <c r="Y69"/>
    </row>
    <row r="70" spans="1:39" ht="15" customHeight="1" x14ac:dyDescent="0.2">
      <c r="A70" s="868"/>
      <c r="B70" s="688"/>
      <c r="C70" s="874" t="s">
        <v>331</v>
      </c>
      <c r="D70" s="875"/>
      <c r="E70" s="105">
        <f>E69</f>
        <v>65</v>
      </c>
      <c r="F70" s="15">
        <f>F69+E70</f>
        <v>130</v>
      </c>
      <c r="G70" s="15">
        <f>G69+F70</f>
        <v>195</v>
      </c>
      <c r="H70" s="15">
        <f>H69+G70</f>
        <v>260</v>
      </c>
      <c r="I70" s="873"/>
      <c r="L70"/>
      <c r="M70"/>
      <c r="N70"/>
      <c r="O70"/>
      <c r="P70"/>
      <c r="Q70"/>
      <c r="R70"/>
      <c r="S70"/>
      <c r="T70"/>
      <c r="U70"/>
      <c r="V70"/>
      <c r="W70"/>
      <c r="X70"/>
      <c r="Y70"/>
    </row>
    <row r="71" spans="1:39" ht="15" customHeight="1" x14ac:dyDescent="0.2">
      <c r="A71" s="868"/>
      <c r="B71" s="566" t="s">
        <v>68</v>
      </c>
      <c r="C71" s="688" t="s">
        <v>412</v>
      </c>
      <c r="D71" s="871"/>
      <c r="E71" s="72">
        <f>E69*$D66</f>
        <v>1170000</v>
      </c>
      <c r="F71" s="66">
        <f>F69*$D66</f>
        <v>1170000</v>
      </c>
      <c r="G71" s="66">
        <f>G69*$D66</f>
        <v>1170000</v>
      </c>
      <c r="H71" s="86">
        <f>H69*$D66</f>
        <v>1170000</v>
      </c>
      <c r="I71" s="74">
        <f>SUM(E71:H71)</f>
        <v>4680000</v>
      </c>
    </row>
    <row r="72" spans="1:39" ht="15" customHeight="1" x14ac:dyDescent="0.2">
      <c r="A72" s="868"/>
      <c r="B72" s="566"/>
      <c r="C72" s="65" t="s">
        <v>413</v>
      </c>
      <c r="D72" s="87">
        <f>1-Parameters!$B$33</f>
        <v>0.19999999999999996</v>
      </c>
      <c r="E72" s="72">
        <f>E71*$D72</f>
        <v>233999.99999999994</v>
      </c>
      <c r="F72" s="66">
        <f>F71*$D72</f>
        <v>233999.99999999994</v>
      </c>
      <c r="G72" s="66">
        <f>G71*$D72</f>
        <v>233999.99999999994</v>
      </c>
      <c r="H72" s="86">
        <f>H71*$D72</f>
        <v>233999.99999999994</v>
      </c>
      <c r="I72" s="106">
        <f>SUM(E72:H72)</f>
        <v>935999.99999999977</v>
      </c>
      <c r="L72" s="60" t="s">
        <v>196</v>
      </c>
      <c r="M72" s="79">
        <f>P63+$D73</f>
        <v>40178</v>
      </c>
      <c r="N72" s="79">
        <f>Q63+$D73</f>
        <v>40268</v>
      </c>
      <c r="O72" s="79">
        <f>R63+$D73</f>
        <v>40359</v>
      </c>
      <c r="P72" s="79">
        <f>S63+$D73</f>
        <v>40451</v>
      </c>
      <c r="X72" s="69" t="s">
        <v>366</v>
      </c>
    </row>
    <row r="73" spans="1:39" ht="15" customHeight="1" x14ac:dyDescent="0.2">
      <c r="A73" s="868"/>
      <c r="B73" s="566"/>
      <c r="C73" s="5" t="s">
        <v>332</v>
      </c>
      <c r="D73" s="73">
        <f>Parameters!$B$36</f>
        <v>0</v>
      </c>
      <c r="E73" s="72">
        <f>SUM(L73:P73)+L102+T44</f>
        <v>233999.99999999994</v>
      </c>
      <c r="F73" s="66">
        <f>Q73+M102+U44</f>
        <v>233999.99999999994</v>
      </c>
      <c r="G73" s="66">
        <f>R73+N102+V44</f>
        <v>233999.99999999994</v>
      </c>
      <c r="H73" s="66">
        <f>S73+O102+W44</f>
        <v>233999.99999999994</v>
      </c>
      <c r="I73" s="74">
        <f>SUM(E73:H73)</f>
        <v>935999.99999999977</v>
      </c>
      <c r="L73" s="68">
        <f>IF($M72&lt;=L62,$E72,IF($N72&lt;=L62,$F72,IF($O72&lt;=L62,$G72,IF($P72&lt;=L62,$H72,))))</f>
        <v>0</v>
      </c>
      <c r="M73" s="68">
        <f t="shared" ref="M73:W73" si="33">IF(AND($M72&gt;L62,$M72&lt;=M62),$E72,IF(AND($N72&gt;L62,$N72&lt;=M62),$F72,IF(AND($O72&gt;L62,$O72&lt;=M62),$G72,IF(AND($P72&gt;L62,$P72&lt;=M62),$H72,))))</f>
        <v>0</v>
      </c>
      <c r="N73" s="68">
        <f t="shared" si="33"/>
        <v>0</v>
      </c>
      <c r="O73" s="68">
        <f t="shared" si="33"/>
        <v>0</v>
      </c>
      <c r="P73" s="68">
        <f t="shared" si="33"/>
        <v>233999.99999999994</v>
      </c>
      <c r="Q73" s="68">
        <f t="shared" si="33"/>
        <v>233999.99999999994</v>
      </c>
      <c r="R73" s="68">
        <f t="shared" si="33"/>
        <v>233999.99999999994</v>
      </c>
      <c r="S73" s="68">
        <f t="shared" si="33"/>
        <v>233999.99999999994</v>
      </c>
      <c r="T73" s="68">
        <f t="shared" si="33"/>
        <v>0</v>
      </c>
      <c r="U73" s="68">
        <f t="shared" si="33"/>
        <v>0</v>
      </c>
      <c r="V73" s="68">
        <f t="shared" si="33"/>
        <v>0</v>
      </c>
      <c r="W73" s="68">
        <f t="shared" si="33"/>
        <v>0</v>
      </c>
      <c r="X73" s="68">
        <f>SUM(L73:W73)</f>
        <v>935999.99999999977</v>
      </c>
    </row>
    <row r="74" spans="1:39" ht="15" customHeight="1" x14ac:dyDescent="0.2">
      <c r="A74" s="868"/>
      <c r="B74" s="566"/>
      <c r="C74" s="65" t="s">
        <v>194</v>
      </c>
      <c r="D74" s="87">
        <f>Parameters!$B$33</f>
        <v>0.8</v>
      </c>
      <c r="E74" s="72">
        <f>E71*$D74</f>
        <v>936000</v>
      </c>
      <c r="F74" s="72">
        <f>F71*$D74</f>
        <v>936000</v>
      </c>
      <c r="G74" s="72">
        <f>G71*$D74</f>
        <v>936000</v>
      </c>
      <c r="H74" s="72">
        <f>H71*$D74</f>
        <v>936000</v>
      </c>
      <c r="I74" s="74">
        <f>SUM(E74:H74)</f>
        <v>3744000</v>
      </c>
      <c r="L74" s="91"/>
      <c r="M74" s="91"/>
      <c r="N74" s="91"/>
      <c r="O74" s="91"/>
      <c r="P74" s="91"/>
      <c r="Q74" s="91"/>
      <c r="R74" s="91"/>
      <c r="S74" s="91"/>
      <c r="T74" s="91"/>
      <c r="U74" s="91"/>
      <c r="V74" s="91"/>
      <c r="W74" s="91"/>
      <c r="X74" s="91"/>
    </row>
    <row r="75" spans="1:39" ht="15" customHeight="1" x14ac:dyDescent="0.2">
      <c r="A75" s="868"/>
      <c r="B75" s="566"/>
      <c r="C75" s="874" t="s">
        <v>331</v>
      </c>
      <c r="D75" s="875"/>
      <c r="E75" s="81">
        <f>E74</f>
        <v>936000</v>
      </c>
      <c r="F75" s="81">
        <f>E75+F74</f>
        <v>1872000</v>
      </c>
      <c r="G75" s="81">
        <f>F75+G74</f>
        <v>2808000</v>
      </c>
      <c r="H75" s="81">
        <f>G75+H74</f>
        <v>3744000</v>
      </c>
      <c r="I75" s="78">
        <f>H75</f>
        <v>3744000</v>
      </c>
      <c r="L75" s="91"/>
      <c r="M75" s="91"/>
      <c r="N75" s="91"/>
      <c r="O75" s="91"/>
      <c r="P75" s="91"/>
      <c r="Q75" s="91"/>
      <c r="R75" s="91"/>
      <c r="S75" s="91"/>
      <c r="T75" s="91"/>
      <c r="U75" s="91"/>
      <c r="V75" s="91"/>
      <c r="W75" s="91"/>
      <c r="X75" s="91"/>
    </row>
    <row r="76" spans="1:39" ht="15" customHeight="1" x14ac:dyDescent="0.2">
      <c r="A76" s="868"/>
      <c r="B76" s="566"/>
      <c r="C76" s="876" t="s">
        <v>390</v>
      </c>
      <c r="D76" s="877"/>
      <c r="E76" s="107">
        <f>L87+T29+Q58</f>
        <v>406580.9637704374</v>
      </c>
      <c r="F76" s="107">
        <f>M87+U29+R58</f>
        <v>490110.32770571607</v>
      </c>
      <c r="G76" s="107">
        <f>N87+V29+S58</f>
        <v>573639.69164099474</v>
      </c>
      <c r="H76" s="107">
        <f>O87+W29+T58</f>
        <v>657169.05557627324</v>
      </c>
      <c r="I76" s="74">
        <f>SUM(E76:H76)</f>
        <v>2127500.0386934215</v>
      </c>
      <c r="L76" s="60" t="s">
        <v>196</v>
      </c>
      <c r="M76" s="79">
        <f>P63+$D77</f>
        <v>40208</v>
      </c>
      <c r="N76" s="79">
        <f>Q63+$D77</f>
        <v>40298</v>
      </c>
      <c r="O76" s="79">
        <f>R63+$D77</f>
        <v>40389</v>
      </c>
      <c r="P76" s="79">
        <f>S63+$D77</f>
        <v>40481</v>
      </c>
      <c r="X76" s="69" t="s">
        <v>366</v>
      </c>
    </row>
    <row r="77" spans="1:39" ht="15" customHeight="1" x14ac:dyDescent="0.2">
      <c r="A77" s="868"/>
      <c r="B77" s="566"/>
      <c r="C77" s="75" t="s">
        <v>332</v>
      </c>
      <c r="D77" s="76">
        <f>Parameters!$B$37</f>
        <v>30</v>
      </c>
      <c r="E77" s="112">
        <f>SUM(L77:P77)+L106</f>
        <v>406580.9637704374</v>
      </c>
      <c r="F77" s="71">
        <f>Q77+M106</f>
        <v>490110.32770571607</v>
      </c>
      <c r="G77" s="71">
        <f>R77+N106</f>
        <v>573639.69164099474</v>
      </c>
      <c r="H77" s="71">
        <f>S77+O106</f>
        <v>657169.05557627324</v>
      </c>
      <c r="I77" s="77">
        <f>SUM(E77:H77)</f>
        <v>2127500.0386934215</v>
      </c>
      <c r="L77" s="68">
        <f>IF($M76&lt;=L62,$E76,IF($N76&lt;=L62,$F76,IF($O76&lt;=L62,$G76,IF($P76&lt;=L62,$H76,))))</f>
        <v>0</v>
      </c>
      <c r="M77" s="68">
        <f t="shared" ref="M77:W77" si="34">IF(AND($M76&gt;L62,$M76&lt;=M62),$E76,IF(AND($N76&gt;L62,$N76&lt;=M62),$F76,IF(AND($O76&gt;L62,$O76&lt;=M62),$G76,IF(AND($P76&gt;L62,$P76&lt;=M62),$H76,))))</f>
        <v>0</v>
      </c>
      <c r="N77" s="68">
        <f t="shared" si="34"/>
        <v>0</v>
      </c>
      <c r="O77" s="68">
        <f t="shared" si="34"/>
        <v>0</v>
      </c>
      <c r="P77" s="68">
        <f t="shared" si="34"/>
        <v>406580.9637704374</v>
      </c>
      <c r="Q77" s="68">
        <f t="shared" si="34"/>
        <v>490110.32770571607</v>
      </c>
      <c r="R77" s="68">
        <f t="shared" si="34"/>
        <v>573639.69164099474</v>
      </c>
      <c r="S77" s="68">
        <f t="shared" si="34"/>
        <v>657169.05557627324</v>
      </c>
      <c r="T77" s="68">
        <f t="shared" si="34"/>
        <v>0</v>
      </c>
      <c r="U77" s="68">
        <f t="shared" si="34"/>
        <v>0</v>
      </c>
      <c r="V77" s="68">
        <f t="shared" si="34"/>
        <v>0</v>
      </c>
      <c r="W77" s="68">
        <f t="shared" si="34"/>
        <v>0</v>
      </c>
      <c r="X77" s="68">
        <f>SUM(L77:W77)</f>
        <v>2127500.0386934215</v>
      </c>
    </row>
    <row r="78" spans="1:39" ht="15" customHeight="1" x14ac:dyDescent="0.2">
      <c r="A78" s="868"/>
      <c r="B78" s="860" t="s">
        <v>410</v>
      </c>
      <c r="C78" s="860"/>
      <c r="D78" s="860"/>
      <c r="E78" s="860"/>
      <c r="F78" s="860"/>
      <c r="G78" s="860"/>
      <c r="H78" s="860"/>
      <c r="I78" s="861"/>
      <c r="L78" s="67">
        <f t="shared" ref="L78:AI78" si="35">P62</f>
        <v>40267</v>
      </c>
      <c r="M78" s="67">
        <f t="shared" si="35"/>
        <v>40358</v>
      </c>
      <c r="N78" s="67">
        <f t="shared" si="35"/>
        <v>40450</v>
      </c>
      <c r="O78" s="67">
        <f t="shared" si="35"/>
        <v>40542</v>
      </c>
      <c r="P78" s="67">
        <f t="shared" si="35"/>
        <v>40632</v>
      </c>
      <c r="Q78" s="67">
        <f t="shared" si="35"/>
        <v>40723</v>
      </c>
      <c r="R78" s="67">
        <f t="shared" si="35"/>
        <v>40815</v>
      </c>
      <c r="S78" s="67">
        <f t="shared" si="35"/>
        <v>40907</v>
      </c>
      <c r="T78" s="67">
        <f t="shared" si="35"/>
        <v>40998</v>
      </c>
      <c r="U78" s="67">
        <f>Y62</f>
        <v>41089</v>
      </c>
      <c r="V78" s="67">
        <f>Z62</f>
        <v>41181</v>
      </c>
      <c r="W78" s="67">
        <f>AA62</f>
        <v>41273</v>
      </c>
      <c r="X78" s="67">
        <f>AB62</f>
        <v>41363</v>
      </c>
      <c r="Y78" s="67">
        <f t="shared" si="35"/>
        <v>41454</v>
      </c>
      <c r="Z78" s="67">
        <f t="shared" si="35"/>
        <v>41546</v>
      </c>
      <c r="AA78" s="67">
        <f t="shared" si="35"/>
        <v>41638</v>
      </c>
      <c r="AB78" s="67">
        <f t="shared" si="35"/>
        <v>41728</v>
      </c>
      <c r="AC78" s="67">
        <f t="shared" si="35"/>
        <v>41819</v>
      </c>
      <c r="AD78" s="67">
        <f t="shared" si="35"/>
        <v>41911</v>
      </c>
      <c r="AE78" s="67">
        <f t="shared" si="35"/>
        <v>42003</v>
      </c>
      <c r="AF78" s="67">
        <f t="shared" si="35"/>
        <v>42093</v>
      </c>
      <c r="AG78" s="67">
        <f t="shared" si="35"/>
        <v>42184</v>
      </c>
      <c r="AH78" s="67">
        <f t="shared" si="35"/>
        <v>42276</v>
      </c>
      <c r="AI78" s="67">
        <f t="shared" si="35"/>
        <v>42368</v>
      </c>
      <c r="AJ78" s="67">
        <f>AN62</f>
        <v>0</v>
      </c>
      <c r="AK78" s="67">
        <f>AO62</f>
        <v>0</v>
      </c>
      <c r="AL78" s="67">
        <f>AP62</f>
        <v>0</v>
      </c>
      <c r="AM78" s="67">
        <f>AQ62</f>
        <v>0</v>
      </c>
    </row>
    <row r="79" spans="1:39" ht="15" customHeight="1" x14ac:dyDescent="0.2">
      <c r="A79" s="868"/>
      <c r="B79" s="860"/>
      <c r="C79" s="860"/>
      <c r="D79" s="860"/>
      <c r="E79" s="860"/>
      <c r="F79" s="860"/>
      <c r="G79" s="860"/>
      <c r="H79" s="860"/>
      <c r="I79" s="861"/>
      <c r="K79" s="110">
        <f>(-PMT(Parameters!$B$31/12,Parameters!$B$32,$E74))*Parameters!$B$32</f>
        <v>1002352.3672233436</v>
      </c>
      <c r="L79" s="108">
        <f>(-PMT(Parameters!$B$31/12,Parameters!$B$32,$E74))*Parameters!$K$32</f>
        <v>41764.681967639313</v>
      </c>
      <c r="M79" s="108">
        <f>MIN(((-PMT(Parameters!$B$31/12,Parameters!$B$32,$E74))*3),L80)</f>
        <v>83529.363935278627</v>
      </c>
      <c r="N79" s="108">
        <f>MIN(((-PMT(Parameters!$B$31/12,Parameters!$B$32,$E74))*3),M80)</f>
        <v>83529.363935278627</v>
      </c>
      <c r="O79" s="108">
        <f>MIN(((-PMT(Parameters!$B$31/12,Parameters!$B$32,$E74))*3),N80)</f>
        <v>83529.363935278627</v>
      </c>
      <c r="P79" s="108">
        <f>MIN(((-PMT(Parameters!$B$31/12,Parameters!$B$32,$E74))*3),O80)</f>
        <v>83529.363935278627</v>
      </c>
      <c r="Q79" s="108">
        <f>MIN(((-PMT(Parameters!$B$31/12,Parameters!$B$32,$E74))*3),P80)</f>
        <v>83529.363935278627</v>
      </c>
      <c r="R79" s="108">
        <f>MIN(((-PMT(Parameters!$B$31/12,Parameters!$B$32,$E74))*3),Q80)</f>
        <v>83529.363935278627</v>
      </c>
      <c r="S79" s="108">
        <f>MIN(((-PMT(Parameters!$B$31/12,Parameters!$B$32,$E74))*3),R80)</f>
        <v>83529.363935278627</v>
      </c>
      <c r="T79" s="108">
        <f>MIN(((-PMT(Parameters!$B$31/12,Parameters!$B$32,$E74))*3),S80)</f>
        <v>83529.363935278627</v>
      </c>
      <c r="U79" s="108">
        <f>MIN(((-PMT(Parameters!$B$31/12,Parameters!$B$32,$E74))*3),T80)</f>
        <v>83529.363935278627</v>
      </c>
      <c r="V79" s="108">
        <f>MIN(((-PMT(Parameters!$B$31/12,Parameters!$B$32,$E74))*3),U80)</f>
        <v>83529.363935278627</v>
      </c>
      <c r="W79" s="108">
        <f>MIN(((-PMT(Parameters!$B$31/12,Parameters!$B$32,$E74))*3),V80)</f>
        <v>83529.363935278627</v>
      </c>
      <c r="X79" s="108">
        <f>MIN(((-PMT(Parameters!$B$31/12,Parameters!$B$32,$E74))*3),W80)</f>
        <v>41764.681967639452</v>
      </c>
      <c r="Y79" s="108">
        <f>MIN(((-PMT(Parameters!$B$31/12,Parameters!$B$32,$E74))*3),X80)</f>
        <v>0</v>
      </c>
      <c r="Z79" s="108">
        <f>MIN(((-PMT(Parameters!$B$31/12,Parameters!$B$32,$E74))*3),Y80)</f>
        <v>0</v>
      </c>
      <c r="AA79" s="108">
        <f>MIN(((-PMT(Parameters!$B$31/12,Parameters!$B$32,$E74))*3),Z80)</f>
        <v>0</v>
      </c>
      <c r="AB79" s="108">
        <f>MIN(((-PMT(Parameters!$B$31/12,Parameters!$B$32,$E74))*3),AA80)</f>
        <v>0</v>
      </c>
      <c r="AC79" s="108">
        <f>MIN(((-PMT(Parameters!$B$31/12,Parameters!$B$32,$E74))*3),AB80)</f>
        <v>0</v>
      </c>
      <c r="AD79" s="108">
        <f>MIN(((-PMT(Parameters!$B$31/12,Parameters!$B$32,$E74))*3),AC80)</f>
        <v>0</v>
      </c>
      <c r="AE79" s="108">
        <f>MIN(((-PMT(Parameters!$B$31/12,Parameters!$B$32,$E74))*3),AD80)</f>
        <v>0</v>
      </c>
      <c r="AF79" s="108">
        <f>MIN(((-PMT(Parameters!$B$31/12,Parameters!$B$32,$E74))*3),AE80)</f>
        <v>0</v>
      </c>
      <c r="AG79" s="108">
        <f>MIN(((-PMT(Parameters!$B$31/12,Parameters!$B$32,$E74))*3),AF80)</f>
        <v>0</v>
      </c>
      <c r="AH79" s="108">
        <f>MIN(((-PMT(Parameters!$B$31/12,Parameters!$B$32,$E74))*3),AG80)</f>
        <v>0</v>
      </c>
      <c r="AI79" s="108">
        <f>MIN(((-PMT(Parameters!$B$31/12,Parameters!$B$32,$E74))*3),AH80)</f>
        <v>0</v>
      </c>
      <c r="AJ79" s="108">
        <f>MIN(((-PMT(Parameters!$B$31/12,Parameters!$B$32,$E74))*3),AI80)</f>
        <v>0</v>
      </c>
      <c r="AK79" s="108">
        <f>MIN(((-PMT(Parameters!$B$31/12,Parameters!$B$32,$E74))*3),AJ80)</f>
        <v>0</v>
      </c>
      <c r="AL79" s="108">
        <f>MIN(((-PMT(Parameters!$B$31/12,Parameters!$B$32,$E74))*3),AK80)</f>
        <v>0</v>
      </c>
      <c r="AM79" s="108">
        <f>MIN(((-PMT(Parameters!$B$31/12,Parameters!$B$32,$E74))*3),AL80)</f>
        <v>0</v>
      </c>
    </row>
    <row r="80" spans="1:39" ht="15" customHeight="1" x14ac:dyDescent="0.2">
      <c r="A80" s="868"/>
      <c r="B80" s="860"/>
      <c r="C80" s="860"/>
      <c r="D80" s="860"/>
      <c r="E80" s="860"/>
      <c r="F80" s="860"/>
      <c r="G80" s="860"/>
      <c r="H80" s="860"/>
      <c r="I80" s="861"/>
      <c r="L80" s="109">
        <f>K79-L79</f>
        <v>960587.68525570421</v>
      </c>
      <c r="M80" s="109">
        <f t="shared" ref="M80:AM80" si="36">L80-M79</f>
        <v>877058.3213204256</v>
      </c>
      <c r="N80" s="109">
        <f t="shared" si="36"/>
        <v>793528.95738514699</v>
      </c>
      <c r="O80" s="109">
        <f t="shared" si="36"/>
        <v>709999.59344986838</v>
      </c>
      <c r="P80" s="109">
        <f t="shared" si="36"/>
        <v>626470.22951458977</v>
      </c>
      <c r="Q80" s="109">
        <f t="shared" si="36"/>
        <v>542940.86557931115</v>
      </c>
      <c r="R80" s="109">
        <f t="shared" si="36"/>
        <v>459411.50164403254</v>
      </c>
      <c r="S80" s="109">
        <f t="shared" si="36"/>
        <v>375882.13770875393</v>
      </c>
      <c r="T80" s="109">
        <f t="shared" si="36"/>
        <v>292352.77377347532</v>
      </c>
      <c r="U80" s="109">
        <f t="shared" si="36"/>
        <v>208823.40983819671</v>
      </c>
      <c r="V80" s="109">
        <f t="shared" si="36"/>
        <v>125294.04590291808</v>
      </c>
      <c r="W80" s="109">
        <f t="shared" si="36"/>
        <v>41764.681967639452</v>
      </c>
      <c r="X80" s="109">
        <f t="shared" si="36"/>
        <v>0</v>
      </c>
      <c r="Y80" s="109">
        <f>X80-Y79</f>
        <v>0</v>
      </c>
      <c r="Z80" s="109">
        <f t="shared" si="36"/>
        <v>0</v>
      </c>
      <c r="AA80" s="109">
        <f t="shared" si="36"/>
        <v>0</v>
      </c>
      <c r="AB80" s="109">
        <f t="shared" si="36"/>
        <v>0</v>
      </c>
      <c r="AC80" s="109">
        <f t="shared" si="36"/>
        <v>0</v>
      </c>
      <c r="AD80" s="109">
        <f t="shared" si="36"/>
        <v>0</v>
      </c>
      <c r="AE80" s="109">
        <f t="shared" si="36"/>
        <v>0</v>
      </c>
      <c r="AF80" s="109">
        <f t="shared" si="36"/>
        <v>0</v>
      </c>
      <c r="AG80" s="109">
        <f t="shared" si="36"/>
        <v>0</v>
      </c>
      <c r="AH80" s="109">
        <f t="shared" si="36"/>
        <v>0</v>
      </c>
      <c r="AI80" s="109">
        <f t="shared" si="36"/>
        <v>0</v>
      </c>
      <c r="AJ80" s="109">
        <f t="shared" si="36"/>
        <v>0</v>
      </c>
      <c r="AK80" s="109">
        <f t="shared" si="36"/>
        <v>0</v>
      </c>
      <c r="AL80" s="109">
        <f t="shared" si="36"/>
        <v>0</v>
      </c>
      <c r="AM80" s="109">
        <f t="shared" si="36"/>
        <v>0</v>
      </c>
    </row>
    <row r="81" spans="1:39" ht="15" customHeight="1" x14ac:dyDescent="0.2">
      <c r="A81" s="868"/>
      <c r="B81" s="860"/>
      <c r="C81" s="860"/>
      <c r="D81" s="860"/>
      <c r="E81" s="860"/>
      <c r="F81" s="860"/>
      <c r="G81" s="860"/>
      <c r="H81" s="860"/>
      <c r="I81" s="861"/>
      <c r="K81" s="110">
        <f>(-PMT(Parameters!$B$31/12,Parameters!$B$32,$F74))*Parameters!$B$32</f>
        <v>1002352.3672233436</v>
      </c>
      <c r="L81" s="111"/>
      <c r="M81" s="108">
        <f>(-PMT(Parameters!$B$31/12,Parameters!$B$32,$F74))*Parameters!$K$32</f>
        <v>41764.681967639313</v>
      </c>
      <c r="N81" s="108">
        <f>MIN(((-PMT(Parameters!$B$31/12,Parameters!$B$32,$F74))*3),M82)</f>
        <v>83529.363935278627</v>
      </c>
      <c r="O81" s="108">
        <f>MIN(((-PMT(Parameters!$B$31/12,Parameters!$B$32,$F74))*3),N82)</f>
        <v>83529.363935278627</v>
      </c>
      <c r="P81" s="108">
        <f>MIN(((-PMT(Parameters!$B$31/12,Parameters!$B$32,$F74))*3),O82)</f>
        <v>83529.363935278627</v>
      </c>
      <c r="Q81" s="108">
        <f>MIN(((-PMT(Parameters!$B$31/12,Parameters!$B$32,$F74))*3),P82)</f>
        <v>83529.363935278627</v>
      </c>
      <c r="R81" s="108">
        <f>MIN(((-PMT(Parameters!$B$31/12,Parameters!$B$32,$F74))*3),Q82)</f>
        <v>83529.363935278627</v>
      </c>
      <c r="S81" s="108">
        <f>MIN(((-PMT(Parameters!$B$31/12,Parameters!$B$32,$F74))*3),R82)</f>
        <v>83529.363935278627</v>
      </c>
      <c r="T81" s="108">
        <f>MIN(((-PMT(Parameters!$B$31/12,Parameters!$B$32,$F74))*3),S82)</f>
        <v>83529.363935278627</v>
      </c>
      <c r="U81" s="108">
        <f>MIN(((-PMT(Parameters!$B$31/12,Parameters!$B$32,$F74))*3),T82)</f>
        <v>83529.363935278627</v>
      </c>
      <c r="V81" s="108">
        <f>MIN(((-PMT(Parameters!$B$31/12,Parameters!$B$32,$F74))*3),U82)</f>
        <v>83529.363935278627</v>
      </c>
      <c r="W81" s="108">
        <f>MIN(((-PMT(Parameters!$B$31/12,Parameters!$B$32,$F74))*3),V82)</f>
        <v>83529.363935278627</v>
      </c>
      <c r="X81" s="108">
        <f>MIN(((-PMT(Parameters!$B$31/12,Parameters!$B$32,$F74))*3),W82)</f>
        <v>83529.363935278627</v>
      </c>
      <c r="Y81" s="108">
        <f>MIN(((-PMT(Parameters!$B$31/12,Parameters!$B$32,$F74))*3),X82)</f>
        <v>41764.681967639452</v>
      </c>
      <c r="Z81" s="108">
        <f>MIN(((-PMT(Parameters!$B$31/12,Parameters!$B$32,$F74))*3),Y82)</f>
        <v>0</v>
      </c>
      <c r="AA81" s="108">
        <f>MIN(((-PMT(Parameters!$B$31/12,Parameters!$B$32,$F74))*3),Z82)</f>
        <v>0</v>
      </c>
      <c r="AB81" s="108">
        <f>MIN(((-PMT(Parameters!$B$31/12,Parameters!$B$32,$F74))*3),AA82)</f>
        <v>0</v>
      </c>
      <c r="AC81" s="108">
        <f>MIN(((-PMT(Parameters!$B$31/12,Parameters!$B$32,$F74))*3),AB82)</f>
        <v>0</v>
      </c>
      <c r="AD81" s="108">
        <f>MIN(((-PMT(Parameters!$B$31/12,Parameters!$B$32,$F74))*3),AC82)</f>
        <v>0</v>
      </c>
      <c r="AE81" s="108">
        <f>MIN(((-PMT(Parameters!$B$31/12,Parameters!$B$32,$F74))*3),AD82)</f>
        <v>0</v>
      </c>
      <c r="AF81" s="108">
        <f>MIN(((-PMT(Parameters!$B$31/12,Parameters!$B$32,$F74))*3),AE82)</f>
        <v>0</v>
      </c>
      <c r="AG81" s="108">
        <f>MIN(((-PMT(Parameters!$B$31/12,Parameters!$B$32,$F74))*3),AF82)</f>
        <v>0</v>
      </c>
      <c r="AH81" s="108">
        <f>MIN(((-PMT(Parameters!$B$31/12,Parameters!$B$32,$F74))*3),AG82)</f>
        <v>0</v>
      </c>
      <c r="AI81" s="108">
        <f>MIN(((-PMT(Parameters!$B$31/12,Parameters!$B$32,$F74))*3),AH82)</f>
        <v>0</v>
      </c>
      <c r="AJ81" s="108">
        <f>MIN(((-PMT(Parameters!$B$31/12,Parameters!$B$32,$F74))*3),AI82)</f>
        <v>0</v>
      </c>
      <c r="AK81" s="108">
        <f>MIN(((-PMT(Parameters!$B$31/12,Parameters!$B$32,$F74))*3),AJ82)</f>
        <v>0</v>
      </c>
      <c r="AL81" s="108">
        <f>MIN(((-PMT(Parameters!$B$31/12,Parameters!$B$32,$F74))*3),AK82)</f>
        <v>0</v>
      </c>
      <c r="AM81" s="108">
        <f>MIN(((-PMT(Parameters!$B$31/12,Parameters!$B$32,$F74))*3),AL82)</f>
        <v>0</v>
      </c>
    </row>
    <row r="82" spans="1:39" ht="15" customHeight="1" x14ac:dyDescent="0.2">
      <c r="A82" s="868"/>
      <c r="B82" s="860"/>
      <c r="C82" s="860"/>
      <c r="D82" s="860"/>
      <c r="E82" s="860"/>
      <c r="F82" s="860"/>
      <c r="G82" s="860"/>
      <c r="H82" s="860"/>
      <c r="I82" s="861"/>
      <c r="L82" s="109">
        <f>K81</f>
        <v>1002352.3672233436</v>
      </c>
      <c r="M82" s="109">
        <f t="shared" ref="M82:AM82" si="37">L82-M81</f>
        <v>960587.68525570421</v>
      </c>
      <c r="N82" s="109">
        <f t="shared" si="37"/>
        <v>877058.3213204256</v>
      </c>
      <c r="O82" s="109">
        <f t="shared" si="37"/>
        <v>793528.95738514699</v>
      </c>
      <c r="P82" s="109">
        <f t="shared" si="37"/>
        <v>709999.59344986838</v>
      </c>
      <c r="Q82" s="109">
        <f t="shared" si="37"/>
        <v>626470.22951458977</v>
      </c>
      <c r="R82" s="109">
        <f t="shared" si="37"/>
        <v>542940.86557931115</v>
      </c>
      <c r="S82" s="109">
        <f t="shared" si="37"/>
        <v>459411.50164403254</v>
      </c>
      <c r="T82" s="109">
        <f t="shared" si="37"/>
        <v>375882.13770875393</v>
      </c>
      <c r="U82" s="109">
        <f t="shared" si="37"/>
        <v>292352.77377347532</v>
      </c>
      <c r="V82" s="109">
        <f t="shared" si="37"/>
        <v>208823.40983819671</v>
      </c>
      <c r="W82" s="109">
        <f t="shared" si="37"/>
        <v>125294.04590291808</v>
      </c>
      <c r="X82" s="109">
        <f t="shared" si="37"/>
        <v>41764.681967639452</v>
      </c>
      <c r="Y82" s="109">
        <f>X82-Y81</f>
        <v>0</v>
      </c>
      <c r="Z82" s="109">
        <f t="shared" si="37"/>
        <v>0</v>
      </c>
      <c r="AA82" s="109">
        <f t="shared" si="37"/>
        <v>0</v>
      </c>
      <c r="AB82" s="109">
        <f t="shared" si="37"/>
        <v>0</v>
      </c>
      <c r="AC82" s="109">
        <f t="shared" si="37"/>
        <v>0</v>
      </c>
      <c r="AD82" s="109">
        <f t="shared" si="37"/>
        <v>0</v>
      </c>
      <c r="AE82" s="109">
        <f t="shared" si="37"/>
        <v>0</v>
      </c>
      <c r="AF82" s="109">
        <f t="shared" si="37"/>
        <v>0</v>
      </c>
      <c r="AG82" s="109">
        <f t="shared" si="37"/>
        <v>0</v>
      </c>
      <c r="AH82" s="109">
        <f t="shared" si="37"/>
        <v>0</v>
      </c>
      <c r="AI82" s="109">
        <f t="shared" si="37"/>
        <v>0</v>
      </c>
      <c r="AJ82" s="109">
        <f t="shared" si="37"/>
        <v>0</v>
      </c>
      <c r="AK82" s="109">
        <f t="shared" si="37"/>
        <v>0</v>
      </c>
      <c r="AL82" s="109">
        <f t="shared" si="37"/>
        <v>0</v>
      </c>
      <c r="AM82" s="109">
        <f t="shared" si="37"/>
        <v>0</v>
      </c>
    </row>
    <row r="83" spans="1:39" ht="15" customHeight="1" x14ac:dyDescent="0.2">
      <c r="A83" s="868"/>
      <c r="B83" s="860"/>
      <c r="C83" s="860"/>
      <c r="D83" s="860"/>
      <c r="E83" s="860"/>
      <c r="F83" s="860"/>
      <c r="G83" s="860"/>
      <c r="H83" s="860"/>
      <c r="I83" s="861"/>
      <c r="K83" s="110">
        <f>(-PMT(Parameters!$B$31/12,Parameters!$B$32,$G74))*Parameters!$B$32</f>
        <v>1002352.3672233436</v>
      </c>
      <c r="L83" s="111"/>
      <c r="M83" s="111"/>
      <c r="N83" s="108">
        <f>(-PMT(Parameters!$B$31/12,Parameters!$B$32,$G74))*Parameters!$K$32</f>
        <v>41764.681967639313</v>
      </c>
      <c r="O83" s="108">
        <f>MIN(((-PMT(Parameters!$B$31/12,Parameters!$B$32,$G74))*3),N84)</f>
        <v>83529.363935278627</v>
      </c>
      <c r="P83" s="108">
        <f>MIN(((-PMT(Parameters!$B$31/12,Parameters!$B$32,$G74))*3),O84)</f>
        <v>83529.363935278627</v>
      </c>
      <c r="Q83" s="108">
        <f>MIN(((-PMT(Parameters!$B$31/12,Parameters!$B$32,$G74))*3),P84)</f>
        <v>83529.363935278627</v>
      </c>
      <c r="R83" s="108">
        <f>MIN(((-PMT(Parameters!$B$31/12,Parameters!$B$32,$G74))*3),Q84)</f>
        <v>83529.363935278627</v>
      </c>
      <c r="S83" s="108">
        <f>MIN(((-PMT(Parameters!$B$31/12,Parameters!$B$32,$G74))*3),R84)</f>
        <v>83529.363935278627</v>
      </c>
      <c r="T83" s="108">
        <f>MIN(((-PMT(Parameters!$B$31/12,Parameters!$B$32,$G74))*3),S84)</f>
        <v>83529.363935278627</v>
      </c>
      <c r="U83" s="108">
        <f>MIN(((-PMT(Parameters!$B$31/12,Parameters!$B$32,$G74))*3),T84)</f>
        <v>83529.363935278627</v>
      </c>
      <c r="V83" s="108">
        <f>MIN(((-PMT(Parameters!$B$31/12,Parameters!$B$32,$G74))*3),U84)</f>
        <v>83529.363935278627</v>
      </c>
      <c r="W83" s="108">
        <f>MIN(((-PMT(Parameters!$B$31/12,Parameters!$B$32,$G74))*3),V84)</f>
        <v>83529.363935278627</v>
      </c>
      <c r="X83" s="108">
        <f>MIN(((-PMT(Parameters!$B$31/12,Parameters!$B$32,$G74))*3),W84)</f>
        <v>83529.363935278627</v>
      </c>
      <c r="Y83" s="108">
        <f>MIN(((-PMT(Parameters!$B$31/12,Parameters!$B$32,$G74))*3),X84)</f>
        <v>83529.363935278627</v>
      </c>
      <c r="Z83" s="108">
        <f>MIN(((-PMT(Parameters!$B$31/12,Parameters!$B$32,$G74))*3),Y84)</f>
        <v>41764.681967639452</v>
      </c>
      <c r="AA83" s="108">
        <f>MIN(((-PMT(Parameters!$B$31/12,Parameters!$B$32,$G74))*3),Z84)</f>
        <v>0</v>
      </c>
      <c r="AB83" s="108">
        <f>MIN(((-PMT(Parameters!$B$31/12,Parameters!$B$32,$G74))*3),AA84)</f>
        <v>0</v>
      </c>
      <c r="AC83" s="108">
        <f>MIN(((-PMT(Parameters!$B$31/12,Parameters!$B$32,$G74))*3),AB84)</f>
        <v>0</v>
      </c>
      <c r="AD83" s="108">
        <f>MIN(((-PMT(Parameters!$B$31/12,Parameters!$B$32,$G74))*3),AC84)</f>
        <v>0</v>
      </c>
      <c r="AE83" s="108">
        <f>MIN(((-PMT(Parameters!$B$31/12,Parameters!$B$32,$G74))*3),AD84)</f>
        <v>0</v>
      </c>
      <c r="AF83" s="108">
        <f>MIN(((-PMT(Parameters!$B$31/12,Parameters!$B$32,$G74))*3),AE84)</f>
        <v>0</v>
      </c>
      <c r="AG83" s="108">
        <f>MIN(((-PMT(Parameters!$B$31/12,Parameters!$B$32,$G74))*3),AF84)</f>
        <v>0</v>
      </c>
      <c r="AH83" s="108">
        <f>MIN(((-PMT(Parameters!$B$31/12,Parameters!$B$32,$G74))*3),AG84)</f>
        <v>0</v>
      </c>
      <c r="AI83" s="108">
        <f>MIN(((-PMT(Parameters!$B$31/12,Parameters!$B$32,$G74))*3),AH84)</f>
        <v>0</v>
      </c>
      <c r="AJ83" s="108">
        <f>MIN(((-PMT(Parameters!$B$31/12,Parameters!$B$32,$G74))*3),AI84)</f>
        <v>0</v>
      </c>
      <c r="AK83" s="108">
        <f>MIN(((-PMT(Parameters!$B$31/12,Parameters!$B$32,$G74))*3),AJ84)</f>
        <v>0</v>
      </c>
      <c r="AL83" s="108">
        <f>MIN(((-PMT(Parameters!$B$31/12,Parameters!$B$32,$G74))*3),AK84)</f>
        <v>0</v>
      </c>
      <c r="AM83" s="108">
        <f>MIN(((-PMT(Parameters!$B$31/12,Parameters!$B$32,$G74))*3),AL84)</f>
        <v>0</v>
      </c>
    </row>
    <row r="84" spans="1:39" ht="15" customHeight="1" x14ac:dyDescent="0.2">
      <c r="A84" s="868"/>
      <c r="B84" s="860"/>
      <c r="C84" s="860"/>
      <c r="D84" s="860"/>
      <c r="E84" s="860"/>
      <c r="F84" s="860"/>
      <c r="G84" s="860"/>
      <c r="H84" s="860"/>
      <c r="I84" s="861"/>
      <c r="L84" s="109">
        <f>K83</f>
        <v>1002352.3672233436</v>
      </c>
      <c r="M84" s="109">
        <f>L84</f>
        <v>1002352.3672233436</v>
      </c>
      <c r="N84" s="109">
        <f t="shared" ref="N84:AM84" si="38">M84-N83</f>
        <v>960587.68525570421</v>
      </c>
      <c r="O84" s="109">
        <f t="shared" si="38"/>
        <v>877058.3213204256</v>
      </c>
      <c r="P84" s="109">
        <f t="shared" si="38"/>
        <v>793528.95738514699</v>
      </c>
      <c r="Q84" s="109">
        <f t="shared" si="38"/>
        <v>709999.59344986838</v>
      </c>
      <c r="R84" s="109">
        <f t="shared" si="38"/>
        <v>626470.22951458977</v>
      </c>
      <c r="S84" s="109">
        <f t="shared" si="38"/>
        <v>542940.86557931115</v>
      </c>
      <c r="T84" s="109">
        <f t="shared" si="38"/>
        <v>459411.50164403254</v>
      </c>
      <c r="U84" s="109">
        <f t="shared" si="38"/>
        <v>375882.13770875393</v>
      </c>
      <c r="V84" s="109">
        <f t="shared" si="38"/>
        <v>292352.77377347532</v>
      </c>
      <c r="W84" s="109">
        <f t="shared" si="38"/>
        <v>208823.40983819671</v>
      </c>
      <c r="X84" s="109">
        <f t="shared" si="38"/>
        <v>125294.04590291808</v>
      </c>
      <c r="Y84" s="109">
        <f>X84-Y83</f>
        <v>41764.681967639452</v>
      </c>
      <c r="Z84" s="109">
        <f t="shared" si="38"/>
        <v>0</v>
      </c>
      <c r="AA84" s="109">
        <f t="shared" si="38"/>
        <v>0</v>
      </c>
      <c r="AB84" s="109">
        <f t="shared" si="38"/>
        <v>0</v>
      </c>
      <c r="AC84" s="109">
        <f t="shared" si="38"/>
        <v>0</v>
      </c>
      <c r="AD84" s="109">
        <f t="shared" si="38"/>
        <v>0</v>
      </c>
      <c r="AE84" s="109">
        <f t="shared" si="38"/>
        <v>0</v>
      </c>
      <c r="AF84" s="109">
        <f t="shared" si="38"/>
        <v>0</v>
      </c>
      <c r="AG84" s="109">
        <f t="shared" si="38"/>
        <v>0</v>
      </c>
      <c r="AH84" s="109">
        <f t="shared" si="38"/>
        <v>0</v>
      </c>
      <c r="AI84" s="109">
        <f t="shared" si="38"/>
        <v>0</v>
      </c>
      <c r="AJ84" s="109">
        <f t="shared" si="38"/>
        <v>0</v>
      </c>
      <c r="AK84" s="109">
        <f t="shared" si="38"/>
        <v>0</v>
      </c>
      <c r="AL84" s="109">
        <f t="shared" si="38"/>
        <v>0</v>
      </c>
      <c r="AM84" s="109">
        <f t="shared" si="38"/>
        <v>0</v>
      </c>
    </row>
    <row r="85" spans="1:39" ht="15" customHeight="1" x14ac:dyDescent="0.2">
      <c r="A85" s="868"/>
      <c r="B85" s="860"/>
      <c r="C85" s="860"/>
      <c r="D85" s="860"/>
      <c r="E85" s="860"/>
      <c r="F85" s="860"/>
      <c r="G85" s="860"/>
      <c r="H85" s="860"/>
      <c r="I85" s="861"/>
      <c r="K85" s="110">
        <f>(-PMT(Parameters!$B$31/12,Parameters!$B$32,$H74))*Parameters!$B$32</f>
        <v>1002352.3672233436</v>
      </c>
      <c r="L85" s="111"/>
      <c r="M85" s="111"/>
      <c r="N85" s="111"/>
      <c r="O85" s="108">
        <f>(-PMT(Parameters!$B$31/12,Parameters!$B$32,$H74))*Parameters!$K$32</f>
        <v>41764.681967639313</v>
      </c>
      <c r="P85" s="108">
        <f>MIN(((-PMT(Parameters!$B$31/12,Parameters!$B$32,$H74))*3),O86)</f>
        <v>83529.363935278627</v>
      </c>
      <c r="Q85" s="108">
        <f>MIN(((-PMT(Parameters!$B$31/12,Parameters!$B$32,$H74))*3),P86)</f>
        <v>83529.363935278627</v>
      </c>
      <c r="R85" s="108">
        <f>MIN(((-PMT(Parameters!$B$31/12,Parameters!$B$32,$H74))*3),Q86)</f>
        <v>83529.363935278627</v>
      </c>
      <c r="S85" s="108">
        <f>MIN(((-PMT(Parameters!$B$31/12,Parameters!$B$32,$H74))*3),R86)</f>
        <v>83529.363935278627</v>
      </c>
      <c r="T85" s="108">
        <f>MIN(((-PMT(Parameters!$B$31/12,Parameters!$B$32,$H74))*3),S86)</f>
        <v>83529.363935278627</v>
      </c>
      <c r="U85" s="108">
        <f>MIN(((-PMT(Parameters!$B$31/12,Parameters!$B$32,$H74))*3),T86)</f>
        <v>83529.363935278627</v>
      </c>
      <c r="V85" s="108">
        <f>MIN(((-PMT(Parameters!$B$31/12,Parameters!$B$32,$H74))*3),U86)</f>
        <v>83529.363935278627</v>
      </c>
      <c r="W85" s="108">
        <f>MIN(((-PMT(Parameters!$B$31/12,Parameters!$B$32,$H74))*3),V86)</f>
        <v>83529.363935278627</v>
      </c>
      <c r="X85" s="108">
        <f>MIN(((-PMT(Parameters!$B$31/12,Parameters!$B$32,$H74))*3),W86)</f>
        <v>83529.363935278627</v>
      </c>
      <c r="Y85" s="108">
        <f>MIN(((-PMT(Parameters!$B$31/12,Parameters!$B$32,$H74))*3),X86)</f>
        <v>83529.363935278627</v>
      </c>
      <c r="Z85" s="108">
        <f>MIN(((-PMT(Parameters!$B$31/12,Parameters!$B$32,$H74))*3),Y86)</f>
        <v>83529.363935278627</v>
      </c>
      <c r="AA85" s="108">
        <f>MIN(((-PMT(Parameters!$B$31/12,Parameters!$B$32,$H74))*3),Z86)</f>
        <v>41764.681967639452</v>
      </c>
      <c r="AB85" s="108">
        <f>MIN(((-PMT(Parameters!$B$31/12,Parameters!$B$32,$H74))*3),AA86)</f>
        <v>0</v>
      </c>
      <c r="AC85" s="108">
        <f>MIN(((-PMT(Parameters!$B$31/12,Parameters!$B$32,$H74))*3),AB86)</f>
        <v>0</v>
      </c>
      <c r="AD85" s="108">
        <f>MIN(((-PMT(Parameters!$B$31/12,Parameters!$B$32,$H74))*3),AC86)</f>
        <v>0</v>
      </c>
      <c r="AE85" s="108">
        <f>MIN(((-PMT(Parameters!$B$31/12,Parameters!$B$32,$H74))*3),AD86)</f>
        <v>0</v>
      </c>
      <c r="AF85" s="108">
        <f>MIN(((-PMT(Parameters!$B$31/12,Parameters!$B$32,$H74))*3),AE86)</f>
        <v>0</v>
      </c>
      <c r="AG85" s="108">
        <f>MIN(((-PMT(Parameters!$B$31/12,Parameters!$B$32,$H74))*3),AF86)</f>
        <v>0</v>
      </c>
      <c r="AH85" s="108">
        <f>MIN(((-PMT(Parameters!$B$31/12,Parameters!$B$32,$H74))*3),AG86)</f>
        <v>0</v>
      </c>
      <c r="AI85" s="108">
        <f>MIN(((-PMT(Parameters!$B$31/12,Parameters!$B$32,$H74))*3),AH86)</f>
        <v>0</v>
      </c>
      <c r="AJ85" s="108">
        <f>MIN(((-PMT(Parameters!$B$31/12,Parameters!$B$32,$H74))*3),AI86)</f>
        <v>0</v>
      </c>
      <c r="AK85" s="108">
        <f>MIN(((-PMT(Parameters!$B$31/12,Parameters!$B$32,$H74))*3),AJ86)</f>
        <v>0</v>
      </c>
      <c r="AL85" s="108">
        <f>MIN(((-PMT(Parameters!$B$31/12,Parameters!$B$32,$H74))*3),AK86)</f>
        <v>0</v>
      </c>
      <c r="AM85" s="108">
        <f>MIN(((-PMT(Parameters!$B$31/12,Parameters!$B$32,$H74))*3),AL86)</f>
        <v>0</v>
      </c>
    </row>
    <row r="86" spans="1:39" ht="15" customHeight="1" x14ac:dyDescent="0.2">
      <c r="A86" s="868"/>
      <c r="B86" s="860"/>
      <c r="C86" s="860"/>
      <c r="D86" s="860"/>
      <c r="E86" s="860"/>
      <c r="F86" s="860"/>
      <c r="G86" s="860"/>
      <c r="H86" s="860"/>
      <c r="I86" s="861"/>
      <c r="L86" s="109">
        <f>K85</f>
        <v>1002352.3672233436</v>
      </c>
      <c r="M86" s="109">
        <f>L86</f>
        <v>1002352.3672233436</v>
      </c>
      <c r="N86" s="109">
        <f t="shared" ref="N86:AM86" si="39">M86-N85</f>
        <v>1002352.3672233436</v>
      </c>
      <c r="O86" s="109">
        <f t="shared" si="39"/>
        <v>960587.68525570421</v>
      </c>
      <c r="P86" s="109">
        <f t="shared" si="39"/>
        <v>877058.3213204256</v>
      </c>
      <c r="Q86" s="109">
        <f t="shared" si="39"/>
        <v>793528.95738514699</v>
      </c>
      <c r="R86" s="109">
        <f t="shared" si="39"/>
        <v>709999.59344986838</v>
      </c>
      <c r="S86" s="109">
        <f t="shared" si="39"/>
        <v>626470.22951458977</v>
      </c>
      <c r="T86" s="109">
        <f t="shared" si="39"/>
        <v>542940.86557931115</v>
      </c>
      <c r="U86" s="109">
        <f t="shared" si="39"/>
        <v>459411.50164403254</v>
      </c>
      <c r="V86" s="109">
        <f t="shared" si="39"/>
        <v>375882.13770875393</v>
      </c>
      <c r="W86" s="109">
        <f t="shared" si="39"/>
        <v>292352.77377347532</v>
      </c>
      <c r="X86" s="109">
        <f t="shared" si="39"/>
        <v>208823.40983819671</v>
      </c>
      <c r="Y86" s="109">
        <f>X86-Y85</f>
        <v>125294.04590291808</v>
      </c>
      <c r="Z86" s="109">
        <f t="shared" si="39"/>
        <v>41764.681967639452</v>
      </c>
      <c r="AA86" s="109">
        <f t="shared" si="39"/>
        <v>0</v>
      </c>
      <c r="AB86" s="109">
        <f t="shared" si="39"/>
        <v>0</v>
      </c>
      <c r="AC86" s="109">
        <f t="shared" si="39"/>
        <v>0</v>
      </c>
      <c r="AD86" s="109">
        <f t="shared" si="39"/>
        <v>0</v>
      </c>
      <c r="AE86" s="109">
        <f t="shared" si="39"/>
        <v>0</v>
      </c>
      <c r="AF86" s="109">
        <f t="shared" si="39"/>
        <v>0</v>
      </c>
      <c r="AG86" s="109">
        <f t="shared" si="39"/>
        <v>0</v>
      </c>
      <c r="AH86" s="109">
        <f t="shared" si="39"/>
        <v>0</v>
      </c>
      <c r="AI86" s="109">
        <f t="shared" si="39"/>
        <v>0</v>
      </c>
      <c r="AJ86" s="109">
        <f t="shared" si="39"/>
        <v>0</v>
      </c>
      <c r="AK86" s="109">
        <f t="shared" si="39"/>
        <v>0</v>
      </c>
      <c r="AL86" s="109">
        <f t="shared" si="39"/>
        <v>0</v>
      </c>
      <c r="AM86" s="109">
        <f t="shared" si="39"/>
        <v>0</v>
      </c>
    </row>
    <row r="87" spans="1:39" ht="15" customHeight="1" x14ac:dyDescent="0.2">
      <c r="A87" s="868"/>
      <c r="B87" s="860"/>
      <c r="C87" s="860"/>
      <c r="D87" s="860"/>
      <c r="E87" s="860"/>
      <c r="F87" s="860"/>
      <c r="G87" s="860"/>
      <c r="H87" s="860"/>
      <c r="I87" s="861"/>
      <c r="L87" s="109">
        <f>L79+L81+L83+L85</f>
        <v>41764.681967639313</v>
      </c>
      <c r="M87" s="109">
        <f t="shared" ref="M87:AM87" si="40">M79+M81+M83+M85</f>
        <v>125294.04590291795</v>
      </c>
      <c r="N87" s="109">
        <f t="shared" si="40"/>
        <v>208823.40983819656</v>
      </c>
      <c r="O87" s="109">
        <f t="shared" si="40"/>
        <v>292352.7737734752</v>
      </c>
      <c r="P87" s="109">
        <f t="shared" si="40"/>
        <v>334117.45574111451</v>
      </c>
      <c r="Q87" s="109">
        <f t="shared" si="40"/>
        <v>334117.45574111451</v>
      </c>
      <c r="R87" s="109">
        <f t="shared" si="40"/>
        <v>334117.45574111451</v>
      </c>
      <c r="S87" s="109">
        <f t="shared" si="40"/>
        <v>334117.45574111451</v>
      </c>
      <c r="T87" s="109">
        <f t="shared" si="40"/>
        <v>334117.45574111451</v>
      </c>
      <c r="U87" s="109">
        <f t="shared" si="40"/>
        <v>334117.45574111451</v>
      </c>
      <c r="V87" s="109">
        <f t="shared" si="40"/>
        <v>334117.45574111451</v>
      </c>
      <c r="W87" s="109">
        <f t="shared" si="40"/>
        <v>334117.45574111451</v>
      </c>
      <c r="X87" s="109">
        <f t="shared" si="40"/>
        <v>292352.77377347532</v>
      </c>
      <c r="Y87" s="109">
        <f t="shared" si="40"/>
        <v>208823.40983819671</v>
      </c>
      <c r="Z87" s="109">
        <f t="shared" si="40"/>
        <v>125294.04590291808</v>
      </c>
      <c r="AA87" s="109">
        <f t="shared" si="40"/>
        <v>41764.681967639452</v>
      </c>
      <c r="AB87" s="109">
        <f t="shared" si="40"/>
        <v>0</v>
      </c>
      <c r="AC87" s="109">
        <f t="shared" si="40"/>
        <v>0</v>
      </c>
      <c r="AD87" s="109">
        <f t="shared" si="40"/>
        <v>0</v>
      </c>
      <c r="AE87" s="109">
        <f t="shared" si="40"/>
        <v>0</v>
      </c>
      <c r="AF87" s="109">
        <f t="shared" si="40"/>
        <v>0</v>
      </c>
      <c r="AG87" s="109">
        <f t="shared" si="40"/>
        <v>0</v>
      </c>
      <c r="AH87" s="109">
        <f t="shared" si="40"/>
        <v>0</v>
      </c>
      <c r="AI87" s="109">
        <f t="shared" si="40"/>
        <v>0</v>
      </c>
      <c r="AJ87" s="109">
        <f t="shared" si="40"/>
        <v>0</v>
      </c>
      <c r="AK87" s="109">
        <f t="shared" si="40"/>
        <v>0</v>
      </c>
      <c r="AL87" s="109">
        <f t="shared" si="40"/>
        <v>0</v>
      </c>
      <c r="AM87" s="109">
        <f t="shared" si="40"/>
        <v>0</v>
      </c>
    </row>
    <row r="88" spans="1:39" ht="15" customHeight="1" thickBot="1" x14ac:dyDescent="0.25">
      <c r="A88" s="869"/>
      <c r="B88" s="862"/>
      <c r="C88" s="862"/>
      <c r="D88" s="862"/>
      <c r="E88" s="862"/>
      <c r="F88" s="862"/>
      <c r="G88" s="862"/>
      <c r="H88" s="862"/>
      <c r="I88" s="863"/>
      <c r="L88"/>
      <c r="M88"/>
      <c r="N88"/>
      <c r="O88"/>
      <c r="P88"/>
      <c r="Q88"/>
      <c r="R88"/>
      <c r="S88"/>
      <c r="T88"/>
      <c r="U88"/>
      <c r="V88"/>
      <c r="W88"/>
      <c r="X88"/>
      <c r="Y88"/>
      <c r="Z88"/>
      <c r="AA88"/>
      <c r="AB88"/>
      <c r="AC88"/>
      <c r="AD88"/>
      <c r="AE88"/>
      <c r="AF88"/>
      <c r="AG88"/>
      <c r="AH88"/>
      <c r="AI88"/>
      <c r="AJ88"/>
      <c r="AK88"/>
      <c r="AL88"/>
      <c r="AM88"/>
    </row>
    <row r="89" spans="1:39" ht="13.2" thickBot="1" x14ac:dyDescent="0.25"/>
    <row r="90" spans="1:39" ht="16.05" customHeight="1" x14ac:dyDescent="0.2">
      <c r="A90" s="889">
        <v>2015</v>
      </c>
      <c r="B90" s="890"/>
      <c r="C90" s="893" t="s">
        <v>198</v>
      </c>
      <c r="D90" s="894"/>
      <c r="E90" s="864" t="s">
        <v>406</v>
      </c>
      <c r="F90" s="883" t="s">
        <v>407</v>
      </c>
      <c r="G90" s="883" t="s">
        <v>408</v>
      </c>
      <c r="H90" s="885" t="s">
        <v>409</v>
      </c>
      <c r="I90" s="887" t="s">
        <v>498</v>
      </c>
      <c r="L90" s="85">
        <f>X3</f>
        <v>40178</v>
      </c>
      <c r="M90" s="85">
        <f>L91+1</f>
        <v>40268</v>
      </c>
      <c r="N90" s="85">
        <f t="shared" ref="N90:AM90" si="41">M91+1</f>
        <v>40359</v>
      </c>
      <c r="O90" s="85">
        <f t="shared" si="41"/>
        <v>40451</v>
      </c>
      <c r="P90" s="85">
        <f t="shared" si="41"/>
        <v>40543</v>
      </c>
      <c r="Q90" s="85">
        <f t="shared" si="41"/>
        <v>40633</v>
      </c>
      <c r="R90" s="85">
        <f t="shared" si="41"/>
        <v>40724</v>
      </c>
      <c r="S90" s="85">
        <f t="shared" si="41"/>
        <v>40816</v>
      </c>
      <c r="T90" s="85">
        <f t="shared" si="41"/>
        <v>40908</v>
      </c>
      <c r="U90" s="85">
        <f t="shared" si="41"/>
        <v>40999</v>
      </c>
      <c r="V90" s="85">
        <f t="shared" si="41"/>
        <v>41090</v>
      </c>
      <c r="W90" s="85">
        <f t="shared" si="41"/>
        <v>41182</v>
      </c>
      <c r="X90" s="85">
        <f t="shared" si="41"/>
        <v>41274</v>
      </c>
      <c r="Y90" s="85">
        <f>X91+1</f>
        <v>41364</v>
      </c>
      <c r="Z90" s="85">
        <f t="shared" si="41"/>
        <v>41455</v>
      </c>
      <c r="AA90" s="85">
        <f t="shared" si="41"/>
        <v>41547</v>
      </c>
      <c r="AB90" s="85">
        <f t="shared" si="41"/>
        <v>41639</v>
      </c>
      <c r="AC90" s="85">
        <f t="shared" si="41"/>
        <v>41729</v>
      </c>
      <c r="AD90" s="85">
        <f t="shared" si="41"/>
        <v>41820</v>
      </c>
      <c r="AE90" s="85">
        <f t="shared" si="41"/>
        <v>41912</v>
      </c>
      <c r="AF90" s="85">
        <f t="shared" si="41"/>
        <v>42004</v>
      </c>
      <c r="AG90" s="85">
        <f t="shared" si="41"/>
        <v>42094</v>
      </c>
      <c r="AH90" s="85">
        <f t="shared" si="41"/>
        <v>42185</v>
      </c>
      <c r="AI90" s="85">
        <f t="shared" si="41"/>
        <v>42277</v>
      </c>
      <c r="AJ90" s="85">
        <f t="shared" si="41"/>
        <v>42369</v>
      </c>
      <c r="AK90" s="85">
        <f t="shared" si="41"/>
        <v>42460</v>
      </c>
      <c r="AL90" s="85">
        <f t="shared" si="41"/>
        <v>42551</v>
      </c>
      <c r="AM90" s="85">
        <f t="shared" si="41"/>
        <v>42643</v>
      </c>
    </row>
    <row r="91" spans="1:39" ht="16.05" customHeight="1" thickBot="1" x14ac:dyDescent="0.25">
      <c r="A91" s="891"/>
      <c r="B91" s="892"/>
      <c r="C91" s="895"/>
      <c r="D91" s="896"/>
      <c r="E91" s="865"/>
      <c r="F91" s="884"/>
      <c r="G91" s="884"/>
      <c r="H91" s="886"/>
      <c r="I91" s="888"/>
      <c r="L91" s="85">
        <f>X4</f>
        <v>40267</v>
      </c>
      <c r="M91" s="85">
        <f t="shared" ref="M91:X91" si="42">Y4</f>
        <v>40358</v>
      </c>
      <c r="N91" s="85">
        <f t="shared" si="42"/>
        <v>40450</v>
      </c>
      <c r="O91" s="85">
        <f t="shared" si="42"/>
        <v>40542</v>
      </c>
      <c r="P91" s="85">
        <f t="shared" si="42"/>
        <v>40632</v>
      </c>
      <c r="Q91" s="85">
        <f t="shared" si="42"/>
        <v>40723</v>
      </c>
      <c r="R91" s="85">
        <f t="shared" si="42"/>
        <v>40815</v>
      </c>
      <c r="S91" s="85">
        <f t="shared" si="42"/>
        <v>40907</v>
      </c>
      <c r="T91" s="85">
        <f t="shared" si="42"/>
        <v>40998</v>
      </c>
      <c r="U91" s="85">
        <f t="shared" si="42"/>
        <v>41089</v>
      </c>
      <c r="V91" s="85">
        <f t="shared" si="42"/>
        <v>41181</v>
      </c>
      <c r="W91" s="85">
        <f t="shared" si="42"/>
        <v>41273</v>
      </c>
      <c r="X91" s="85">
        <f t="shared" si="42"/>
        <v>41363</v>
      </c>
      <c r="Y91" s="85">
        <f t="shared" ref="Y91:AM91" si="43">AK4</f>
        <v>41454</v>
      </c>
      <c r="Z91" s="85">
        <f t="shared" si="43"/>
        <v>41546</v>
      </c>
      <c r="AA91" s="85">
        <f t="shared" si="43"/>
        <v>41638</v>
      </c>
      <c r="AB91" s="85">
        <f t="shared" si="43"/>
        <v>41728</v>
      </c>
      <c r="AC91" s="85">
        <f t="shared" si="43"/>
        <v>41819</v>
      </c>
      <c r="AD91" s="85">
        <f t="shared" si="43"/>
        <v>41911</v>
      </c>
      <c r="AE91" s="85">
        <f t="shared" si="43"/>
        <v>42003</v>
      </c>
      <c r="AF91" s="85">
        <f t="shared" si="43"/>
        <v>42093</v>
      </c>
      <c r="AG91" s="85">
        <f t="shared" si="43"/>
        <v>42184</v>
      </c>
      <c r="AH91" s="85">
        <f t="shared" si="43"/>
        <v>42276</v>
      </c>
      <c r="AI91" s="85">
        <f t="shared" si="43"/>
        <v>42368</v>
      </c>
      <c r="AJ91" s="85">
        <f t="shared" si="43"/>
        <v>42459</v>
      </c>
      <c r="AK91" s="85">
        <f t="shared" si="43"/>
        <v>42550</v>
      </c>
      <c r="AL91" s="85">
        <f t="shared" si="43"/>
        <v>42642</v>
      </c>
      <c r="AM91" s="85">
        <f t="shared" si="43"/>
        <v>42734</v>
      </c>
    </row>
    <row r="92" spans="1:39" ht="15" customHeight="1" x14ac:dyDescent="0.2">
      <c r="A92" s="878" t="s">
        <v>318</v>
      </c>
      <c r="B92" s="870" t="s">
        <v>347</v>
      </c>
      <c r="C92" s="95" t="s">
        <v>374</v>
      </c>
      <c r="D92" s="94">
        <f>1-Parameters!N$6</f>
        <v>0</v>
      </c>
      <c r="E92" s="96">
        <f>ROUND(Calculations!S3*$D92,0)</f>
        <v>0</v>
      </c>
      <c r="F92" s="96">
        <f>ROUND(Calculations!T3*$D92,0)</f>
        <v>0</v>
      </c>
      <c r="G92" s="96">
        <f>ROUND(Calculations!U3*$D92,0)</f>
        <v>0</v>
      </c>
      <c r="H92" s="96">
        <f>ROUND(Calculations!V3*$D92,0)</f>
        <v>0</v>
      </c>
      <c r="I92" s="103">
        <f>SUM(E92:H92)</f>
        <v>0</v>
      </c>
      <c r="L92" s="88"/>
      <c r="M92" s="88"/>
      <c r="N92" s="88"/>
      <c r="O92" s="88"/>
      <c r="P92" s="85">
        <f>P90</f>
        <v>40543</v>
      </c>
      <c r="Q92" s="85">
        <f>Q90</f>
        <v>40633</v>
      </c>
      <c r="R92" s="85">
        <f>R90</f>
        <v>40724</v>
      </c>
      <c r="S92" s="85">
        <f>S90</f>
        <v>40816</v>
      </c>
      <c r="T92" s="88"/>
      <c r="U92" s="88"/>
      <c r="V92" s="88"/>
      <c r="W92" s="88"/>
      <c r="Y92"/>
    </row>
    <row r="93" spans="1:39" ht="15" customHeight="1" x14ac:dyDescent="0.2">
      <c r="A93" s="880"/>
      <c r="B93" s="688"/>
      <c r="C93" s="688" t="s">
        <v>139</v>
      </c>
      <c r="D93" s="871"/>
      <c r="E93" s="92">
        <f>SUM(E92:E92)</f>
        <v>0</v>
      </c>
      <c r="F93" s="92">
        <f>SUM(F92:F92)</f>
        <v>0</v>
      </c>
      <c r="G93" s="92">
        <f>SUM(G92:G92)</f>
        <v>0</v>
      </c>
      <c r="H93" s="92">
        <f>SUM(H92:H92)</f>
        <v>0</v>
      </c>
      <c r="I93" s="872">
        <f>H94</f>
        <v>0</v>
      </c>
      <c r="L93" s="93">
        <f>IF($M95&lt;=L91,$E93,IF($N95&lt;=L91,$F93,IF($O95&lt;=L91,$G93,IF($P95&lt;=L91,$H93,))))</f>
        <v>0</v>
      </c>
      <c r="M93" s="93">
        <f t="shared" ref="M93:W93" si="44">IF(AND($M95&gt;L91,$M95&lt;=M91),$E93,IF(AND($N95&gt;L91,$N95&lt;=M91),$F93,IF(AND($O95&gt;L91,$O95&lt;=M91),$G93,IF(AND($P95&gt;L91,$P95&lt;=M91),$H93,))))</f>
        <v>0</v>
      </c>
      <c r="N93" s="93">
        <f t="shared" si="44"/>
        <v>0</v>
      </c>
      <c r="O93" s="93">
        <f t="shared" si="44"/>
        <v>0</v>
      </c>
      <c r="P93" s="93">
        <f t="shared" si="44"/>
        <v>0</v>
      </c>
      <c r="Q93" s="93">
        <f t="shared" si="44"/>
        <v>0</v>
      </c>
      <c r="R93" s="93">
        <f t="shared" si="44"/>
        <v>0</v>
      </c>
      <c r="S93" s="93">
        <f t="shared" si="44"/>
        <v>0</v>
      </c>
      <c r="T93" s="93">
        <f t="shared" si="44"/>
        <v>0</v>
      </c>
      <c r="U93" s="93">
        <f t="shared" si="44"/>
        <v>0</v>
      </c>
      <c r="V93" s="93">
        <f t="shared" si="44"/>
        <v>0</v>
      </c>
      <c r="W93" s="93">
        <f t="shared" si="44"/>
        <v>0</v>
      </c>
      <c r="X93" s="93">
        <f>SUM(L93:W93)</f>
        <v>0</v>
      </c>
      <c r="Y93"/>
    </row>
    <row r="94" spans="1:39" ht="15" customHeight="1" x14ac:dyDescent="0.2">
      <c r="A94" s="880"/>
      <c r="B94" s="688"/>
      <c r="C94" s="874" t="s">
        <v>331</v>
      </c>
      <c r="D94" s="875"/>
      <c r="E94" s="105">
        <f>E93</f>
        <v>0</v>
      </c>
      <c r="F94" s="15">
        <f>E94+F93</f>
        <v>0</v>
      </c>
      <c r="G94" s="15">
        <f>F94+G93</f>
        <v>0</v>
      </c>
      <c r="H94" s="15">
        <f>G94+H93</f>
        <v>0</v>
      </c>
      <c r="I94" s="873"/>
    </row>
    <row r="95" spans="1:39" ht="15" customHeight="1" x14ac:dyDescent="0.2">
      <c r="A95" s="880"/>
      <c r="B95" s="688" t="s">
        <v>411</v>
      </c>
      <c r="C95" s="65" t="s">
        <v>405</v>
      </c>
      <c r="D95" s="104">
        <f>Parameters!$E$21</f>
        <v>17000</v>
      </c>
      <c r="E95" s="72">
        <f>E93*$D95</f>
        <v>0</v>
      </c>
      <c r="F95" s="72">
        <f>F93*$D95</f>
        <v>0</v>
      </c>
      <c r="G95" s="72">
        <f>G93*$D95</f>
        <v>0</v>
      </c>
      <c r="H95" s="72">
        <f>H93*$D95</f>
        <v>0</v>
      </c>
      <c r="I95" s="106">
        <f>SUM(E95:H95)</f>
        <v>0</v>
      </c>
      <c r="L95" s="60" t="s">
        <v>196</v>
      </c>
      <c r="M95" s="79">
        <f>P92+$D96</f>
        <v>40543</v>
      </c>
      <c r="N95" s="79">
        <f>Q92+$D96</f>
        <v>40633</v>
      </c>
      <c r="O95" s="79">
        <f>R92+$D96</f>
        <v>40724</v>
      </c>
      <c r="P95" s="79">
        <f>S92+$D96</f>
        <v>40816</v>
      </c>
      <c r="X95" s="69" t="s">
        <v>366</v>
      </c>
    </row>
    <row r="96" spans="1:39" ht="15" customHeight="1" thickBot="1" x14ac:dyDescent="0.25">
      <c r="A96" s="881"/>
      <c r="B96" s="882"/>
      <c r="C96" s="70" t="s">
        <v>332</v>
      </c>
      <c r="D96" s="84">
        <f>Parameters!$B$36</f>
        <v>0</v>
      </c>
      <c r="E96" s="72">
        <f>SUM(L96:P96)+L125+T67</f>
        <v>0</v>
      </c>
      <c r="F96" s="66">
        <f>Q96+M125+U67</f>
        <v>0</v>
      </c>
      <c r="G96" s="66">
        <f>R96+N125+V67</f>
        <v>0</v>
      </c>
      <c r="H96" s="66">
        <f>S96+O125+W67</f>
        <v>0</v>
      </c>
      <c r="I96" s="89">
        <f>SUM(E96:H96)</f>
        <v>0</v>
      </c>
      <c r="L96" s="68">
        <f>IF($M95&lt;=L91,$E95,IF($N95&lt;=L91,$F95,IF($O95&lt;=L91,$G95,IF($P95&lt;=L91,$H95,))))</f>
        <v>0</v>
      </c>
      <c r="M96" s="68">
        <f t="shared" ref="M96:W96" si="45">IF(AND($M95&gt;L91,$M95&lt;=M91),$E95,IF(AND($N95&gt;L91,$N95&lt;=M91),$F95,IF(AND($O95&gt;L91,$O95&lt;=M91),$G95,IF(AND($P95&gt;L91,$P95&lt;=M91),$H95,))))</f>
        <v>0</v>
      </c>
      <c r="N96" s="68">
        <f t="shared" si="45"/>
        <v>0</v>
      </c>
      <c r="O96" s="68">
        <f t="shared" si="45"/>
        <v>0</v>
      </c>
      <c r="P96" s="68">
        <f t="shared" si="45"/>
        <v>0</v>
      </c>
      <c r="Q96" s="68">
        <f t="shared" si="45"/>
        <v>0</v>
      </c>
      <c r="R96" s="68">
        <f t="shared" si="45"/>
        <v>0</v>
      </c>
      <c r="S96" s="68">
        <f t="shared" si="45"/>
        <v>0</v>
      </c>
      <c r="T96" s="68">
        <f t="shared" si="45"/>
        <v>0</v>
      </c>
      <c r="U96" s="68">
        <f t="shared" si="45"/>
        <v>0</v>
      </c>
      <c r="V96" s="68">
        <f t="shared" si="45"/>
        <v>0</v>
      </c>
      <c r="W96" s="68">
        <f t="shared" si="45"/>
        <v>0</v>
      </c>
      <c r="X96" s="68">
        <f>SUM(L96:W96)</f>
        <v>0</v>
      </c>
    </row>
    <row r="97" spans="1:39" ht="15" customHeight="1" x14ac:dyDescent="0.2">
      <c r="A97" s="866" t="s">
        <v>206</v>
      </c>
      <c r="B97" s="870" t="s">
        <v>317</v>
      </c>
      <c r="C97" s="95" t="str">
        <f>C92</f>
        <v>S. Amer.</v>
      </c>
      <c r="D97" s="94">
        <f>1-D92</f>
        <v>1</v>
      </c>
      <c r="E97" s="96">
        <f>Calculations!S3-E92</f>
        <v>67</v>
      </c>
      <c r="F97" s="97">
        <f>Calculations!T3-F92</f>
        <v>67</v>
      </c>
      <c r="G97" s="97">
        <f>Calculations!U3-G92</f>
        <v>67</v>
      </c>
      <c r="H97" s="96">
        <f>Calculations!V3-H92</f>
        <v>69</v>
      </c>
      <c r="I97" s="103">
        <f>SUM(E97:H97)</f>
        <v>270</v>
      </c>
    </row>
    <row r="98" spans="1:39" ht="15" customHeight="1" x14ac:dyDescent="0.2">
      <c r="A98" s="868"/>
      <c r="B98" s="688"/>
      <c r="C98" s="688" t="s">
        <v>139</v>
      </c>
      <c r="D98" s="871"/>
      <c r="E98" s="92">
        <f>SUM(E97:E97)</f>
        <v>67</v>
      </c>
      <c r="F98" s="10">
        <f>SUM(F97:F97)</f>
        <v>67</v>
      </c>
      <c r="G98" s="10">
        <f>SUM(G97:G97)</f>
        <v>67</v>
      </c>
      <c r="H98" s="101">
        <f>SUM(H97:H97)</f>
        <v>69</v>
      </c>
      <c r="I98" s="872">
        <f>H99</f>
        <v>270</v>
      </c>
      <c r="L98"/>
      <c r="M98"/>
      <c r="N98"/>
      <c r="O98"/>
      <c r="P98"/>
      <c r="Q98"/>
      <c r="R98"/>
      <c r="S98"/>
      <c r="T98"/>
      <c r="U98"/>
      <c r="V98"/>
      <c r="W98"/>
      <c r="X98"/>
      <c r="Y98"/>
    </row>
    <row r="99" spans="1:39" ht="15" customHeight="1" x14ac:dyDescent="0.2">
      <c r="A99" s="868"/>
      <c r="B99" s="688"/>
      <c r="C99" s="874" t="s">
        <v>331</v>
      </c>
      <c r="D99" s="875"/>
      <c r="E99" s="105">
        <f>E98</f>
        <v>67</v>
      </c>
      <c r="F99" s="15">
        <f>F98+E99</f>
        <v>134</v>
      </c>
      <c r="G99" s="15">
        <f>G98+F99</f>
        <v>201</v>
      </c>
      <c r="H99" s="15">
        <f>H98+G99</f>
        <v>270</v>
      </c>
      <c r="I99" s="873"/>
      <c r="L99"/>
      <c r="M99"/>
      <c r="N99"/>
      <c r="O99"/>
      <c r="P99"/>
      <c r="Q99"/>
      <c r="R99"/>
      <c r="S99"/>
      <c r="T99"/>
      <c r="U99"/>
      <c r="V99"/>
      <c r="W99"/>
      <c r="X99"/>
      <c r="Y99"/>
    </row>
    <row r="100" spans="1:39" ht="15" customHeight="1" x14ac:dyDescent="0.2">
      <c r="A100" s="868"/>
      <c r="B100" s="566" t="s">
        <v>68</v>
      </c>
      <c r="C100" s="688" t="s">
        <v>412</v>
      </c>
      <c r="D100" s="871"/>
      <c r="E100" s="72">
        <f>E98*$D95</f>
        <v>1139000</v>
      </c>
      <c r="F100" s="66">
        <f>F98*$D95</f>
        <v>1139000</v>
      </c>
      <c r="G100" s="66">
        <f>G98*$D95</f>
        <v>1139000</v>
      </c>
      <c r="H100" s="86">
        <f>H98*$D95</f>
        <v>1173000</v>
      </c>
      <c r="I100" s="74">
        <f>SUM(E100:H100)</f>
        <v>4590000</v>
      </c>
    </row>
    <row r="101" spans="1:39" ht="15" customHeight="1" x14ac:dyDescent="0.2">
      <c r="A101" s="868"/>
      <c r="B101" s="566"/>
      <c r="C101" s="65" t="s">
        <v>413</v>
      </c>
      <c r="D101" s="87">
        <f>1-Parameters!$B$33</f>
        <v>0.19999999999999996</v>
      </c>
      <c r="E101" s="72">
        <f>E100*$D101</f>
        <v>227799.99999999994</v>
      </c>
      <c r="F101" s="66">
        <f>F100*$D101</f>
        <v>227799.99999999994</v>
      </c>
      <c r="G101" s="66">
        <f>G100*$D101</f>
        <v>227799.99999999994</v>
      </c>
      <c r="H101" s="86">
        <f>H100*$D101</f>
        <v>234599.99999999994</v>
      </c>
      <c r="I101" s="106">
        <f>SUM(E101:H101)</f>
        <v>917999.99999999977</v>
      </c>
      <c r="L101" s="60" t="s">
        <v>196</v>
      </c>
      <c r="M101" s="79">
        <f>P92+$D102</f>
        <v>40543</v>
      </c>
      <c r="N101" s="79">
        <f>Q92+$D102</f>
        <v>40633</v>
      </c>
      <c r="O101" s="79">
        <f>R92+$D102</f>
        <v>40724</v>
      </c>
      <c r="P101" s="79">
        <f>S92+$D102</f>
        <v>40816</v>
      </c>
      <c r="X101" s="69" t="s">
        <v>366</v>
      </c>
    </row>
    <row r="102" spans="1:39" ht="15" customHeight="1" x14ac:dyDescent="0.2">
      <c r="A102" s="868"/>
      <c r="B102" s="566"/>
      <c r="C102" s="5" t="s">
        <v>332</v>
      </c>
      <c r="D102" s="73">
        <f>Parameters!$B$36</f>
        <v>0</v>
      </c>
      <c r="E102" s="72">
        <f>SUM(L102:P102)+L131+T73</f>
        <v>227799.99999999994</v>
      </c>
      <c r="F102" s="66">
        <f>Q102+M131+U73</f>
        <v>227799.99999999994</v>
      </c>
      <c r="G102" s="66">
        <f>R102+N131+V73</f>
        <v>227799.99999999994</v>
      </c>
      <c r="H102" s="66">
        <f>S102+O131+W73</f>
        <v>234599.99999999994</v>
      </c>
      <c r="I102" s="74">
        <f>SUM(E102:H102)</f>
        <v>917999.99999999977</v>
      </c>
      <c r="L102" s="68">
        <f>IF($M101&lt;=L91,$E101,IF($N101&lt;=L91,$F101,IF($O101&lt;=L91,$G101,IF($P101&lt;=L91,$H101,))))</f>
        <v>0</v>
      </c>
      <c r="M102" s="68">
        <f t="shared" ref="M102:W102" si="46">IF(AND($M101&gt;L91,$M101&lt;=M91),$E101,IF(AND($N101&gt;L91,$N101&lt;=M91),$F101,IF(AND($O101&gt;L91,$O101&lt;=M91),$G101,IF(AND($P101&gt;L91,$P101&lt;=M91),$H101,))))</f>
        <v>0</v>
      </c>
      <c r="N102" s="68">
        <f t="shared" si="46"/>
        <v>0</v>
      </c>
      <c r="O102" s="68">
        <f t="shared" si="46"/>
        <v>0</v>
      </c>
      <c r="P102" s="68">
        <f t="shared" si="46"/>
        <v>227799.99999999994</v>
      </c>
      <c r="Q102" s="68">
        <f t="shared" si="46"/>
        <v>227799.99999999994</v>
      </c>
      <c r="R102" s="68">
        <f t="shared" si="46"/>
        <v>227799.99999999994</v>
      </c>
      <c r="S102" s="68">
        <f t="shared" si="46"/>
        <v>234599.99999999994</v>
      </c>
      <c r="T102" s="68">
        <f t="shared" si="46"/>
        <v>0</v>
      </c>
      <c r="U102" s="68">
        <f t="shared" si="46"/>
        <v>0</v>
      </c>
      <c r="V102" s="68">
        <f t="shared" si="46"/>
        <v>0</v>
      </c>
      <c r="W102" s="68">
        <f t="shared" si="46"/>
        <v>0</v>
      </c>
      <c r="X102" s="68">
        <f>SUM(L102:W102)</f>
        <v>917999.99999999977</v>
      </c>
    </row>
    <row r="103" spans="1:39" ht="15" customHeight="1" x14ac:dyDescent="0.2">
      <c r="A103" s="868"/>
      <c r="B103" s="566"/>
      <c r="C103" s="65" t="s">
        <v>194</v>
      </c>
      <c r="D103" s="87">
        <f>Parameters!$B$33</f>
        <v>0.8</v>
      </c>
      <c r="E103" s="72">
        <f>E100*$D103</f>
        <v>911200</v>
      </c>
      <c r="F103" s="72">
        <f>F100*$D103</f>
        <v>911200</v>
      </c>
      <c r="G103" s="72">
        <f>G100*$D103</f>
        <v>911200</v>
      </c>
      <c r="H103" s="72">
        <f>H100*$D103</f>
        <v>938400</v>
      </c>
      <c r="I103" s="74">
        <f>SUM(E103:H103)</f>
        <v>3672000</v>
      </c>
      <c r="L103" s="91"/>
      <c r="M103" s="91"/>
      <c r="N103" s="91"/>
      <c r="O103" s="91"/>
      <c r="P103" s="91"/>
      <c r="Q103" s="91"/>
      <c r="R103" s="91"/>
      <c r="S103" s="91"/>
      <c r="T103" s="91"/>
      <c r="U103" s="91"/>
      <c r="V103" s="91"/>
      <c r="W103" s="91"/>
      <c r="X103" s="91"/>
    </row>
    <row r="104" spans="1:39" ht="15" customHeight="1" x14ac:dyDescent="0.2">
      <c r="A104" s="868"/>
      <c r="B104" s="566"/>
      <c r="C104" s="874" t="s">
        <v>331</v>
      </c>
      <c r="D104" s="875"/>
      <c r="E104" s="81">
        <f>E103</f>
        <v>911200</v>
      </c>
      <c r="F104" s="81">
        <f>E104+F103</f>
        <v>1822400</v>
      </c>
      <c r="G104" s="81">
        <f>F104+G103</f>
        <v>2733600</v>
      </c>
      <c r="H104" s="81">
        <f>G104+H103</f>
        <v>3672000</v>
      </c>
      <c r="I104" s="78">
        <f>H104</f>
        <v>3672000</v>
      </c>
      <c r="L104" s="91"/>
      <c r="M104" s="91"/>
      <c r="N104" s="91"/>
      <c r="O104" s="91"/>
      <c r="P104" s="91"/>
      <c r="Q104" s="91"/>
      <c r="R104" s="91"/>
      <c r="S104" s="91"/>
      <c r="T104" s="91"/>
      <c r="U104" s="91"/>
      <c r="V104" s="91"/>
      <c r="W104" s="91"/>
      <c r="X104" s="91"/>
    </row>
    <row r="105" spans="1:39" ht="15" customHeight="1" x14ac:dyDescent="0.2">
      <c r="A105" s="868"/>
      <c r="B105" s="566"/>
      <c r="C105" s="876" t="s">
        <v>390</v>
      </c>
      <c r="D105" s="877"/>
      <c r="E105" s="107">
        <f>L116+P87+T58+X29</f>
        <v>735629.54358043673</v>
      </c>
      <c r="F105" s="107">
        <f>M116+Q87+U58+Y29</f>
        <v>801096.57497244573</v>
      </c>
      <c r="G105" s="107">
        <f>N116+R87+V58+Z29</f>
        <v>858639.02568341547</v>
      </c>
      <c r="H105" s="107">
        <f>O116+S87+W58+AA29</f>
        <v>917395.1509131029</v>
      </c>
      <c r="I105" s="74">
        <f>SUM(E105:H105)</f>
        <v>3312760.2951494008</v>
      </c>
      <c r="L105" s="60" t="s">
        <v>196</v>
      </c>
      <c r="M105" s="79">
        <f>P92+$D106</f>
        <v>40573</v>
      </c>
      <c r="N105" s="79">
        <f>Q92+$D106</f>
        <v>40663</v>
      </c>
      <c r="O105" s="79">
        <f>R92+$D106</f>
        <v>40754</v>
      </c>
      <c r="P105" s="79">
        <f>S92+$D106</f>
        <v>40846</v>
      </c>
      <c r="X105" s="69" t="s">
        <v>366</v>
      </c>
    </row>
    <row r="106" spans="1:39" ht="15" customHeight="1" x14ac:dyDescent="0.2">
      <c r="A106" s="868"/>
      <c r="B106" s="566"/>
      <c r="C106" s="75" t="s">
        <v>332</v>
      </c>
      <c r="D106" s="76">
        <f>Parameters!$B$37</f>
        <v>30</v>
      </c>
      <c r="E106" s="112">
        <f>SUM(L106:P106)+L135</f>
        <v>735629.54358043673</v>
      </c>
      <c r="F106" s="71">
        <f>Q106+M135</f>
        <v>801096.57497244573</v>
      </c>
      <c r="G106" s="71">
        <f>R106+N135</f>
        <v>858639.02568341547</v>
      </c>
      <c r="H106" s="71">
        <f>S106+O135</f>
        <v>917395.1509131029</v>
      </c>
      <c r="I106" s="77">
        <f>SUM(E106:H106)</f>
        <v>3312760.2951494008</v>
      </c>
      <c r="L106" s="68">
        <f>IF($M105&lt;=L91,$E105,IF($N105&lt;=L91,$F105,IF($O105&lt;=L91,$G105,IF($P105&lt;=L91,$H105,))))</f>
        <v>0</v>
      </c>
      <c r="M106" s="68">
        <f t="shared" ref="M106:W106" si="47">IF(AND($M105&gt;L91,$M105&lt;=M91),$E105,IF(AND($N105&gt;L91,$N105&lt;=M91),$F105,IF(AND($O105&gt;L91,$O105&lt;=M91),$G105,IF(AND($P105&gt;L91,$P105&lt;=M91),$H105,))))</f>
        <v>0</v>
      </c>
      <c r="N106" s="68">
        <f t="shared" si="47"/>
        <v>0</v>
      </c>
      <c r="O106" s="68">
        <f t="shared" si="47"/>
        <v>0</v>
      </c>
      <c r="P106" s="68">
        <f t="shared" si="47"/>
        <v>735629.54358043673</v>
      </c>
      <c r="Q106" s="68">
        <f t="shared" si="47"/>
        <v>801096.57497244573</v>
      </c>
      <c r="R106" s="68">
        <f t="shared" si="47"/>
        <v>858639.02568341547</v>
      </c>
      <c r="S106" s="68">
        <f t="shared" si="47"/>
        <v>917395.1509131029</v>
      </c>
      <c r="T106" s="68">
        <f t="shared" si="47"/>
        <v>0</v>
      </c>
      <c r="U106" s="68">
        <f t="shared" si="47"/>
        <v>0</v>
      </c>
      <c r="V106" s="68">
        <f t="shared" si="47"/>
        <v>0</v>
      </c>
      <c r="W106" s="68">
        <f t="shared" si="47"/>
        <v>0</v>
      </c>
      <c r="X106" s="68">
        <f>SUM(L106:W106)</f>
        <v>3312760.2951494008</v>
      </c>
    </row>
    <row r="107" spans="1:39" ht="15" customHeight="1" x14ac:dyDescent="0.2">
      <c r="A107" s="868"/>
      <c r="B107" s="860" t="s">
        <v>410</v>
      </c>
      <c r="C107" s="860"/>
      <c r="D107" s="860"/>
      <c r="E107" s="860"/>
      <c r="F107" s="860"/>
      <c r="G107" s="860"/>
      <c r="H107" s="860"/>
      <c r="I107" s="861"/>
      <c r="L107" s="67">
        <f t="shared" ref="L107:AI107" si="48">P91</f>
        <v>40632</v>
      </c>
      <c r="M107" s="67">
        <f t="shared" si="48"/>
        <v>40723</v>
      </c>
      <c r="N107" s="67">
        <f t="shared" si="48"/>
        <v>40815</v>
      </c>
      <c r="O107" s="67">
        <f t="shared" si="48"/>
        <v>40907</v>
      </c>
      <c r="P107" s="67">
        <f t="shared" si="48"/>
        <v>40998</v>
      </c>
      <c r="Q107" s="67">
        <f t="shared" si="48"/>
        <v>41089</v>
      </c>
      <c r="R107" s="67">
        <f t="shared" si="48"/>
        <v>41181</v>
      </c>
      <c r="S107" s="67">
        <f t="shared" si="48"/>
        <v>41273</v>
      </c>
      <c r="T107" s="67">
        <f t="shared" si="48"/>
        <v>41363</v>
      </c>
      <c r="U107" s="67">
        <f>Y91</f>
        <v>41454</v>
      </c>
      <c r="V107" s="67">
        <f>Z91</f>
        <v>41546</v>
      </c>
      <c r="W107" s="67">
        <f>AA91</f>
        <v>41638</v>
      </c>
      <c r="X107" s="67">
        <f>AB91</f>
        <v>41728</v>
      </c>
      <c r="Y107" s="67">
        <f t="shared" si="48"/>
        <v>41819</v>
      </c>
      <c r="Z107" s="67">
        <f t="shared" si="48"/>
        <v>41911</v>
      </c>
      <c r="AA107" s="67">
        <f t="shared" si="48"/>
        <v>42003</v>
      </c>
      <c r="AB107" s="67">
        <f t="shared" si="48"/>
        <v>42093</v>
      </c>
      <c r="AC107" s="67">
        <f t="shared" si="48"/>
        <v>42184</v>
      </c>
      <c r="AD107" s="67">
        <f t="shared" si="48"/>
        <v>42276</v>
      </c>
      <c r="AE107" s="67">
        <f t="shared" si="48"/>
        <v>42368</v>
      </c>
      <c r="AF107" s="67">
        <f t="shared" si="48"/>
        <v>42459</v>
      </c>
      <c r="AG107" s="67">
        <f t="shared" si="48"/>
        <v>42550</v>
      </c>
      <c r="AH107" s="67">
        <f t="shared" si="48"/>
        <v>42642</v>
      </c>
      <c r="AI107" s="67">
        <f t="shared" si="48"/>
        <v>42734</v>
      </c>
      <c r="AJ107" s="67">
        <f>AN91</f>
        <v>0</v>
      </c>
      <c r="AK107" s="67">
        <f>AO91</f>
        <v>0</v>
      </c>
      <c r="AL107" s="67">
        <f>AP91</f>
        <v>0</v>
      </c>
      <c r="AM107" s="67">
        <f>AQ91</f>
        <v>0</v>
      </c>
    </row>
    <row r="108" spans="1:39" ht="15" customHeight="1" x14ac:dyDescent="0.2">
      <c r="A108" s="868"/>
      <c r="B108" s="860"/>
      <c r="C108" s="860"/>
      <c r="D108" s="860"/>
      <c r="E108" s="860"/>
      <c r="F108" s="860"/>
      <c r="G108" s="860"/>
      <c r="H108" s="860"/>
      <c r="I108" s="861"/>
      <c r="K108" s="110">
        <f>(-PMT(Parameters!$B$31/12,Parameters!$B$32,$E103))*Parameters!$B$32</f>
        <v>975794.31304904982</v>
      </c>
      <c r="L108" s="108">
        <f>(-PMT(Parameters!$B$31/12,Parameters!$B$32,$E103))*Parameters!$K$32</f>
        <v>40658.096377043737</v>
      </c>
      <c r="M108" s="108">
        <f>MIN(((-PMT(Parameters!$B$31/12,Parameters!$B$32,$E103))*3),L109)</f>
        <v>81316.192754087475</v>
      </c>
      <c r="N108" s="108">
        <f>MIN(((-PMT(Parameters!$B$31/12,Parameters!$B$32,$E103))*3),M109)</f>
        <v>81316.192754087475</v>
      </c>
      <c r="O108" s="108">
        <f>MIN(((-PMT(Parameters!$B$31/12,Parameters!$B$32,$E103))*3),N109)</f>
        <v>81316.192754087475</v>
      </c>
      <c r="P108" s="108">
        <f>MIN(((-PMT(Parameters!$B$31/12,Parameters!$B$32,$E103))*3),O109)</f>
        <v>81316.192754087475</v>
      </c>
      <c r="Q108" s="108">
        <f>MIN(((-PMT(Parameters!$B$31/12,Parameters!$B$32,$E103))*3),P109)</f>
        <v>81316.192754087475</v>
      </c>
      <c r="R108" s="108">
        <f>MIN(((-PMT(Parameters!$B$31/12,Parameters!$B$32,$E103))*3),Q109)</f>
        <v>81316.192754087475</v>
      </c>
      <c r="S108" s="108">
        <f>MIN(((-PMT(Parameters!$B$31/12,Parameters!$B$32,$E103))*3),R109)</f>
        <v>81316.192754087475</v>
      </c>
      <c r="T108" s="108">
        <f>MIN(((-PMT(Parameters!$B$31/12,Parameters!$B$32,$E103))*3),S109)</f>
        <v>81316.192754087475</v>
      </c>
      <c r="U108" s="108">
        <f>MIN(((-PMT(Parameters!$B$31/12,Parameters!$B$32,$E103))*3),T109)</f>
        <v>81316.192754087475</v>
      </c>
      <c r="V108" s="108">
        <f>MIN(((-PMT(Parameters!$B$31/12,Parameters!$B$32,$E103))*3),U109)</f>
        <v>81316.192754087475</v>
      </c>
      <c r="W108" s="108">
        <f>MIN(((-PMT(Parameters!$B$31/12,Parameters!$B$32,$E103))*3),V109)</f>
        <v>81316.192754087475</v>
      </c>
      <c r="X108" s="108">
        <f>MIN(((-PMT(Parameters!$B$31/12,Parameters!$B$32,$E103))*3),W109)</f>
        <v>40658.096377043606</v>
      </c>
      <c r="Y108" s="108">
        <f>MIN(((-PMT(Parameters!$B$31/12,Parameters!$B$32,$E103))*3),X109)</f>
        <v>0</v>
      </c>
      <c r="Z108" s="108">
        <f>MIN(((-PMT(Parameters!$B$31/12,Parameters!$B$32,$E103))*3),Y109)</f>
        <v>0</v>
      </c>
      <c r="AA108" s="108">
        <f>MIN(((-PMT(Parameters!$B$31/12,Parameters!$B$32,$E103))*3),Z109)</f>
        <v>0</v>
      </c>
      <c r="AB108" s="108">
        <f>MIN(((-PMT(Parameters!$B$31/12,Parameters!$B$32,$E103))*3),AA109)</f>
        <v>0</v>
      </c>
      <c r="AC108" s="108">
        <f>MIN(((-PMT(Parameters!$B$31/12,Parameters!$B$32,$E103))*3),AB109)</f>
        <v>0</v>
      </c>
      <c r="AD108" s="108">
        <f>MIN(((-PMT(Parameters!$B$31/12,Parameters!$B$32,$E103))*3),AC109)</f>
        <v>0</v>
      </c>
      <c r="AE108" s="108">
        <f>MIN(((-PMT(Parameters!$B$31/12,Parameters!$B$32,$E103))*3),AD109)</f>
        <v>0</v>
      </c>
      <c r="AF108" s="108">
        <f>MIN(((-PMT(Parameters!$B$31/12,Parameters!$B$32,$E103))*3),AE109)</f>
        <v>0</v>
      </c>
      <c r="AG108" s="108">
        <f>MIN(((-PMT(Parameters!$B$31/12,Parameters!$B$32,$E103))*3),AF109)</f>
        <v>0</v>
      </c>
      <c r="AH108" s="108">
        <f>MIN(((-PMT(Parameters!$B$31/12,Parameters!$B$32,$E103))*3),AG109)</f>
        <v>0</v>
      </c>
      <c r="AI108" s="108">
        <f>MIN(((-PMT(Parameters!$B$31/12,Parameters!$B$32,$E103))*3),AH109)</f>
        <v>0</v>
      </c>
      <c r="AJ108" s="108">
        <f>MIN(((-PMT(Parameters!$B$31/12,Parameters!$B$32,$E103))*3),AI109)</f>
        <v>0</v>
      </c>
      <c r="AK108" s="108">
        <f>MIN(((-PMT(Parameters!$B$31/12,Parameters!$B$32,$E103))*3),AJ109)</f>
        <v>0</v>
      </c>
      <c r="AL108" s="108">
        <f>MIN(((-PMT(Parameters!$B$31/12,Parameters!$B$32,$E103))*3),AK109)</f>
        <v>0</v>
      </c>
      <c r="AM108" s="108">
        <f>MIN(((-PMT(Parameters!$B$31/12,Parameters!$B$32,$E103))*3),AL109)</f>
        <v>0</v>
      </c>
    </row>
    <row r="109" spans="1:39" ht="15" customHeight="1" x14ac:dyDescent="0.2">
      <c r="A109" s="868"/>
      <c r="B109" s="860"/>
      <c r="C109" s="860"/>
      <c r="D109" s="860"/>
      <c r="E109" s="860"/>
      <c r="F109" s="860"/>
      <c r="G109" s="860"/>
      <c r="H109" s="860"/>
      <c r="I109" s="861"/>
      <c r="L109" s="109">
        <f>K108-L108</f>
        <v>935136.21667200606</v>
      </c>
      <c r="M109" s="109">
        <f t="shared" ref="M109:AM109" si="49">L109-M108</f>
        <v>853820.02391791856</v>
      </c>
      <c r="N109" s="109">
        <f t="shared" si="49"/>
        <v>772503.83116383106</v>
      </c>
      <c r="O109" s="109">
        <f t="shared" si="49"/>
        <v>691187.63840974355</v>
      </c>
      <c r="P109" s="109">
        <f t="shared" si="49"/>
        <v>609871.44565565605</v>
      </c>
      <c r="Q109" s="109">
        <f t="shared" si="49"/>
        <v>528555.25290156854</v>
      </c>
      <c r="R109" s="109">
        <f t="shared" si="49"/>
        <v>447239.06014748104</v>
      </c>
      <c r="S109" s="109">
        <f t="shared" si="49"/>
        <v>365922.86739339354</v>
      </c>
      <c r="T109" s="109">
        <f t="shared" si="49"/>
        <v>284606.67463930603</v>
      </c>
      <c r="U109" s="109">
        <f t="shared" si="49"/>
        <v>203290.48188521856</v>
      </c>
      <c r="V109" s="109">
        <f t="shared" si="49"/>
        <v>121974.28913113108</v>
      </c>
      <c r="W109" s="109">
        <f t="shared" si="49"/>
        <v>40658.096377043606</v>
      </c>
      <c r="X109" s="109">
        <f t="shared" si="49"/>
        <v>0</v>
      </c>
      <c r="Y109" s="109">
        <f>X109-Y108</f>
        <v>0</v>
      </c>
      <c r="Z109" s="109">
        <f t="shared" si="49"/>
        <v>0</v>
      </c>
      <c r="AA109" s="109">
        <f t="shared" si="49"/>
        <v>0</v>
      </c>
      <c r="AB109" s="109">
        <f t="shared" si="49"/>
        <v>0</v>
      </c>
      <c r="AC109" s="109">
        <f t="shared" si="49"/>
        <v>0</v>
      </c>
      <c r="AD109" s="109">
        <f t="shared" si="49"/>
        <v>0</v>
      </c>
      <c r="AE109" s="109">
        <f t="shared" si="49"/>
        <v>0</v>
      </c>
      <c r="AF109" s="109">
        <f t="shared" si="49"/>
        <v>0</v>
      </c>
      <c r="AG109" s="109">
        <f t="shared" si="49"/>
        <v>0</v>
      </c>
      <c r="AH109" s="109">
        <f t="shared" si="49"/>
        <v>0</v>
      </c>
      <c r="AI109" s="109">
        <f t="shared" si="49"/>
        <v>0</v>
      </c>
      <c r="AJ109" s="109">
        <f t="shared" si="49"/>
        <v>0</v>
      </c>
      <c r="AK109" s="109">
        <f t="shared" si="49"/>
        <v>0</v>
      </c>
      <c r="AL109" s="109">
        <f t="shared" si="49"/>
        <v>0</v>
      </c>
      <c r="AM109" s="109">
        <f t="shared" si="49"/>
        <v>0</v>
      </c>
    </row>
    <row r="110" spans="1:39" ht="15" customHeight="1" x14ac:dyDescent="0.2">
      <c r="A110" s="868"/>
      <c r="B110" s="860"/>
      <c r="C110" s="860"/>
      <c r="D110" s="860"/>
      <c r="E110" s="860"/>
      <c r="F110" s="860"/>
      <c r="G110" s="860"/>
      <c r="H110" s="860"/>
      <c r="I110" s="861"/>
      <c r="K110" s="110">
        <f>(-PMT(Parameters!$B$31/12,Parameters!$B$32,$F103))*Parameters!$B$32</f>
        <v>975794.31304904982</v>
      </c>
      <c r="L110" s="111"/>
      <c r="M110" s="108">
        <f>(-PMT(Parameters!$B$31/12,Parameters!$B$32,$F103))*Parameters!$K$32</f>
        <v>40658.096377043737</v>
      </c>
      <c r="N110" s="108">
        <f>MIN(((-PMT(Parameters!$B$31/12,Parameters!$B$32,$F103))*3),M111)</f>
        <v>81316.192754087475</v>
      </c>
      <c r="O110" s="108">
        <f>MIN(((-PMT(Parameters!$B$31/12,Parameters!$B$32,$F103))*3),N111)</f>
        <v>81316.192754087475</v>
      </c>
      <c r="P110" s="108">
        <f>MIN(((-PMT(Parameters!$B$31/12,Parameters!$B$32,$F103))*3),O111)</f>
        <v>81316.192754087475</v>
      </c>
      <c r="Q110" s="108">
        <f>MIN(((-PMT(Parameters!$B$31/12,Parameters!$B$32,$F103))*3),P111)</f>
        <v>81316.192754087475</v>
      </c>
      <c r="R110" s="108">
        <f>MIN(((-PMT(Parameters!$B$31/12,Parameters!$B$32,$F103))*3),Q111)</f>
        <v>81316.192754087475</v>
      </c>
      <c r="S110" s="108">
        <f>MIN(((-PMT(Parameters!$B$31/12,Parameters!$B$32,$F103))*3),R111)</f>
        <v>81316.192754087475</v>
      </c>
      <c r="T110" s="108">
        <f>MIN(((-PMT(Parameters!$B$31/12,Parameters!$B$32,$F103))*3),S111)</f>
        <v>81316.192754087475</v>
      </c>
      <c r="U110" s="108">
        <f>MIN(((-PMT(Parameters!$B$31/12,Parameters!$B$32,$F103))*3),T111)</f>
        <v>81316.192754087475</v>
      </c>
      <c r="V110" s="108">
        <f>MIN(((-PMT(Parameters!$B$31/12,Parameters!$B$32,$F103))*3),U111)</f>
        <v>81316.192754087475</v>
      </c>
      <c r="W110" s="108">
        <f>MIN(((-PMT(Parameters!$B$31/12,Parameters!$B$32,$F103))*3),V111)</f>
        <v>81316.192754087475</v>
      </c>
      <c r="X110" s="108">
        <f>MIN(((-PMT(Parameters!$B$31/12,Parameters!$B$32,$F103))*3),W111)</f>
        <v>81316.192754087475</v>
      </c>
      <c r="Y110" s="108">
        <f>MIN(((-PMT(Parameters!$B$31/12,Parameters!$B$32,$F103))*3),X111)</f>
        <v>40658.096377043606</v>
      </c>
      <c r="Z110" s="108">
        <f>MIN(((-PMT(Parameters!$B$31/12,Parameters!$B$32,$F103))*3),Y111)</f>
        <v>0</v>
      </c>
      <c r="AA110" s="108">
        <f>MIN(((-PMT(Parameters!$B$31/12,Parameters!$B$32,$F103))*3),Z111)</f>
        <v>0</v>
      </c>
      <c r="AB110" s="108">
        <f>MIN(((-PMT(Parameters!$B$31/12,Parameters!$B$32,$F103))*3),AA111)</f>
        <v>0</v>
      </c>
      <c r="AC110" s="108">
        <f>MIN(((-PMT(Parameters!$B$31/12,Parameters!$B$32,$F103))*3),AB111)</f>
        <v>0</v>
      </c>
      <c r="AD110" s="108">
        <f>MIN(((-PMT(Parameters!$B$31/12,Parameters!$B$32,$F103))*3),AC111)</f>
        <v>0</v>
      </c>
      <c r="AE110" s="108">
        <f>MIN(((-PMT(Parameters!$B$31/12,Parameters!$B$32,$F103))*3),AD111)</f>
        <v>0</v>
      </c>
      <c r="AF110" s="108">
        <f>MIN(((-PMT(Parameters!$B$31/12,Parameters!$B$32,$F103))*3),AE111)</f>
        <v>0</v>
      </c>
      <c r="AG110" s="108">
        <f>MIN(((-PMT(Parameters!$B$31/12,Parameters!$B$32,$F103))*3),AF111)</f>
        <v>0</v>
      </c>
      <c r="AH110" s="108">
        <f>MIN(((-PMT(Parameters!$B$31/12,Parameters!$B$32,$F103))*3),AG111)</f>
        <v>0</v>
      </c>
      <c r="AI110" s="108">
        <f>MIN(((-PMT(Parameters!$B$31/12,Parameters!$B$32,$F103))*3),AH111)</f>
        <v>0</v>
      </c>
      <c r="AJ110" s="108">
        <f>MIN(((-PMT(Parameters!$B$31/12,Parameters!$B$32,$F103))*3),AI111)</f>
        <v>0</v>
      </c>
      <c r="AK110" s="108">
        <f>MIN(((-PMT(Parameters!$B$31/12,Parameters!$B$32,$F103))*3),AJ111)</f>
        <v>0</v>
      </c>
      <c r="AL110" s="108">
        <f>MIN(((-PMT(Parameters!$B$31/12,Parameters!$B$32,$F103))*3),AK111)</f>
        <v>0</v>
      </c>
      <c r="AM110" s="108">
        <f>MIN(((-PMT(Parameters!$B$31/12,Parameters!$B$32,$F103))*3),AL111)</f>
        <v>0</v>
      </c>
    </row>
    <row r="111" spans="1:39" ht="15" customHeight="1" x14ac:dyDescent="0.2">
      <c r="A111" s="868"/>
      <c r="B111" s="860"/>
      <c r="C111" s="860"/>
      <c r="D111" s="860"/>
      <c r="E111" s="860"/>
      <c r="F111" s="860"/>
      <c r="G111" s="860"/>
      <c r="H111" s="860"/>
      <c r="I111" s="861"/>
      <c r="L111" s="109">
        <f>K110</f>
        <v>975794.31304904982</v>
      </c>
      <c r="M111" s="109">
        <f t="shared" ref="M111:AM111" si="50">L111-M110</f>
        <v>935136.21667200606</v>
      </c>
      <c r="N111" s="109">
        <f t="shared" si="50"/>
        <v>853820.02391791856</v>
      </c>
      <c r="O111" s="109">
        <f t="shared" si="50"/>
        <v>772503.83116383106</v>
      </c>
      <c r="P111" s="109">
        <f t="shared" si="50"/>
        <v>691187.63840974355</v>
      </c>
      <c r="Q111" s="109">
        <f t="shared" si="50"/>
        <v>609871.44565565605</v>
      </c>
      <c r="R111" s="109">
        <f t="shared" si="50"/>
        <v>528555.25290156854</v>
      </c>
      <c r="S111" s="109">
        <f t="shared" si="50"/>
        <v>447239.06014748104</v>
      </c>
      <c r="T111" s="109">
        <f t="shared" si="50"/>
        <v>365922.86739339354</v>
      </c>
      <c r="U111" s="109">
        <f t="shared" si="50"/>
        <v>284606.67463930603</v>
      </c>
      <c r="V111" s="109">
        <f t="shared" si="50"/>
        <v>203290.48188521856</v>
      </c>
      <c r="W111" s="109">
        <f t="shared" si="50"/>
        <v>121974.28913113108</v>
      </c>
      <c r="X111" s="109">
        <f t="shared" si="50"/>
        <v>40658.096377043606</v>
      </c>
      <c r="Y111" s="109">
        <f>X111-Y110</f>
        <v>0</v>
      </c>
      <c r="Z111" s="109">
        <f t="shared" si="50"/>
        <v>0</v>
      </c>
      <c r="AA111" s="109">
        <f t="shared" si="50"/>
        <v>0</v>
      </c>
      <c r="AB111" s="109">
        <f t="shared" si="50"/>
        <v>0</v>
      </c>
      <c r="AC111" s="109">
        <f t="shared" si="50"/>
        <v>0</v>
      </c>
      <c r="AD111" s="109">
        <f t="shared" si="50"/>
        <v>0</v>
      </c>
      <c r="AE111" s="109">
        <f t="shared" si="50"/>
        <v>0</v>
      </c>
      <c r="AF111" s="109">
        <f t="shared" si="50"/>
        <v>0</v>
      </c>
      <c r="AG111" s="109">
        <f t="shared" si="50"/>
        <v>0</v>
      </c>
      <c r="AH111" s="109">
        <f t="shared" si="50"/>
        <v>0</v>
      </c>
      <c r="AI111" s="109">
        <f t="shared" si="50"/>
        <v>0</v>
      </c>
      <c r="AJ111" s="109">
        <f t="shared" si="50"/>
        <v>0</v>
      </c>
      <c r="AK111" s="109">
        <f t="shared" si="50"/>
        <v>0</v>
      </c>
      <c r="AL111" s="109">
        <f t="shared" si="50"/>
        <v>0</v>
      </c>
      <c r="AM111" s="109">
        <f t="shared" si="50"/>
        <v>0</v>
      </c>
    </row>
    <row r="112" spans="1:39" ht="15" customHeight="1" x14ac:dyDescent="0.2">
      <c r="A112" s="868"/>
      <c r="B112" s="860"/>
      <c r="C112" s="860"/>
      <c r="D112" s="860"/>
      <c r="E112" s="860"/>
      <c r="F112" s="860"/>
      <c r="G112" s="860"/>
      <c r="H112" s="860"/>
      <c r="I112" s="861"/>
      <c r="K112" s="110">
        <f>(-PMT(Parameters!$B$31/12,Parameters!$B$32,$G103))*Parameters!$B$32</f>
        <v>975794.31304904982</v>
      </c>
      <c r="L112" s="111"/>
      <c r="M112" s="111"/>
      <c r="N112" s="108">
        <f>(-PMT(Parameters!$B$31/12,Parameters!$B$32,$G103))*Parameters!$K$32</f>
        <v>40658.096377043737</v>
      </c>
      <c r="O112" s="108">
        <f>MIN(((-PMT(Parameters!$B$31/12,Parameters!$B$32,$G103))*3),N113)</f>
        <v>81316.192754087475</v>
      </c>
      <c r="P112" s="108">
        <f>MIN(((-PMT(Parameters!$B$31/12,Parameters!$B$32,$G103))*3),O113)</f>
        <v>81316.192754087475</v>
      </c>
      <c r="Q112" s="108">
        <f>MIN(((-PMT(Parameters!$B$31/12,Parameters!$B$32,$G103))*3),P113)</f>
        <v>81316.192754087475</v>
      </c>
      <c r="R112" s="108">
        <f>MIN(((-PMT(Parameters!$B$31/12,Parameters!$B$32,$G103))*3),Q113)</f>
        <v>81316.192754087475</v>
      </c>
      <c r="S112" s="108">
        <f>MIN(((-PMT(Parameters!$B$31/12,Parameters!$B$32,$G103))*3),R113)</f>
        <v>81316.192754087475</v>
      </c>
      <c r="T112" s="108">
        <f>MIN(((-PMT(Parameters!$B$31/12,Parameters!$B$32,$G103))*3),S113)</f>
        <v>81316.192754087475</v>
      </c>
      <c r="U112" s="108">
        <f>MIN(((-PMT(Parameters!$B$31/12,Parameters!$B$32,$G103))*3),T113)</f>
        <v>81316.192754087475</v>
      </c>
      <c r="V112" s="108">
        <f>MIN(((-PMT(Parameters!$B$31/12,Parameters!$B$32,$G103))*3),U113)</f>
        <v>81316.192754087475</v>
      </c>
      <c r="W112" s="108">
        <f>MIN(((-PMT(Parameters!$B$31/12,Parameters!$B$32,$G103))*3),V113)</f>
        <v>81316.192754087475</v>
      </c>
      <c r="X112" s="108">
        <f>MIN(((-PMT(Parameters!$B$31/12,Parameters!$B$32,$G103))*3),W113)</f>
        <v>81316.192754087475</v>
      </c>
      <c r="Y112" s="108">
        <f>MIN(((-PMT(Parameters!$B$31/12,Parameters!$B$32,$G103))*3),X113)</f>
        <v>81316.192754087475</v>
      </c>
      <c r="Z112" s="108">
        <f>MIN(((-PMT(Parameters!$B$31/12,Parameters!$B$32,$G103))*3),Y113)</f>
        <v>40658.096377043606</v>
      </c>
      <c r="AA112" s="108">
        <f>MIN(((-PMT(Parameters!$B$31/12,Parameters!$B$32,$G103))*3),Z113)</f>
        <v>0</v>
      </c>
      <c r="AB112" s="108">
        <f>MIN(((-PMT(Parameters!$B$31/12,Parameters!$B$32,$G103))*3),AA113)</f>
        <v>0</v>
      </c>
      <c r="AC112" s="108">
        <f>MIN(((-PMT(Parameters!$B$31/12,Parameters!$B$32,$G103))*3),AB113)</f>
        <v>0</v>
      </c>
      <c r="AD112" s="108">
        <f>MIN(((-PMT(Parameters!$B$31/12,Parameters!$B$32,$G103))*3),AC113)</f>
        <v>0</v>
      </c>
      <c r="AE112" s="108">
        <f>MIN(((-PMT(Parameters!$B$31/12,Parameters!$B$32,$G103))*3),AD113)</f>
        <v>0</v>
      </c>
      <c r="AF112" s="108">
        <f>MIN(((-PMT(Parameters!$B$31/12,Parameters!$B$32,$G103))*3),AE113)</f>
        <v>0</v>
      </c>
      <c r="AG112" s="108">
        <f>MIN(((-PMT(Parameters!$B$31/12,Parameters!$B$32,$G103))*3),AF113)</f>
        <v>0</v>
      </c>
      <c r="AH112" s="108">
        <f>MIN(((-PMT(Parameters!$B$31/12,Parameters!$B$32,$G103))*3),AG113)</f>
        <v>0</v>
      </c>
      <c r="AI112" s="108">
        <f>MIN(((-PMT(Parameters!$B$31/12,Parameters!$B$32,$G103))*3),AH113)</f>
        <v>0</v>
      </c>
      <c r="AJ112" s="108">
        <f>MIN(((-PMT(Parameters!$B$31/12,Parameters!$B$32,$G103))*3),AI113)</f>
        <v>0</v>
      </c>
      <c r="AK112" s="108">
        <f>MIN(((-PMT(Parameters!$B$31/12,Parameters!$B$32,$G103))*3),AJ113)</f>
        <v>0</v>
      </c>
      <c r="AL112" s="108">
        <f>MIN(((-PMT(Parameters!$B$31/12,Parameters!$B$32,$G103))*3),AK113)</f>
        <v>0</v>
      </c>
      <c r="AM112" s="108">
        <f>MIN(((-PMT(Parameters!$B$31/12,Parameters!$B$32,$G103))*3),AL113)</f>
        <v>0</v>
      </c>
    </row>
    <row r="113" spans="1:39" ht="15" customHeight="1" x14ac:dyDescent="0.2">
      <c r="A113" s="868"/>
      <c r="B113" s="860"/>
      <c r="C113" s="860"/>
      <c r="D113" s="860"/>
      <c r="E113" s="860"/>
      <c r="F113" s="860"/>
      <c r="G113" s="860"/>
      <c r="H113" s="860"/>
      <c r="I113" s="861"/>
      <c r="L113" s="109">
        <f>K112</f>
        <v>975794.31304904982</v>
      </c>
      <c r="M113" s="109">
        <f>L113</f>
        <v>975794.31304904982</v>
      </c>
      <c r="N113" s="109">
        <f t="shared" ref="N113:AM113" si="51">M113-N112</f>
        <v>935136.21667200606</v>
      </c>
      <c r="O113" s="109">
        <f t="shared" si="51"/>
        <v>853820.02391791856</v>
      </c>
      <c r="P113" s="109">
        <f t="shared" si="51"/>
        <v>772503.83116383106</v>
      </c>
      <c r="Q113" s="109">
        <f t="shared" si="51"/>
        <v>691187.63840974355</v>
      </c>
      <c r="R113" s="109">
        <f t="shared" si="51"/>
        <v>609871.44565565605</v>
      </c>
      <c r="S113" s="109">
        <f t="shared" si="51"/>
        <v>528555.25290156854</v>
      </c>
      <c r="T113" s="109">
        <f t="shared" si="51"/>
        <v>447239.06014748104</v>
      </c>
      <c r="U113" s="109">
        <f t="shared" si="51"/>
        <v>365922.86739339354</v>
      </c>
      <c r="V113" s="109">
        <f t="shared" si="51"/>
        <v>284606.67463930603</v>
      </c>
      <c r="W113" s="109">
        <f t="shared" si="51"/>
        <v>203290.48188521856</v>
      </c>
      <c r="X113" s="109">
        <f t="shared" si="51"/>
        <v>121974.28913113108</v>
      </c>
      <c r="Y113" s="109">
        <f>X113-Y112</f>
        <v>40658.096377043606</v>
      </c>
      <c r="Z113" s="109">
        <f t="shared" si="51"/>
        <v>0</v>
      </c>
      <c r="AA113" s="109">
        <f t="shared" si="51"/>
        <v>0</v>
      </c>
      <c r="AB113" s="109">
        <f t="shared" si="51"/>
        <v>0</v>
      </c>
      <c r="AC113" s="109">
        <f t="shared" si="51"/>
        <v>0</v>
      </c>
      <c r="AD113" s="109">
        <f t="shared" si="51"/>
        <v>0</v>
      </c>
      <c r="AE113" s="109">
        <f t="shared" si="51"/>
        <v>0</v>
      </c>
      <c r="AF113" s="109">
        <f t="shared" si="51"/>
        <v>0</v>
      </c>
      <c r="AG113" s="109">
        <f t="shared" si="51"/>
        <v>0</v>
      </c>
      <c r="AH113" s="109">
        <f t="shared" si="51"/>
        <v>0</v>
      </c>
      <c r="AI113" s="109">
        <f t="shared" si="51"/>
        <v>0</v>
      </c>
      <c r="AJ113" s="109">
        <f t="shared" si="51"/>
        <v>0</v>
      </c>
      <c r="AK113" s="109">
        <f t="shared" si="51"/>
        <v>0</v>
      </c>
      <c r="AL113" s="109">
        <f t="shared" si="51"/>
        <v>0</v>
      </c>
      <c r="AM113" s="109">
        <f t="shared" si="51"/>
        <v>0</v>
      </c>
    </row>
    <row r="114" spans="1:39" ht="15" customHeight="1" x14ac:dyDescent="0.2">
      <c r="A114" s="868"/>
      <c r="B114" s="860"/>
      <c r="C114" s="860"/>
      <c r="D114" s="860"/>
      <c r="E114" s="860"/>
      <c r="F114" s="860"/>
      <c r="G114" s="860"/>
      <c r="H114" s="860"/>
      <c r="I114" s="861"/>
      <c r="K114" s="110">
        <f>(-PMT(Parameters!$B$31/12,Parameters!$B$32,$H103))*Parameters!$B$32</f>
        <v>1004922.5014982751</v>
      </c>
      <c r="L114" s="111"/>
      <c r="M114" s="111"/>
      <c r="N114" s="111"/>
      <c r="O114" s="108">
        <f>(-PMT(Parameters!$B$31/12,Parameters!$B$32,$H103))*Parameters!$K$32</f>
        <v>41871.77089576146</v>
      </c>
      <c r="P114" s="108">
        <f>MIN(((-PMT(Parameters!$B$31/12,Parameters!$B$32,$H103))*3),O115)</f>
        <v>83743.541791522919</v>
      </c>
      <c r="Q114" s="108">
        <f>MIN(((-PMT(Parameters!$B$31/12,Parameters!$B$32,$H103))*3),P115)</f>
        <v>83743.541791522919</v>
      </c>
      <c r="R114" s="108">
        <f>MIN(((-PMT(Parameters!$B$31/12,Parameters!$B$32,$H103))*3),Q115)</f>
        <v>83743.541791522919</v>
      </c>
      <c r="S114" s="108">
        <f>MIN(((-PMT(Parameters!$B$31/12,Parameters!$B$32,$H103))*3),R115)</f>
        <v>83743.541791522919</v>
      </c>
      <c r="T114" s="108">
        <f>MIN(((-PMT(Parameters!$B$31/12,Parameters!$B$32,$H103))*3),S115)</f>
        <v>83743.541791522919</v>
      </c>
      <c r="U114" s="108">
        <f>MIN(((-PMT(Parameters!$B$31/12,Parameters!$B$32,$H103))*3),T115)</f>
        <v>83743.541791522919</v>
      </c>
      <c r="V114" s="108">
        <f>MIN(((-PMT(Parameters!$B$31/12,Parameters!$B$32,$H103))*3),U115)</f>
        <v>83743.541791522919</v>
      </c>
      <c r="W114" s="108">
        <f>MIN(((-PMT(Parameters!$B$31/12,Parameters!$B$32,$H103))*3),V115)</f>
        <v>83743.541791522919</v>
      </c>
      <c r="X114" s="108">
        <f>MIN(((-PMT(Parameters!$B$31/12,Parameters!$B$32,$H103))*3),W115)</f>
        <v>83743.541791522919</v>
      </c>
      <c r="Y114" s="108">
        <f>MIN(((-PMT(Parameters!$B$31/12,Parameters!$B$32,$H103))*3),X115)</f>
        <v>83743.541791522919</v>
      </c>
      <c r="Z114" s="108">
        <f>MIN(((-PMT(Parameters!$B$31/12,Parameters!$B$32,$H103))*3),Y115)</f>
        <v>83743.541791522919</v>
      </c>
      <c r="AA114" s="108">
        <f>MIN(((-PMT(Parameters!$B$31/12,Parameters!$B$32,$H103))*3),Z115)</f>
        <v>41871.7708957617</v>
      </c>
      <c r="AB114" s="108">
        <f>MIN(((-PMT(Parameters!$B$31/12,Parameters!$B$32,$H103))*3),AA115)</f>
        <v>0</v>
      </c>
      <c r="AC114" s="108">
        <f>MIN(((-PMT(Parameters!$B$31/12,Parameters!$B$32,$H103))*3),AB115)</f>
        <v>0</v>
      </c>
      <c r="AD114" s="108">
        <f>MIN(((-PMT(Parameters!$B$31/12,Parameters!$B$32,$H103))*3),AC115)</f>
        <v>0</v>
      </c>
      <c r="AE114" s="108">
        <f>MIN(((-PMT(Parameters!$B$31/12,Parameters!$B$32,$H103))*3),AD115)</f>
        <v>0</v>
      </c>
      <c r="AF114" s="108">
        <f>MIN(((-PMT(Parameters!$B$31/12,Parameters!$B$32,$H103))*3),AE115)</f>
        <v>0</v>
      </c>
      <c r="AG114" s="108">
        <f>MIN(((-PMT(Parameters!$B$31/12,Parameters!$B$32,$H103))*3),AF115)</f>
        <v>0</v>
      </c>
      <c r="AH114" s="108">
        <f>MIN(((-PMT(Parameters!$B$31/12,Parameters!$B$32,$H103))*3),AG115)</f>
        <v>0</v>
      </c>
      <c r="AI114" s="108">
        <f>MIN(((-PMT(Parameters!$B$31/12,Parameters!$B$32,$H103))*3),AH115)</f>
        <v>0</v>
      </c>
      <c r="AJ114" s="108">
        <f>MIN(((-PMT(Parameters!$B$31/12,Parameters!$B$32,$H103))*3),AI115)</f>
        <v>0</v>
      </c>
      <c r="AK114" s="108">
        <f>MIN(((-PMT(Parameters!$B$31/12,Parameters!$B$32,$H103))*3),AJ115)</f>
        <v>0</v>
      </c>
      <c r="AL114" s="108">
        <f>MIN(((-PMT(Parameters!$B$31/12,Parameters!$B$32,$H103))*3),AK115)</f>
        <v>0</v>
      </c>
      <c r="AM114" s="108">
        <f>MIN(((-PMT(Parameters!$B$31/12,Parameters!$B$32,$H103))*3),AL115)</f>
        <v>0</v>
      </c>
    </row>
    <row r="115" spans="1:39" ht="15" customHeight="1" x14ac:dyDescent="0.2">
      <c r="A115" s="868"/>
      <c r="B115" s="860"/>
      <c r="C115" s="860"/>
      <c r="D115" s="860"/>
      <c r="E115" s="860"/>
      <c r="F115" s="860"/>
      <c r="G115" s="860"/>
      <c r="H115" s="860"/>
      <c r="I115" s="861"/>
      <c r="L115" s="109">
        <f>K114</f>
        <v>1004922.5014982751</v>
      </c>
      <c r="M115" s="109">
        <f>L115</f>
        <v>1004922.5014982751</v>
      </c>
      <c r="N115" s="109">
        <f t="shared" ref="N115:AM115" si="52">M115-N114</f>
        <v>1004922.5014982751</v>
      </c>
      <c r="O115" s="109">
        <f t="shared" si="52"/>
        <v>963050.73060251365</v>
      </c>
      <c r="P115" s="109">
        <f t="shared" si="52"/>
        <v>879307.18881099077</v>
      </c>
      <c r="Q115" s="109">
        <f t="shared" si="52"/>
        <v>795563.6470194679</v>
      </c>
      <c r="R115" s="109">
        <f t="shared" si="52"/>
        <v>711820.10522794502</v>
      </c>
      <c r="S115" s="109">
        <f t="shared" si="52"/>
        <v>628076.56343642215</v>
      </c>
      <c r="T115" s="109">
        <f t="shared" si="52"/>
        <v>544333.02164489927</v>
      </c>
      <c r="U115" s="109">
        <f t="shared" si="52"/>
        <v>460589.47985337634</v>
      </c>
      <c r="V115" s="109">
        <f t="shared" si="52"/>
        <v>376845.93806185341</v>
      </c>
      <c r="W115" s="109">
        <f t="shared" si="52"/>
        <v>293102.39627033047</v>
      </c>
      <c r="X115" s="109">
        <f t="shared" si="52"/>
        <v>209358.85447880754</v>
      </c>
      <c r="Y115" s="109">
        <f>X115-Y114</f>
        <v>125615.31268728462</v>
      </c>
      <c r="Z115" s="109">
        <f t="shared" si="52"/>
        <v>41871.7708957617</v>
      </c>
      <c r="AA115" s="109">
        <f t="shared" si="52"/>
        <v>0</v>
      </c>
      <c r="AB115" s="109">
        <f t="shared" si="52"/>
        <v>0</v>
      </c>
      <c r="AC115" s="109">
        <f t="shared" si="52"/>
        <v>0</v>
      </c>
      <c r="AD115" s="109">
        <f t="shared" si="52"/>
        <v>0</v>
      </c>
      <c r="AE115" s="109">
        <f t="shared" si="52"/>
        <v>0</v>
      </c>
      <c r="AF115" s="109">
        <f t="shared" si="52"/>
        <v>0</v>
      </c>
      <c r="AG115" s="109">
        <f t="shared" si="52"/>
        <v>0</v>
      </c>
      <c r="AH115" s="109">
        <f t="shared" si="52"/>
        <v>0</v>
      </c>
      <c r="AI115" s="109">
        <f t="shared" si="52"/>
        <v>0</v>
      </c>
      <c r="AJ115" s="109">
        <f t="shared" si="52"/>
        <v>0</v>
      </c>
      <c r="AK115" s="109">
        <f t="shared" si="52"/>
        <v>0</v>
      </c>
      <c r="AL115" s="109">
        <f t="shared" si="52"/>
        <v>0</v>
      </c>
      <c r="AM115" s="109">
        <f t="shared" si="52"/>
        <v>0</v>
      </c>
    </row>
    <row r="116" spans="1:39" ht="15" customHeight="1" x14ac:dyDescent="0.2">
      <c r="A116" s="868"/>
      <c r="B116" s="860"/>
      <c r="C116" s="860"/>
      <c r="D116" s="860"/>
      <c r="E116" s="860"/>
      <c r="F116" s="860"/>
      <c r="G116" s="860"/>
      <c r="H116" s="860"/>
      <c r="I116" s="861"/>
      <c r="L116" s="109">
        <f>L108+L110+L112+L114</f>
        <v>40658.096377043737</v>
      </c>
      <c r="M116" s="109">
        <f t="shared" ref="M116:AM116" si="53">M108+M110+M112+M114</f>
        <v>121974.28913113121</v>
      </c>
      <c r="N116" s="109">
        <f t="shared" si="53"/>
        <v>203290.4818852187</v>
      </c>
      <c r="O116" s="109">
        <f t="shared" si="53"/>
        <v>285820.34915802389</v>
      </c>
      <c r="P116" s="109">
        <f t="shared" si="53"/>
        <v>327692.12005378533</v>
      </c>
      <c r="Q116" s="109">
        <f t="shared" si="53"/>
        <v>327692.12005378533</v>
      </c>
      <c r="R116" s="109">
        <f t="shared" si="53"/>
        <v>327692.12005378533</v>
      </c>
      <c r="S116" s="109">
        <f t="shared" si="53"/>
        <v>327692.12005378533</v>
      </c>
      <c r="T116" s="109">
        <f t="shared" si="53"/>
        <v>327692.12005378533</v>
      </c>
      <c r="U116" s="109">
        <f t="shared" si="53"/>
        <v>327692.12005378533</v>
      </c>
      <c r="V116" s="109">
        <f t="shared" si="53"/>
        <v>327692.12005378533</v>
      </c>
      <c r="W116" s="109">
        <f t="shared" si="53"/>
        <v>327692.12005378533</v>
      </c>
      <c r="X116" s="109">
        <f t="shared" si="53"/>
        <v>287034.02367674146</v>
      </c>
      <c r="Y116" s="109">
        <f t="shared" si="53"/>
        <v>205717.83092265402</v>
      </c>
      <c r="Z116" s="109">
        <f t="shared" si="53"/>
        <v>124401.63816856653</v>
      </c>
      <c r="AA116" s="109">
        <f t="shared" si="53"/>
        <v>41871.7708957617</v>
      </c>
      <c r="AB116" s="109">
        <f t="shared" si="53"/>
        <v>0</v>
      </c>
      <c r="AC116" s="109">
        <f t="shared" si="53"/>
        <v>0</v>
      </c>
      <c r="AD116" s="109">
        <f t="shared" si="53"/>
        <v>0</v>
      </c>
      <c r="AE116" s="109">
        <f t="shared" si="53"/>
        <v>0</v>
      </c>
      <c r="AF116" s="109">
        <f t="shared" si="53"/>
        <v>0</v>
      </c>
      <c r="AG116" s="109">
        <f t="shared" si="53"/>
        <v>0</v>
      </c>
      <c r="AH116" s="109">
        <f t="shared" si="53"/>
        <v>0</v>
      </c>
      <c r="AI116" s="109">
        <f t="shared" si="53"/>
        <v>0</v>
      </c>
      <c r="AJ116" s="109">
        <f t="shared" si="53"/>
        <v>0</v>
      </c>
      <c r="AK116" s="109">
        <f t="shared" si="53"/>
        <v>0</v>
      </c>
      <c r="AL116" s="109">
        <f t="shared" si="53"/>
        <v>0</v>
      </c>
      <c r="AM116" s="109">
        <f t="shared" si="53"/>
        <v>0</v>
      </c>
    </row>
    <row r="117" spans="1:39" ht="15" customHeight="1" thickBot="1" x14ac:dyDescent="0.25">
      <c r="A117" s="869"/>
      <c r="B117" s="862"/>
      <c r="C117" s="862"/>
      <c r="D117" s="862"/>
      <c r="E117" s="862"/>
      <c r="F117" s="862"/>
      <c r="G117" s="862"/>
      <c r="H117" s="862"/>
      <c r="I117" s="863"/>
      <c r="L117"/>
      <c r="M117"/>
      <c r="N117"/>
      <c r="O117"/>
      <c r="P117"/>
      <c r="Q117"/>
      <c r="R117"/>
      <c r="S117"/>
      <c r="T117"/>
      <c r="U117"/>
      <c r="V117"/>
      <c r="W117"/>
      <c r="X117"/>
      <c r="Y117"/>
      <c r="Z117"/>
      <c r="AA117"/>
      <c r="AB117"/>
      <c r="AC117"/>
      <c r="AD117"/>
      <c r="AE117"/>
      <c r="AF117"/>
      <c r="AG117"/>
      <c r="AH117"/>
      <c r="AI117"/>
      <c r="AJ117"/>
      <c r="AK117"/>
      <c r="AL117"/>
      <c r="AM117"/>
    </row>
    <row r="118" spans="1:39" ht="13.2" thickBot="1" x14ac:dyDescent="0.25"/>
    <row r="119" spans="1:39" ht="16.05" customHeight="1" x14ac:dyDescent="0.2">
      <c r="A119" s="889">
        <v>2016</v>
      </c>
      <c r="B119" s="890"/>
      <c r="C119" s="893" t="s">
        <v>198</v>
      </c>
      <c r="D119" s="894"/>
      <c r="E119" s="864" t="s">
        <v>406</v>
      </c>
      <c r="F119" s="883" t="s">
        <v>407</v>
      </c>
      <c r="G119" s="883" t="s">
        <v>408</v>
      </c>
      <c r="H119" s="885" t="s">
        <v>409</v>
      </c>
      <c r="I119" s="887" t="s">
        <v>498</v>
      </c>
      <c r="L119" s="85">
        <f>AB3</f>
        <v>40543</v>
      </c>
      <c r="M119" s="85">
        <f>L120+1</f>
        <v>40633</v>
      </c>
      <c r="N119" s="85">
        <f t="shared" ref="N119:AM119" si="54">M120+1</f>
        <v>40724</v>
      </c>
      <c r="O119" s="85">
        <f t="shared" si="54"/>
        <v>40816</v>
      </c>
      <c r="P119" s="85">
        <f t="shared" si="54"/>
        <v>40908</v>
      </c>
      <c r="Q119" s="85">
        <f t="shared" si="54"/>
        <v>40999</v>
      </c>
      <c r="R119" s="85">
        <f t="shared" si="54"/>
        <v>41090</v>
      </c>
      <c r="S119" s="85">
        <f t="shared" si="54"/>
        <v>41182</v>
      </c>
      <c r="T119" s="85">
        <f t="shared" si="54"/>
        <v>41274</v>
      </c>
      <c r="U119" s="85">
        <f t="shared" si="54"/>
        <v>41364</v>
      </c>
      <c r="V119" s="85">
        <f t="shared" si="54"/>
        <v>41455</v>
      </c>
      <c r="W119" s="85">
        <f t="shared" si="54"/>
        <v>41547</v>
      </c>
      <c r="X119" s="85">
        <f t="shared" si="54"/>
        <v>41639</v>
      </c>
      <c r="Y119" s="85">
        <f>X120+1</f>
        <v>41729</v>
      </c>
      <c r="Z119" s="85">
        <f t="shared" si="54"/>
        <v>41820</v>
      </c>
      <c r="AA119" s="85">
        <f t="shared" si="54"/>
        <v>41912</v>
      </c>
      <c r="AB119" s="85">
        <f t="shared" si="54"/>
        <v>42004</v>
      </c>
      <c r="AC119" s="85">
        <f t="shared" si="54"/>
        <v>42094</v>
      </c>
      <c r="AD119" s="85">
        <f t="shared" si="54"/>
        <v>42185</v>
      </c>
      <c r="AE119" s="85">
        <f t="shared" si="54"/>
        <v>42277</v>
      </c>
      <c r="AF119" s="85">
        <f t="shared" si="54"/>
        <v>42369</v>
      </c>
      <c r="AG119" s="85">
        <f t="shared" si="54"/>
        <v>42460</v>
      </c>
      <c r="AH119" s="85">
        <f t="shared" si="54"/>
        <v>42551</v>
      </c>
      <c r="AI119" s="85">
        <f t="shared" si="54"/>
        <v>42643</v>
      </c>
      <c r="AJ119" s="85">
        <f t="shared" si="54"/>
        <v>42735</v>
      </c>
      <c r="AK119" s="85">
        <f t="shared" si="54"/>
        <v>42825</v>
      </c>
      <c r="AL119" s="85">
        <f t="shared" si="54"/>
        <v>42916</v>
      </c>
      <c r="AM119" s="85">
        <f t="shared" si="54"/>
        <v>43008</v>
      </c>
    </row>
    <row r="120" spans="1:39" ht="16.05" customHeight="1" thickBot="1" x14ac:dyDescent="0.25">
      <c r="A120" s="891"/>
      <c r="B120" s="892"/>
      <c r="C120" s="895"/>
      <c r="D120" s="896"/>
      <c r="E120" s="865"/>
      <c r="F120" s="884"/>
      <c r="G120" s="884"/>
      <c r="H120" s="886"/>
      <c r="I120" s="888"/>
      <c r="L120" s="85">
        <f>AB4</f>
        <v>40632</v>
      </c>
      <c r="M120" s="85">
        <f t="shared" ref="M120:X120" si="55">AC4</f>
        <v>40723</v>
      </c>
      <c r="N120" s="85">
        <f t="shared" si="55"/>
        <v>40815</v>
      </c>
      <c r="O120" s="85">
        <f t="shared" si="55"/>
        <v>40907</v>
      </c>
      <c r="P120" s="85">
        <f t="shared" si="55"/>
        <v>40998</v>
      </c>
      <c r="Q120" s="85">
        <f t="shared" si="55"/>
        <v>41089</v>
      </c>
      <c r="R120" s="85">
        <f t="shared" si="55"/>
        <v>41181</v>
      </c>
      <c r="S120" s="85">
        <f t="shared" si="55"/>
        <v>41273</v>
      </c>
      <c r="T120" s="85">
        <f t="shared" si="55"/>
        <v>41363</v>
      </c>
      <c r="U120" s="85">
        <f t="shared" si="55"/>
        <v>41454</v>
      </c>
      <c r="V120" s="85">
        <f t="shared" si="55"/>
        <v>41546</v>
      </c>
      <c r="W120" s="85">
        <f t="shared" si="55"/>
        <v>41638</v>
      </c>
      <c r="X120" s="85">
        <f t="shared" si="55"/>
        <v>41728</v>
      </c>
      <c r="Y120" s="85">
        <f t="shared" ref="Y120:AM120" si="56">AO4</f>
        <v>41819</v>
      </c>
      <c r="Z120" s="85">
        <f t="shared" si="56"/>
        <v>41911</v>
      </c>
      <c r="AA120" s="85">
        <f t="shared" si="56"/>
        <v>42003</v>
      </c>
      <c r="AB120" s="85">
        <f t="shared" si="56"/>
        <v>42093</v>
      </c>
      <c r="AC120" s="85">
        <f t="shared" si="56"/>
        <v>42184</v>
      </c>
      <c r="AD120" s="85">
        <f t="shared" si="56"/>
        <v>42276</v>
      </c>
      <c r="AE120" s="85">
        <f t="shared" si="56"/>
        <v>42368</v>
      </c>
      <c r="AF120" s="85">
        <f t="shared" si="56"/>
        <v>42459</v>
      </c>
      <c r="AG120" s="85">
        <f t="shared" si="56"/>
        <v>42550</v>
      </c>
      <c r="AH120" s="85">
        <f t="shared" si="56"/>
        <v>42642</v>
      </c>
      <c r="AI120" s="85">
        <f t="shared" si="56"/>
        <v>42734</v>
      </c>
      <c r="AJ120" s="85">
        <f t="shared" si="56"/>
        <v>42824</v>
      </c>
      <c r="AK120" s="85">
        <f t="shared" si="56"/>
        <v>42915</v>
      </c>
      <c r="AL120" s="85">
        <f t="shared" si="56"/>
        <v>43007</v>
      </c>
      <c r="AM120" s="85">
        <f t="shared" si="56"/>
        <v>43099</v>
      </c>
    </row>
    <row r="121" spans="1:39" ht="15" customHeight="1" x14ac:dyDescent="0.2">
      <c r="A121" s="878" t="s">
        <v>318</v>
      </c>
      <c r="B121" s="870" t="s">
        <v>347</v>
      </c>
      <c r="C121" s="95" t="s">
        <v>374</v>
      </c>
      <c r="D121" s="94">
        <f>1-Parameters!N$6</f>
        <v>0</v>
      </c>
      <c r="E121" s="96">
        <f>ROUND(Calculations!X3*$D121,0)</f>
        <v>0</v>
      </c>
      <c r="F121" s="96">
        <f>ROUND(Calculations!Y3*$D121,0)</f>
        <v>0</v>
      </c>
      <c r="G121" s="96">
        <f>ROUND(Calculations!Z3*$D121,0)</f>
        <v>0</v>
      </c>
      <c r="H121" s="96">
        <f>ROUND(Calculations!AA3*$D121,0)</f>
        <v>0</v>
      </c>
      <c r="I121" s="103">
        <f>SUM(E121:H121)</f>
        <v>0</v>
      </c>
      <c r="L121" s="88"/>
      <c r="M121" s="88"/>
      <c r="N121" s="88"/>
      <c r="O121" s="88"/>
      <c r="P121" s="85">
        <f>P119</f>
        <v>40908</v>
      </c>
      <c r="Q121" s="85">
        <f>Q119</f>
        <v>40999</v>
      </c>
      <c r="R121" s="85">
        <f>R119</f>
        <v>41090</v>
      </c>
      <c r="S121" s="85">
        <f>S119</f>
        <v>41182</v>
      </c>
      <c r="T121" s="88"/>
      <c r="U121" s="88"/>
      <c r="V121" s="88"/>
      <c r="W121" s="88"/>
      <c r="Y121"/>
    </row>
    <row r="122" spans="1:39" ht="15" customHeight="1" x14ac:dyDescent="0.2">
      <c r="A122" s="880"/>
      <c r="B122" s="688"/>
      <c r="C122" s="688" t="s">
        <v>139</v>
      </c>
      <c r="D122" s="871"/>
      <c r="E122" s="92">
        <f>SUM(E121:E121)</f>
        <v>0</v>
      </c>
      <c r="F122" s="92">
        <f>SUM(F121:F121)</f>
        <v>0</v>
      </c>
      <c r="G122" s="92">
        <f>SUM(G121:G121)</f>
        <v>0</v>
      </c>
      <c r="H122" s="92">
        <f>SUM(H121:H121)</f>
        <v>0</v>
      </c>
      <c r="I122" s="872">
        <f>H123</f>
        <v>0</v>
      </c>
      <c r="L122" s="93">
        <f>IF($M124&lt;=L120,$E122,IF($N124&lt;=L120,$F122,IF($O124&lt;=L120,$G122,IF($P124&lt;=L120,$H122,))))</f>
        <v>0</v>
      </c>
      <c r="M122" s="93">
        <f t="shared" ref="M122:W122" si="57">IF(AND($M124&gt;L120,$M124&lt;=M120),$E122,IF(AND($N124&gt;L120,$N124&lt;=M120),$F122,IF(AND($O124&gt;L120,$O124&lt;=M120),$G122,IF(AND($P124&gt;L120,$P124&lt;=M120),$H122,))))</f>
        <v>0</v>
      </c>
      <c r="N122" s="93">
        <f t="shared" si="57"/>
        <v>0</v>
      </c>
      <c r="O122" s="93">
        <f t="shared" si="57"/>
        <v>0</v>
      </c>
      <c r="P122" s="93">
        <f t="shared" si="57"/>
        <v>0</v>
      </c>
      <c r="Q122" s="93">
        <f t="shared" si="57"/>
        <v>0</v>
      </c>
      <c r="R122" s="93">
        <f t="shared" si="57"/>
        <v>0</v>
      </c>
      <c r="S122" s="93">
        <f t="shared" si="57"/>
        <v>0</v>
      </c>
      <c r="T122" s="93">
        <f t="shared" si="57"/>
        <v>0</v>
      </c>
      <c r="U122" s="93">
        <f t="shared" si="57"/>
        <v>0</v>
      </c>
      <c r="V122" s="93">
        <f t="shared" si="57"/>
        <v>0</v>
      </c>
      <c r="W122" s="93">
        <f t="shared" si="57"/>
        <v>0</v>
      </c>
      <c r="X122" s="93">
        <f>SUM(L122:W122)</f>
        <v>0</v>
      </c>
      <c r="Y122"/>
    </row>
    <row r="123" spans="1:39" ht="15" customHeight="1" x14ac:dyDescent="0.2">
      <c r="A123" s="880"/>
      <c r="B123" s="688"/>
      <c r="C123" s="874" t="s">
        <v>331</v>
      </c>
      <c r="D123" s="875"/>
      <c r="E123" s="105">
        <f>E122</f>
        <v>0</v>
      </c>
      <c r="F123" s="15">
        <f>E123+F122</f>
        <v>0</v>
      </c>
      <c r="G123" s="15">
        <f>F123+G122</f>
        <v>0</v>
      </c>
      <c r="H123" s="15">
        <f>G123+H122</f>
        <v>0</v>
      </c>
      <c r="I123" s="873"/>
    </row>
    <row r="124" spans="1:39" ht="15" customHeight="1" x14ac:dyDescent="0.2">
      <c r="A124" s="880"/>
      <c r="B124" s="688" t="s">
        <v>411</v>
      </c>
      <c r="C124" s="65" t="s">
        <v>405</v>
      </c>
      <c r="D124" s="104">
        <f>Parameters!$F$21</f>
        <v>17000</v>
      </c>
      <c r="E124" s="72">
        <f>E122*$D124</f>
        <v>0</v>
      </c>
      <c r="F124" s="72">
        <f>F122*$D124</f>
        <v>0</v>
      </c>
      <c r="G124" s="72">
        <f>G122*$D124</f>
        <v>0</v>
      </c>
      <c r="H124" s="72">
        <f>H122*$D124</f>
        <v>0</v>
      </c>
      <c r="I124" s="106">
        <f>SUM(E124:H124)</f>
        <v>0</v>
      </c>
      <c r="L124" s="60" t="s">
        <v>196</v>
      </c>
      <c r="M124" s="79">
        <f>P121+$D125</f>
        <v>40908</v>
      </c>
      <c r="N124" s="79">
        <f>Q121+$D125</f>
        <v>40999</v>
      </c>
      <c r="O124" s="79">
        <f>R121+$D125</f>
        <v>41090</v>
      </c>
      <c r="P124" s="79">
        <f>S121+$D125</f>
        <v>41182</v>
      </c>
      <c r="X124" s="69" t="s">
        <v>366</v>
      </c>
    </row>
    <row r="125" spans="1:39" ht="15" customHeight="1" thickBot="1" x14ac:dyDescent="0.25">
      <c r="A125" s="881"/>
      <c r="B125" s="882"/>
      <c r="C125" s="70" t="s">
        <v>332</v>
      </c>
      <c r="D125" s="84">
        <f>Parameters!$B$36</f>
        <v>0</v>
      </c>
      <c r="E125" s="72">
        <f>SUM(L125:P125)+T96</f>
        <v>0</v>
      </c>
      <c r="F125" s="66">
        <f>Q125+U96</f>
        <v>0</v>
      </c>
      <c r="G125" s="66">
        <f>R125+V96</f>
        <v>0</v>
      </c>
      <c r="H125" s="66">
        <f>S125+W96</f>
        <v>0</v>
      </c>
      <c r="I125" s="89">
        <f>SUM(E125:H125)</f>
        <v>0</v>
      </c>
      <c r="L125" s="68">
        <f>IF($M124&lt;=L120,$E124,IF($N124&lt;=L120,$F124,IF($O124&lt;=L120,$G124,IF($P124&lt;=L120,$H124,))))</f>
        <v>0</v>
      </c>
      <c r="M125" s="68">
        <f t="shared" ref="M125:W125" si="58">IF(AND($M124&gt;L120,$M124&lt;=M120),$E124,IF(AND($N124&gt;L120,$N124&lt;=M120),$F124,IF(AND($O124&gt;L120,$O124&lt;=M120),$G124,IF(AND($P124&gt;L120,$P124&lt;=M120),$H124,))))</f>
        <v>0</v>
      </c>
      <c r="N125" s="68">
        <f t="shared" si="58"/>
        <v>0</v>
      </c>
      <c r="O125" s="68">
        <f t="shared" si="58"/>
        <v>0</v>
      </c>
      <c r="P125" s="68">
        <f t="shared" si="58"/>
        <v>0</v>
      </c>
      <c r="Q125" s="68">
        <f t="shared" si="58"/>
        <v>0</v>
      </c>
      <c r="R125" s="68">
        <f t="shared" si="58"/>
        <v>0</v>
      </c>
      <c r="S125" s="68">
        <f t="shared" si="58"/>
        <v>0</v>
      </c>
      <c r="T125" s="68">
        <f t="shared" si="58"/>
        <v>0</v>
      </c>
      <c r="U125" s="68">
        <f t="shared" si="58"/>
        <v>0</v>
      </c>
      <c r="V125" s="68">
        <f t="shared" si="58"/>
        <v>0</v>
      </c>
      <c r="W125" s="68">
        <f t="shared" si="58"/>
        <v>0</v>
      </c>
      <c r="X125" s="68">
        <f>SUM(L125:W125)</f>
        <v>0</v>
      </c>
    </row>
    <row r="126" spans="1:39" ht="15" customHeight="1" x14ac:dyDescent="0.2">
      <c r="A126" s="866" t="s">
        <v>206</v>
      </c>
      <c r="B126" s="870" t="s">
        <v>317</v>
      </c>
      <c r="C126" s="95" t="str">
        <f>C121</f>
        <v>S. Amer.</v>
      </c>
      <c r="D126" s="94">
        <f>1-D121</f>
        <v>1</v>
      </c>
      <c r="E126" s="96">
        <f>Calculations!X3-E121</f>
        <v>82</v>
      </c>
      <c r="F126" s="97">
        <f>Calculations!Y3-F121</f>
        <v>82</v>
      </c>
      <c r="G126" s="97">
        <f>Calculations!Z3-G121</f>
        <v>82</v>
      </c>
      <c r="H126" s="96">
        <f>Calculations!AA3-H121</f>
        <v>84</v>
      </c>
      <c r="I126" s="103">
        <f>SUM(E126:H126)</f>
        <v>330</v>
      </c>
    </row>
    <row r="127" spans="1:39" ht="15" customHeight="1" x14ac:dyDescent="0.2">
      <c r="A127" s="868"/>
      <c r="B127" s="688"/>
      <c r="C127" s="688" t="s">
        <v>139</v>
      </c>
      <c r="D127" s="871"/>
      <c r="E127" s="92">
        <f>SUM(E126:E126)</f>
        <v>82</v>
      </c>
      <c r="F127" s="10">
        <f>SUM(F126:F126)</f>
        <v>82</v>
      </c>
      <c r="G127" s="10">
        <f>SUM(G126:G126)</f>
        <v>82</v>
      </c>
      <c r="H127" s="101">
        <f>SUM(H126:H126)</f>
        <v>84</v>
      </c>
      <c r="I127" s="872">
        <f>H128</f>
        <v>330</v>
      </c>
      <c r="L127"/>
      <c r="M127"/>
      <c r="N127"/>
      <c r="O127"/>
      <c r="P127"/>
      <c r="Q127"/>
      <c r="R127"/>
      <c r="S127"/>
      <c r="T127"/>
      <c r="U127"/>
      <c r="V127"/>
      <c r="W127"/>
      <c r="X127"/>
      <c r="Y127"/>
    </row>
    <row r="128" spans="1:39" ht="15" customHeight="1" x14ac:dyDescent="0.2">
      <c r="A128" s="868"/>
      <c r="B128" s="688"/>
      <c r="C128" s="874" t="s">
        <v>331</v>
      </c>
      <c r="D128" s="875"/>
      <c r="E128" s="105">
        <f>E127</f>
        <v>82</v>
      </c>
      <c r="F128" s="15">
        <f>F127+E128</f>
        <v>164</v>
      </c>
      <c r="G128" s="15">
        <f>G127+F128</f>
        <v>246</v>
      </c>
      <c r="H128" s="15">
        <f>H127+G128</f>
        <v>330</v>
      </c>
      <c r="I128" s="873"/>
      <c r="L128"/>
      <c r="M128"/>
      <c r="N128"/>
      <c r="O128"/>
      <c r="P128"/>
      <c r="Q128"/>
      <c r="R128"/>
      <c r="S128"/>
      <c r="T128"/>
      <c r="U128"/>
      <c r="V128"/>
      <c r="W128"/>
      <c r="X128"/>
      <c r="Y128"/>
    </row>
    <row r="129" spans="1:39" ht="15" customHeight="1" x14ac:dyDescent="0.2">
      <c r="A129" s="868"/>
      <c r="B129" s="566" t="s">
        <v>68</v>
      </c>
      <c r="C129" s="688" t="s">
        <v>412</v>
      </c>
      <c r="D129" s="871"/>
      <c r="E129" s="72">
        <f>E127*$D124</f>
        <v>1394000</v>
      </c>
      <c r="F129" s="66">
        <f>F127*$D124</f>
        <v>1394000</v>
      </c>
      <c r="G129" s="66">
        <f>G127*$D124</f>
        <v>1394000</v>
      </c>
      <c r="H129" s="86">
        <f>H127*$D124</f>
        <v>1428000</v>
      </c>
      <c r="I129" s="74">
        <f>SUM(E129:H129)</f>
        <v>5610000</v>
      </c>
    </row>
    <row r="130" spans="1:39" ht="15" customHeight="1" x14ac:dyDescent="0.2">
      <c r="A130" s="868"/>
      <c r="B130" s="566"/>
      <c r="C130" s="65" t="s">
        <v>413</v>
      </c>
      <c r="D130" s="87">
        <f>1-Parameters!$B$33</f>
        <v>0.19999999999999996</v>
      </c>
      <c r="E130" s="72">
        <f>E129*$D130</f>
        <v>278799.99999999994</v>
      </c>
      <c r="F130" s="66">
        <f>F129*$D130</f>
        <v>278799.99999999994</v>
      </c>
      <c r="G130" s="66">
        <f>G129*$D130</f>
        <v>278799.99999999994</v>
      </c>
      <c r="H130" s="86">
        <f>H129*$D130</f>
        <v>285599.99999999994</v>
      </c>
      <c r="I130" s="106">
        <f>SUM(E130:H130)</f>
        <v>1121999.9999999998</v>
      </c>
      <c r="L130" s="60" t="s">
        <v>196</v>
      </c>
      <c r="M130" s="79">
        <f>P121+$D131</f>
        <v>40908</v>
      </c>
      <c r="N130" s="79">
        <f>Q121+$D131</f>
        <v>40999</v>
      </c>
      <c r="O130" s="79">
        <f>R121+$D131</f>
        <v>41090</v>
      </c>
      <c r="P130" s="79">
        <f>S121+$D131</f>
        <v>41182</v>
      </c>
      <c r="X130" s="69" t="s">
        <v>366</v>
      </c>
    </row>
    <row r="131" spans="1:39" ht="15" customHeight="1" x14ac:dyDescent="0.2">
      <c r="A131" s="868"/>
      <c r="B131" s="566"/>
      <c r="C131" s="5" t="s">
        <v>332</v>
      </c>
      <c r="D131" s="73">
        <f>Parameters!$B$36</f>
        <v>0</v>
      </c>
      <c r="E131" s="72">
        <f>SUM(L131:P131)+T102</f>
        <v>278799.99999999994</v>
      </c>
      <c r="F131" s="66">
        <f>Q131+U102</f>
        <v>278799.99999999994</v>
      </c>
      <c r="G131" s="66">
        <f>R131+V102</f>
        <v>278799.99999999994</v>
      </c>
      <c r="H131" s="66">
        <f>S131+W102</f>
        <v>285599.99999999994</v>
      </c>
      <c r="I131" s="74">
        <f>SUM(E131:H131)</f>
        <v>1121999.9999999998</v>
      </c>
      <c r="L131" s="68">
        <f>IF($M130&lt;=L120,$E130,IF($N130&lt;=L120,$F130,IF($O130&lt;=L120,$G130,IF($P130&lt;=L120,$H130,))))</f>
        <v>0</v>
      </c>
      <c r="M131" s="68">
        <f t="shared" ref="M131:W131" si="59">IF(AND($M130&gt;L120,$M130&lt;=M120),$E130,IF(AND($N130&gt;L120,$N130&lt;=M120),$F130,IF(AND($O130&gt;L120,$O130&lt;=M120),$G130,IF(AND($P130&gt;L120,$P130&lt;=M120),$H130,))))</f>
        <v>0</v>
      </c>
      <c r="N131" s="68">
        <f t="shared" si="59"/>
        <v>0</v>
      </c>
      <c r="O131" s="68">
        <f t="shared" si="59"/>
        <v>0</v>
      </c>
      <c r="P131" s="68">
        <f t="shared" si="59"/>
        <v>278799.99999999994</v>
      </c>
      <c r="Q131" s="68">
        <f t="shared" si="59"/>
        <v>278799.99999999994</v>
      </c>
      <c r="R131" s="68">
        <f t="shared" si="59"/>
        <v>278799.99999999994</v>
      </c>
      <c r="S131" s="68">
        <f t="shared" si="59"/>
        <v>285599.99999999994</v>
      </c>
      <c r="T131" s="68">
        <f t="shared" si="59"/>
        <v>0</v>
      </c>
      <c r="U131" s="68">
        <f t="shared" si="59"/>
        <v>0</v>
      </c>
      <c r="V131" s="68">
        <f t="shared" si="59"/>
        <v>0</v>
      </c>
      <c r="W131" s="68">
        <f t="shared" si="59"/>
        <v>0</v>
      </c>
      <c r="X131" s="68">
        <f>SUM(L131:W131)</f>
        <v>1121999.9999999998</v>
      </c>
    </row>
    <row r="132" spans="1:39" ht="15" customHeight="1" x14ac:dyDescent="0.2">
      <c r="A132" s="868"/>
      <c r="B132" s="566"/>
      <c r="C132" s="65" t="s">
        <v>194</v>
      </c>
      <c r="D132" s="87">
        <f>Parameters!$B$33</f>
        <v>0.8</v>
      </c>
      <c r="E132" s="72">
        <f>E129*$D132</f>
        <v>1115200</v>
      </c>
      <c r="F132" s="72">
        <f>F129*$D132</f>
        <v>1115200</v>
      </c>
      <c r="G132" s="72">
        <f>G129*$D132</f>
        <v>1115200</v>
      </c>
      <c r="H132" s="72">
        <f>H129*$D132</f>
        <v>1142400</v>
      </c>
      <c r="I132" s="74">
        <f>SUM(E132:H132)</f>
        <v>4488000</v>
      </c>
      <c r="L132" s="91"/>
      <c r="M132" s="91"/>
      <c r="N132" s="91"/>
      <c r="O132" s="91"/>
      <c r="P132" s="91"/>
      <c r="Q132" s="91"/>
      <c r="R132" s="91"/>
      <c r="S132" s="91"/>
      <c r="T132" s="91"/>
      <c r="U132" s="91"/>
      <c r="V132" s="91"/>
      <c r="W132" s="91"/>
      <c r="X132" s="91"/>
    </row>
    <row r="133" spans="1:39" ht="15" customHeight="1" x14ac:dyDescent="0.2">
      <c r="A133" s="868"/>
      <c r="B133" s="566"/>
      <c r="C133" s="874" t="s">
        <v>331</v>
      </c>
      <c r="D133" s="875"/>
      <c r="E133" s="81">
        <f>E132</f>
        <v>1115200</v>
      </c>
      <c r="F133" s="81">
        <f>E133+F132</f>
        <v>2230400</v>
      </c>
      <c r="G133" s="81">
        <f>F133+G132</f>
        <v>3345600</v>
      </c>
      <c r="H133" s="81">
        <f>G133+H132</f>
        <v>4488000</v>
      </c>
      <c r="I133" s="78">
        <f>H133</f>
        <v>4488000</v>
      </c>
      <c r="L133" s="91"/>
      <c r="M133" s="91"/>
      <c r="N133" s="91"/>
      <c r="O133" s="91"/>
      <c r="P133" s="91"/>
      <c r="Q133" s="91"/>
      <c r="R133" s="91"/>
      <c r="S133" s="91"/>
      <c r="T133" s="91"/>
      <c r="U133" s="91"/>
      <c r="V133" s="91"/>
      <c r="W133" s="91"/>
      <c r="X133" s="91"/>
    </row>
    <row r="134" spans="1:39" ht="15" customHeight="1" x14ac:dyDescent="0.2">
      <c r="A134" s="868"/>
      <c r="B134" s="566"/>
      <c r="C134" s="876" t="s">
        <v>390</v>
      </c>
      <c r="D134" s="877"/>
      <c r="E134" s="107">
        <f>L145+P116+T87+X58+AB29</f>
        <v>961444.39668068138</v>
      </c>
      <c r="F134" s="107">
        <f>M145+Q116+U87+Y58+AC29</f>
        <v>989573.08846743323</v>
      </c>
      <c r="G134" s="107">
        <f>N145+R116+V87+Z58+AD29</f>
        <v>1017701.7802541851</v>
      </c>
      <c r="H134" s="107">
        <f>O145+S116+W87+AA58+AE29</f>
        <v>1047044.1465596549</v>
      </c>
      <c r="I134" s="74">
        <f>SUM(E134:H134)</f>
        <v>4015763.4119619546</v>
      </c>
      <c r="L134" s="60" t="s">
        <v>196</v>
      </c>
      <c r="M134" s="79">
        <f>P121+$D135</f>
        <v>40938</v>
      </c>
      <c r="N134" s="79">
        <f>Q121+$D135</f>
        <v>41029</v>
      </c>
      <c r="O134" s="79">
        <f>R121+$D135</f>
        <v>41120</v>
      </c>
      <c r="P134" s="79">
        <f>S121+$D135</f>
        <v>41212</v>
      </c>
      <c r="X134" s="69" t="s">
        <v>366</v>
      </c>
    </row>
    <row r="135" spans="1:39" ht="15" customHeight="1" x14ac:dyDescent="0.2">
      <c r="A135" s="868"/>
      <c r="B135" s="566"/>
      <c r="C135" s="75" t="s">
        <v>332</v>
      </c>
      <c r="D135" s="76">
        <f>Parameters!$B$37</f>
        <v>30</v>
      </c>
      <c r="E135" s="112">
        <f>SUM(L135:P135)</f>
        <v>961444.39668068138</v>
      </c>
      <c r="F135" s="71">
        <f>Q135</f>
        <v>989573.08846743323</v>
      </c>
      <c r="G135" s="71">
        <f>R135</f>
        <v>1017701.7802541851</v>
      </c>
      <c r="H135" s="71">
        <f>S135</f>
        <v>1047044.1465596549</v>
      </c>
      <c r="I135" s="77">
        <f>SUM(E135:H135)</f>
        <v>4015763.4119619546</v>
      </c>
      <c r="L135" s="68">
        <f>IF($M134&lt;=L120,$E134,IF($N134&lt;=L120,$F134,IF($O134&lt;=L120,$G134,IF($P134&lt;=L120,$H134,))))</f>
        <v>0</v>
      </c>
      <c r="M135" s="68">
        <f t="shared" ref="M135:W135" si="60">IF(AND($M134&gt;L120,$M134&lt;=M120),$E134,IF(AND($N134&gt;L120,$N134&lt;=M120),$F134,IF(AND($O134&gt;L120,$O134&lt;=M120),$G134,IF(AND($P134&gt;L120,$P134&lt;=M120),$H134,))))</f>
        <v>0</v>
      </c>
      <c r="N135" s="68">
        <f t="shared" si="60"/>
        <v>0</v>
      </c>
      <c r="O135" s="68">
        <f t="shared" si="60"/>
        <v>0</v>
      </c>
      <c r="P135" s="68">
        <f t="shared" si="60"/>
        <v>961444.39668068138</v>
      </c>
      <c r="Q135" s="68">
        <f t="shared" si="60"/>
        <v>989573.08846743323</v>
      </c>
      <c r="R135" s="68">
        <f t="shared" si="60"/>
        <v>1017701.7802541851</v>
      </c>
      <c r="S135" s="68">
        <f t="shared" si="60"/>
        <v>1047044.1465596549</v>
      </c>
      <c r="T135" s="68">
        <f t="shared" si="60"/>
        <v>0</v>
      </c>
      <c r="U135" s="68">
        <f t="shared" si="60"/>
        <v>0</v>
      </c>
      <c r="V135" s="68">
        <f t="shared" si="60"/>
        <v>0</v>
      </c>
      <c r="W135" s="68">
        <f t="shared" si="60"/>
        <v>0</v>
      </c>
      <c r="X135" s="68">
        <f>SUM(L135:W135)</f>
        <v>4015763.4119619546</v>
      </c>
    </row>
    <row r="136" spans="1:39" ht="15" customHeight="1" x14ac:dyDescent="0.2">
      <c r="A136" s="868"/>
      <c r="B136" s="860" t="s">
        <v>410</v>
      </c>
      <c r="C136" s="860"/>
      <c r="D136" s="860"/>
      <c r="E136" s="860"/>
      <c r="F136" s="860"/>
      <c r="G136" s="860"/>
      <c r="H136" s="860"/>
      <c r="I136" s="861"/>
      <c r="L136" s="67">
        <f t="shared" ref="L136:AI136" si="61">P120</f>
        <v>40998</v>
      </c>
      <c r="M136" s="67">
        <f t="shared" si="61"/>
        <v>41089</v>
      </c>
      <c r="N136" s="67">
        <f t="shared" si="61"/>
        <v>41181</v>
      </c>
      <c r="O136" s="67">
        <f t="shared" si="61"/>
        <v>41273</v>
      </c>
      <c r="P136" s="67">
        <f t="shared" si="61"/>
        <v>41363</v>
      </c>
      <c r="Q136" s="67">
        <f t="shared" si="61"/>
        <v>41454</v>
      </c>
      <c r="R136" s="67">
        <f t="shared" si="61"/>
        <v>41546</v>
      </c>
      <c r="S136" s="67">
        <f t="shared" si="61"/>
        <v>41638</v>
      </c>
      <c r="T136" s="67">
        <f t="shared" si="61"/>
        <v>41728</v>
      </c>
      <c r="U136" s="67">
        <f>Y120</f>
        <v>41819</v>
      </c>
      <c r="V136" s="67">
        <f>Z120</f>
        <v>41911</v>
      </c>
      <c r="W136" s="67">
        <f>AA120</f>
        <v>42003</v>
      </c>
      <c r="X136" s="67">
        <f>AB120</f>
        <v>42093</v>
      </c>
      <c r="Y136" s="67">
        <f t="shared" si="61"/>
        <v>42184</v>
      </c>
      <c r="Z136" s="67">
        <f t="shared" si="61"/>
        <v>42276</v>
      </c>
      <c r="AA136" s="67">
        <f t="shared" si="61"/>
        <v>42368</v>
      </c>
      <c r="AB136" s="67">
        <f t="shared" si="61"/>
        <v>42459</v>
      </c>
      <c r="AC136" s="67">
        <f t="shared" si="61"/>
        <v>42550</v>
      </c>
      <c r="AD136" s="67">
        <f t="shared" si="61"/>
        <v>42642</v>
      </c>
      <c r="AE136" s="67">
        <f t="shared" si="61"/>
        <v>42734</v>
      </c>
      <c r="AF136" s="67">
        <f t="shared" si="61"/>
        <v>42824</v>
      </c>
      <c r="AG136" s="67">
        <f t="shared" si="61"/>
        <v>42915</v>
      </c>
      <c r="AH136" s="67">
        <f t="shared" si="61"/>
        <v>43007</v>
      </c>
      <c r="AI136" s="67">
        <f t="shared" si="61"/>
        <v>43099</v>
      </c>
      <c r="AJ136" s="67">
        <f>AN120</f>
        <v>0</v>
      </c>
      <c r="AK136" s="67">
        <f>AO120</f>
        <v>0</v>
      </c>
      <c r="AL136" s="67">
        <f>AP120</f>
        <v>0</v>
      </c>
      <c r="AM136" s="67">
        <f>AQ120</f>
        <v>0</v>
      </c>
    </row>
    <row r="137" spans="1:39" ht="15" customHeight="1" x14ac:dyDescent="0.2">
      <c r="A137" s="868"/>
      <c r="B137" s="860"/>
      <c r="C137" s="860"/>
      <c r="D137" s="860"/>
      <c r="E137" s="860"/>
      <c r="F137" s="860"/>
      <c r="G137" s="860"/>
      <c r="H137" s="860"/>
      <c r="I137" s="861"/>
      <c r="K137" s="110">
        <f>(-PMT(Parameters!$B$31/12,Parameters!$B$32,$E132))*Parameters!$B$32</f>
        <v>1194255.72641824</v>
      </c>
      <c r="L137" s="108">
        <f>(-PMT(Parameters!$B$31/12,Parameters!$B$32,$E132))*Parameters!$K$32</f>
        <v>49760.655267426671</v>
      </c>
      <c r="M137" s="108">
        <f>MIN(((-PMT(Parameters!$B$31/12,Parameters!$B$32,$E132))*3),L138)</f>
        <v>99521.310534853343</v>
      </c>
      <c r="N137" s="108">
        <f>MIN(((-PMT(Parameters!$B$31/12,Parameters!$B$32,$E132))*3),M138)</f>
        <v>99521.310534853343</v>
      </c>
      <c r="O137" s="108">
        <f>MIN(((-PMT(Parameters!$B$31/12,Parameters!$B$32,$E132))*3),N138)</f>
        <v>99521.310534853343</v>
      </c>
      <c r="P137" s="108">
        <f>MIN(((-PMT(Parameters!$B$31/12,Parameters!$B$32,$E132))*3),O138)</f>
        <v>99521.310534853343</v>
      </c>
      <c r="Q137" s="108">
        <f>MIN(((-PMT(Parameters!$B$31/12,Parameters!$B$32,$E132))*3),P138)</f>
        <v>99521.310534853343</v>
      </c>
      <c r="R137" s="108">
        <f>MIN(((-PMT(Parameters!$B$31/12,Parameters!$B$32,$E132))*3),Q138)</f>
        <v>99521.310534853343</v>
      </c>
      <c r="S137" s="108">
        <f>MIN(((-PMT(Parameters!$B$31/12,Parameters!$B$32,$E132))*3),R138)</f>
        <v>99521.310534853343</v>
      </c>
      <c r="T137" s="108">
        <f>MIN(((-PMT(Parameters!$B$31/12,Parameters!$B$32,$E132))*3),S138)</f>
        <v>99521.310534853343</v>
      </c>
      <c r="U137" s="108">
        <f>MIN(((-PMT(Parameters!$B$31/12,Parameters!$B$32,$E132))*3),T138)</f>
        <v>99521.310534853343</v>
      </c>
      <c r="V137" s="108">
        <f>MIN(((-PMT(Parameters!$B$31/12,Parameters!$B$32,$E132))*3),U138)</f>
        <v>99521.310534853343</v>
      </c>
      <c r="W137" s="108">
        <f>MIN(((-PMT(Parameters!$B$31/12,Parameters!$B$32,$E132))*3),V138)</f>
        <v>99521.310534853343</v>
      </c>
      <c r="X137" s="108">
        <f>MIN(((-PMT(Parameters!$B$31/12,Parameters!$B$32,$E132))*3),W138)</f>
        <v>49760.655267426249</v>
      </c>
      <c r="Y137" s="108">
        <f>MIN(((-PMT(Parameters!$B$31/12,Parameters!$B$32,$E132))*3),X138)</f>
        <v>0</v>
      </c>
      <c r="Z137" s="108">
        <f>MIN(((-PMT(Parameters!$B$31/12,Parameters!$B$32,$E132))*3),Y138)</f>
        <v>0</v>
      </c>
      <c r="AA137" s="108">
        <f>MIN(((-PMT(Parameters!$B$31/12,Parameters!$B$32,$E132))*3),Z138)</f>
        <v>0</v>
      </c>
      <c r="AB137" s="108">
        <f>MIN(((-PMT(Parameters!$B$31/12,Parameters!$B$32,$E132))*3),AA138)</f>
        <v>0</v>
      </c>
      <c r="AC137" s="108">
        <f>MIN(((-PMT(Parameters!$B$31/12,Parameters!$B$32,$E132))*3),AB138)</f>
        <v>0</v>
      </c>
      <c r="AD137" s="108">
        <f>MIN(((-PMT(Parameters!$B$31/12,Parameters!$B$32,$E132))*3),AC138)</f>
        <v>0</v>
      </c>
      <c r="AE137" s="108">
        <f>MIN(((-PMT(Parameters!$B$31/12,Parameters!$B$32,$E132))*3),AD138)</f>
        <v>0</v>
      </c>
      <c r="AF137" s="108">
        <f>MIN(((-PMT(Parameters!$B$31/12,Parameters!$B$32,$E132))*3),AE138)</f>
        <v>0</v>
      </c>
      <c r="AG137" s="108">
        <f>MIN(((-PMT(Parameters!$B$31/12,Parameters!$B$32,$E132))*3),AF138)</f>
        <v>0</v>
      </c>
      <c r="AH137" s="108">
        <f>MIN(((-PMT(Parameters!$B$31/12,Parameters!$B$32,$E132))*3),AG138)</f>
        <v>0</v>
      </c>
      <c r="AI137" s="108">
        <f>MIN(((-PMT(Parameters!$B$31/12,Parameters!$B$32,$E132))*3),AH138)</f>
        <v>0</v>
      </c>
      <c r="AJ137" s="108">
        <f>MIN(((-PMT(Parameters!$B$31/12,Parameters!$B$32,$E132))*3),AI138)</f>
        <v>0</v>
      </c>
      <c r="AK137" s="108">
        <f>MIN(((-PMT(Parameters!$B$31/12,Parameters!$B$32,$E132))*3),AJ138)</f>
        <v>0</v>
      </c>
      <c r="AL137" s="108">
        <f>MIN(((-PMT(Parameters!$B$31/12,Parameters!$B$32,$E132))*3),AK138)</f>
        <v>0</v>
      </c>
      <c r="AM137" s="108">
        <f>MIN(((-PMT(Parameters!$B$31/12,Parameters!$B$32,$E132))*3),AL138)</f>
        <v>0</v>
      </c>
    </row>
    <row r="138" spans="1:39" ht="15" customHeight="1" x14ac:dyDescent="0.2">
      <c r="A138" s="868"/>
      <c r="B138" s="860"/>
      <c r="C138" s="860"/>
      <c r="D138" s="860"/>
      <c r="E138" s="860"/>
      <c r="F138" s="860"/>
      <c r="G138" s="860"/>
      <c r="H138" s="860"/>
      <c r="I138" s="861"/>
      <c r="L138" s="109">
        <f>K137-L137</f>
        <v>1144495.0711508133</v>
      </c>
      <c r="M138" s="109">
        <f t="shared" ref="M138:AM138" si="62">L138-M137</f>
        <v>1044973.7606159599</v>
      </c>
      <c r="N138" s="109">
        <f t="shared" si="62"/>
        <v>945452.45008110651</v>
      </c>
      <c r="O138" s="109">
        <f t="shared" si="62"/>
        <v>845931.13954625314</v>
      </c>
      <c r="P138" s="109">
        <f t="shared" si="62"/>
        <v>746409.82901139976</v>
      </c>
      <c r="Q138" s="109">
        <f t="shared" si="62"/>
        <v>646888.51847654639</v>
      </c>
      <c r="R138" s="109">
        <f t="shared" si="62"/>
        <v>547367.20794169302</v>
      </c>
      <c r="S138" s="109">
        <f t="shared" si="62"/>
        <v>447845.89740683965</v>
      </c>
      <c r="T138" s="109">
        <f t="shared" si="62"/>
        <v>348324.58687198628</v>
      </c>
      <c r="U138" s="109">
        <f t="shared" si="62"/>
        <v>248803.27633713293</v>
      </c>
      <c r="V138" s="109">
        <f t="shared" si="62"/>
        <v>149281.96580227959</v>
      </c>
      <c r="W138" s="109">
        <f t="shared" si="62"/>
        <v>49760.655267426249</v>
      </c>
      <c r="X138" s="109">
        <f t="shared" si="62"/>
        <v>0</v>
      </c>
      <c r="Y138" s="109">
        <f>X138-Y137</f>
        <v>0</v>
      </c>
      <c r="Z138" s="109">
        <f t="shared" si="62"/>
        <v>0</v>
      </c>
      <c r="AA138" s="109">
        <f t="shared" si="62"/>
        <v>0</v>
      </c>
      <c r="AB138" s="109">
        <f t="shared" si="62"/>
        <v>0</v>
      </c>
      <c r="AC138" s="109">
        <f t="shared" si="62"/>
        <v>0</v>
      </c>
      <c r="AD138" s="109">
        <f t="shared" si="62"/>
        <v>0</v>
      </c>
      <c r="AE138" s="109">
        <f t="shared" si="62"/>
        <v>0</v>
      </c>
      <c r="AF138" s="109">
        <f t="shared" si="62"/>
        <v>0</v>
      </c>
      <c r="AG138" s="109">
        <f t="shared" si="62"/>
        <v>0</v>
      </c>
      <c r="AH138" s="109">
        <f t="shared" si="62"/>
        <v>0</v>
      </c>
      <c r="AI138" s="109">
        <f t="shared" si="62"/>
        <v>0</v>
      </c>
      <c r="AJ138" s="109">
        <f t="shared" si="62"/>
        <v>0</v>
      </c>
      <c r="AK138" s="109">
        <f t="shared" si="62"/>
        <v>0</v>
      </c>
      <c r="AL138" s="109">
        <f t="shared" si="62"/>
        <v>0</v>
      </c>
      <c r="AM138" s="109">
        <f t="shared" si="62"/>
        <v>0</v>
      </c>
    </row>
    <row r="139" spans="1:39" ht="15" customHeight="1" x14ac:dyDescent="0.2">
      <c r="A139" s="868"/>
      <c r="B139" s="860"/>
      <c r="C139" s="860"/>
      <c r="D139" s="860"/>
      <c r="E139" s="860"/>
      <c r="F139" s="860"/>
      <c r="G139" s="860"/>
      <c r="H139" s="860"/>
      <c r="I139" s="861"/>
      <c r="K139" s="110">
        <f>(-PMT(Parameters!$B$31/12,Parameters!$B$32,$F132))*Parameters!$B$32</f>
        <v>1194255.72641824</v>
      </c>
      <c r="L139" s="111"/>
      <c r="M139" s="108">
        <f>(-PMT(Parameters!$B$31/12,Parameters!$B$32,$F132))*Parameters!$K$32</f>
        <v>49760.655267426671</v>
      </c>
      <c r="N139" s="108">
        <f>MIN(((-PMT(Parameters!$B$31/12,Parameters!$B$32,$F132))*3),M140)</f>
        <v>99521.310534853343</v>
      </c>
      <c r="O139" s="108">
        <f>MIN(((-PMT(Parameters!$B$31/12,Parameters!$B$32,$F132))*3),N140)</f>
        <v>99521.310534853343</v>
      </c>
      <c r="P139" s="108">
        <f>MIN(((-PMT(Parameters!$B$31/12,Parameters!$B$32,$F132))*3),O140)</f>
        <v>99521.310534853343</v>
      </c>
      <c r="Q139" s="108">
        <f>MIN(((-PMT(Parameters!$B$31/12,Parameters!$B$32,$F132))*3),P140)</f>
        <v>99521.310534853343</v>
      </c>
      <c r="R139" s="108">
        <f>MIN(((-PMT(Parameters!$B$31/12,Parameters!$B$32,$F132))*3),Q140)</f>
        <v>99521.310534853343</v>
      </c>
      <c r="S139" s="108">
        <f>MIN(((-PMT(Parameters!$B$31/12,Parameters!$B$32,$F132))*3),R140)</f>
        <v>99521.310534853343</v>
      </c>
      <c r="T139" s="108">
        <f>MIN(((-PMT(Parameters!$B$31/12,Parameters!$B$32,$F132))*3),S140)</f>
        <v>99521.310534853343</v>
      </c>
      <c r="U139" s="108">
        <f>MIN(((-PMT(Parameters!$B$31/12,Parameters!$B$32,$F132))*3),T140)</f>
        <v>99521.310534853343</v>
      </c>
      <c r="V139" s="108">
        <f>MIN(((-PMT(Parameters!$B$31/12,Parameters!$B$32,$F132))*3),U140)</f>
        <v>99521.310534853343</v>
      </c>
      <c r="W139" s="108">
        <f>MIN(((-PMT(Parameters!$B$31/12,Parameters!$B$32,$F132))*3),V140)</f>
        <v>99521.310534853343</v>
      </c>
      <c r="X139" s="108">
        <f>MIN(((-PMT(Parameters!$B$31/12,Parameters!$B$32,$F132))*3),W140)</f>
        <v>99521.310534853343</v>
      </c>
      <c r="Y139" s="108">
        <f>MIN(((-PMT(Parameters!$B$31/12,Parameters!$B$32,$F132))*3),X140)</f>
        <v>49760.655267426249</v>
      </c>
      <c r="Z139" s="108">
        <f>MIN(((-PMT(Parameters!$B$31/12,Parameters!$B$32,$F132))*3),Y140)</f>
        <v>0</v>
      </c>
      <c r="AA139" s="108">
        <f>MIN(((-PMT(Parameters!$B$31/12,Parameters!$B$32,$F132))*3),Z140)</f>
        <v>0</v>
      </c>
      <c r="AB139" s="108">
        <f>MIN(((-PMT(Parameters!$B$31/12,Parameters!$B$32,$F132))*3),AA140)</f>
        <v>0</v>
      </c>
      <c r="AC139" s="108">
        <f>MIN(((-PMT(Parameters!$B$31/12,Parameters!$B$32,$F132))*3),AB140)</f>
        <v>0</v>
      </c>
      <c r="AD139" s="108">
        <f>MIN(((-PMT(Parameters!$B$31/12,Parameters!$B$32,$F132))*3),AC140)</f>
        <v>0</v>
      </c>
      <c r="AE139" s="108">
        <f>MIN(((-PMT(Parameters!$B$31/12,Parameters!$B$32,$F132))*3),AD140)</f>
        <v>0</v>
      </c>
      <c r="AF139" s="108">
        <f>MIN(((-PMT(Parameters!$B$31/12,Parameters!$B$32,$F132))*3),AE140)</f>
        <v>0</v>
      </c>
      <c r="AG139" s="108">
        <f>MIN(((-PMT(Parameters!$B$31/12,Parameters!$B$32,$F132))*3),AF140)</f>
        <v>0</v>
      </c>
      <c r="AH139" s="108">
        <f>MIN(((-PMT(Parameters!$B$31/12,Parameters!$B$32,$F132))*3),AG140)</f>
        <v>0</v>
      </c>
      <c r="AI139" s="108">
        <f>MIN(((-PMT(Parameters!$B$31/12,Parameters!$B$32,$F132))*3),AH140)</f>
        <v>0</v>
      </c>
      <c r="AJ139" s="108">
        <f>MIN(((-PMT(Parameters!$B$31/12,Parameters!$B$32,$F132))*3),AI140)</f>
        <v>0</v>
      </c>
      <c r="AK139" s="108">
        <f>MIN(((-PMT(Parameters!$B$31/12,Parameters!$B$32,$F132))*3),AJ140)</f>
        <v>0</v>
      </c>
      <c r="AL139" s="108">
        <f>MIN(((-PMT(Parameters!$B$31/12,Parameters!$B$32,$F132))*3),AK140)</f>
        <v>0</v>
      </c>
      <c r="AM139" s="108">
        <f>MIN(((-PMT(Parameters!$B$31/12,Parameters!$B$32,$F132))*3),AL140)</f>
        <v>0</v>
      </c>
    </row>
    <row r="140" spans="1:39" ht="15" customHeight="1" x14ac:dyDescent="0.2">
      <c r="A140" s="868"/>
      <c r="B140" s="860"/>
      <c r="C140" s="860"/>
      <c r="D140" s="860"/>
      <c r="E140" s="860"/>
      <c r="F140" s="860"/>
      <c r="G140" s="860"/>
      <c r="H140" s="860"/>
      <c r="I140" s="861"/>
      <c r="L140" s="109">
        <f>K139</f>
        <v>1194255.72641824</v>
      </c>
      <c r="M140" s="109">
        <f t="shared" ref="M140:AM140" si="63">L140-M139</f>
        <v>1144495.0711508133</v>
      </c>
      <c r="N140" s="109">
        <f t="shared" si="63"/>
        <v>1044973.7606159599</v>
      </c>
      <c r="O140" s="109">
        <f t="shared" si="63"/>
        <v>945452.45008110651</v>
      </c>
      <c r="P140" s="109">
        <f t="shared" si="63"/>
        <v>845931.13954625314</v>
      </c>
      <c r="Q140" s="109">
        <f t="shared" si="63"/>
        <v>746409.82901139976</v>
      </c>
      <c r="R140" s="109">
        <f t="shared" si="63"/>
        <v>646888.51847654639</v>
      </c>
      <c r="S140" s="109">
        <f t="shared" si="63"/>
        <v>547367.20794169302</v>
      </c>
      <c r="T140" s="109">
        <f t="shared" si="63"/>
        <v>447845.89740683965</v>
      </c>
      <c r="U140" s="109">
        <f t="shared" si="63"/>
        <v>348324.58687198628</v>
      </c>
      <c r="V140" s="109">
        <f t="shared" si="63"/>
        <v>248803.27633713293</v>
      </c>
      <c r="W140" s="109">
        <f t="shared" si="63"/>
        <v>149281.96580227959</v>
      </c>
      <c r="X140" s="109">
        <f t="shared" si="63"/>
        <v>49760.655267426249</v>
      </c>
      <c r="Y140" s="109">
        <f>X140-Y139</f>
        <v>0</v>
      </c>
      <c r="Z140" s="109">
        <f t="shared" si="63"/>
        <v>0</v>
      </c>
      <c r="AA140" s="109">
        <f t="shared" si="63"/>
        <v>0</v>
      </c>
      <c r="AB140" s="109">
        <f t="shared" si="63"/>
        <v>0</v>
      </c>
      <c r="AC140" s="109">
        <f t="shared" si="63"/>
        <v>0</v>
      </c>
      <c r="AD140" s="109">
        <f t="shared" si="63"/>
        <v>0</v>
      </c>
      <c r="AE140" s="109">
        <f t="shared" si="63"/>
        <v>0</v>
      </c>
      <c r="AF140" s="109">
        <f t="shared" si="63"/>
        <v>0</v>
      </c>
      <c r="AG140" s="109">
        <f t="shared" si="63"/>
        <v>0</v>
      </c>
      <c r="AH140" s="109">
        <f t="shared" si="63"/>
        <v>0</v>
      </c>
      <c r="AI140" s="109">
        <f t="shared" si="63"/>
        <v>0</v>
      </c>
      <c r="AJ140" s="109">
        <f t="shared" si="63"/>
        <v>0</v>
      </c>
      <c r="AK140" s="109">
        <f t="shared" si="63"/>
        <v>0</v>
      </c>
      <c r="AL140" s="109">
        <f t="shared" si="63"/>
        <v>0</v>
      </c>
      <c r="AM140" s="109">
        <f t="shared" si="63"/>
        <v>0</v>
      </c>
    </row>
    <row r="141" spans="1:39" ht="15" customHeight="1" x14ac:dyDescent="0.2">
      <c r="A141" s="868"/>
      <c r="B141" s="860"/>
      <c r="C141" s="860"/>
      <c r="D141" s="860"/>
      <c r="E141" s="860"/>
      <c r="F141" s="860"/>
      <c r="G141" s="860"/>
      <c r="H141" s="860"/>
      <c r="I141" s="861"/>
      <c r="K141" s="110">
        <f>(-PMT(Parameters!$B$31/12,Parameters!$B$32,$G132))*Parameters!$B$32</f>
        <v>1194255.72641824</v>
      </c>
      <c r="L141" s="111"/>
      <c r="M141" s="111"/>
      <c r="N141" s="108">
        <f>(-PMT(Parameters!$B$31/12,Parameters!$B$32,$G132))*Parameters!$K$32</f>
        <v>49760.655267426671</v>
      </c>
      <c r="O141" s="108">
        <f>MIN(((-PMT(Parameters!$B$31/12,Parameters!$B$32,$G132))*3),N142)</f>
        <v>99521.310534853343</v>
      </c>
      <c r="P141" s="108">
        <f>MIN(((-PMT(Parameters!$B$31/12,Parameters!$B$32,$G132))*3),O142)</f>
        <v>99521.310534853343</v>
      </c>
      <c r="Q141" s="108">
        <f>MIN(((-PMT(Parameters!$B$31/12,Parameters!$B$32,$G132))*3),P142)</f>
        <v>99521.310534853343</v>
      </c>
      <c r="R141" s="108">
        <f>MIN(((-PMT(Parameters!$B$31/12,Parameters!$B$32,$G132))*3),Q142)</f>
        <v>99521.310534853343</v>
      </c>
      <c r="S141" s="108">
        <f>MIN(((-PMT(Parameters!$B$31/12,Parameters!$B$32,$G132))*3),R142)</f>
        <v>99521.310534853343</v>
      </c>
      <c r="T141" s="108">
        <f>MIN(((-PMT(Parameters!$B$31/12,Parameters!$B$32,$G132))*3),S142)</f>
        <v>99521.310534853343</v>
      </c>
      <c r="U141" s="108">
        <f>MIN(((-PMT(Parameters!$B$31/12,Parameters!$B$32,$G132))*3),T142)</f>
        <v>99521.310534853343</v>
      </c>
      <c r="V141" s="108">
        <f>MIN(((-PMT(Parameters!$B$31/12,Parameters!$B$32,$G132))*3),U142)</f>
        <v>99521.310534853343</v>
      </c>
      <c r="W141" s="108">
        <f>MIN(((-PMT(Parameters!$B$31/12,Parameters!$B$32,$G132))*3),V142)</f>
        <v>99521.310534853343</v>
      </c>
      <c r="X141" s="108">
        <f>MIN(((-PMT(Parameters!$B$31/12,Parameters!$B$32,$G132))*3),W142)</f>
        <v>99521.310534853343</v>
      </c>
      <c r="Y141" s="108">
        <f>MIN(((-PMT(Parameters!$B$31/12,Parameters!$B$32,$G132))*3),X142)</f>
        <v>99521.310534853343</v>
      </c>
      <c r="Z141" s="108">
        <f>MIN(((-PMT(Parameters!$B$31/12,Parameters!$B$32,$G132))*3),Y142)</f>
        <v>49760.655267426249</v>
      </c>
      <c r="AA141" s="108">
        <f>MIN(((-PMT(Parameters!$B$31/12,Parameters!$B$32,$G132))*3),Z142)</f>
        <v>0</v>
      </c>
      <c r="AB141" s="108">
        <f>MIN(((-PMT(Parameters!$B$31/12,Parameters!$B$32,$G132))*3),AA142)</f>
        <v>0</v>
      </c>
      <c r="AC141" s="108">
        <f>MIN(((-PMT(Parameters!$B$31/12,Parameters!$B$32,$G132))*3),AB142)</f>
        <v>0</v>
      </c>
      <c r="AD141" s="108">
        <f>MIN(((-PMT(Parameters!$B$31/12,Parameters!$B$32,$G132))*3),AC142)</f>
        <v>0</v>
      </c>
      <c r="AE141" s="108">
        <f>MIN(((-PMT(Parameters!$B$31/12,Parameters!$B$32,$G132))*3),AD142)</f>
        <v>0</v>
      </c>
      <c r="AF141" s="108">
        <f>MIN(((-PMT(Parameters!$B$31/12,Parameters!$B$32,$G132))*3),AE142)</f>
        <v>0</v>
      </c>
      <c r="AG141" s="108">
        <f>MIN(((-PMT(Parameters!$B$31/12,Parameters!$B$32,$G132))*3),AF142)</f>
        <v>0</v>
      </c>
      <c r="AH141" s="108">
        <f>MIN(((-PMT(Parameters!$B$31/12,Parameters!$B$32,$G132))*3),AG142)</f>
        <v>0</v>
      </c>
      <c r="AI141" s="108">
        <f>MIN(((-PMT(Parameters!$B$31/12,Parameters!$B$32,$G132))*3),AH142)</f>
        <v>0</v>
      </c>
      <c r="AJ141" s="108">
        <f>MIN(((-PMT(Parameters!$B$31/12,Parameters!$B$32,$G132))*3),AI142)</f>
        <v>0</v>
      </c>
      <c r="AK141" s="108">
        <f>MIN(((-PMT(Parameters!$B$31/12,Parameters!$B$32,$G132))*3),AJ142)</f>
        <v>0</v>
      </c>
      <c r="AL141" s="108">
        <f>MIN(((-PMT(Parameters!$B$31/12,Parameters!$B$32,$G132))*3),AK142)</f>
        <v>0</v>
      </c>
      <c r="AM141" s="108">
        <f>MIN(((-PMT(Parameters!$B$31/12,Parameters!$B$32,$G132))*3),AL142)</f>
        <v>0</v>
      </c>
    </row>
    <row r="142" spans="1:39" ht="15" customHeight="1" x14ac:dyDescent="0.2">
      <c r="A142" s="868"/>
      <c r="B142" s="860"/>
      <c r="C142" s="860"/>
      <c r="D142" s="860"/>
      <c r="E142" s="860"/>
      <c r="F142" s="860"/>
      <c r="G142" s="860"/>
      <c r="H142" s="860"/>
      <c r="I142" s="861"/>
      <c r="L142" s="109">
        <f>K141</f>
        <v>1194255.72641824</v>
      </c>
      <c r="M142" s="109">
        <f>L142</f>
        <v>1194255.72641824</v>
      </c>
      <c r="N142" s="109">
        <f t="shared" ref="N142:AM142" si="64">M142-N141</f>
        <v>1144495.0711508133</v>
      </c>
      <c r="O142" s="109">
        <f t="shared" si="64"/>
        <v>1044973.7606159599</v>
      </c>
      <c r="P142" s="109">
        <f t="shared" si="64"/>
        <v>945452.45008110651</v>
      </c>
      <c r="Q142" s="109">
        <f t="shared" si="64"/>
        <v>845931.13954625314</v>
      </c>
      <c r="R142" s="109">
        <f t="shared" si="64"/>
        <v>746409.82901139976</v>
      </c>
      <c r="S142" s="109">
        <f t="shared" si="64"/>
        <v>646888.51847654639</v>
      </c>
      <c r="T142" s="109">
        <f t="shared" si="64"/>
        <v>547367.20794169302</v>
      </c>
      <c r="U142" s="109">
        <f t="shared" si="64"/>
        <v>447845.89740683965</v>
      </c>
      <c r="V142" s="109">
        <f t="shared" si="64"/>
        <v>348324.58687198628</v>
      </c>
      <c r="W142" s="109">
        <f t="shared" si="64"/>
        <v>248803.27633713293</v>
      </c>
      <c r="X142" s="109">
        <f t="shared" si="64"/>
        <v>149281.96580227959</v>
      </c>
      <c r="Y142" s="109">
        <f>X142-Y141</f>
        <v>49760.655267426249</v>
      </c>
      <c r="Z142" s="109">
        <f t="shared" si="64"/>
        <v>0</v>
      </c>
      <c r="AA142" s="109">
        <f t="shared" si="64"/>
        <v>0</v>
      </c>
      <c r="AB142" s="109">
        <f t="shared" si="64"/>
        <v>0</v>
      </c>
      <c r="AC142" s="109">
        <f t="shared" si="64"/>
        <v>0</v>
      </c>
      <c r="AD142" s="109">
        <f t="shared" si="64"/>
        <v>0</v>
      </c>
      <c r="AE142" s="109">
        <f t="shared" si="64"/>
        <v>0</v>
      </c>
      <c r="AF142" s="109">
        <f t="shared" si="64"/>
        <v>0</v>
      </c>
      <c r="AG142" s="109">
        <f t="shared" si="64"/>
        <v>0</v>
      </c>
      <c r="AH142" s="109">
        <f t="shared" si="64"/>
        <v>0</v>
      </c>
      <c r="AI142" s="109">
        <f t="shared" si="64"/>
        <v>0</v>
      </c>
      <c r="AJ142" s="109">
        <f t="shared" si="64"/>
        <v>0</v>
      </c>
      <c r="AK142" s="109">
        <f t="shared" si="64"/>
        <v>0</v>
      </c>
      <c r="AL142" s="109">
        <f t="shared" si="64"/>
        <v>0</v>
      </c>
      <c r="AM142" s="109">
        <f t="shared" si="64"/>
        <v>0</v>
      </c>
    </row>
    <row r="143" spans="1:39" ht="15" customHeight="1" x14ac:dyDescent="0.2">
      <c r="A143" s="868"/>
      <c r="B143" s="860"/>
      <c r="C143" s="860"/>
      <c r="D143" s="860"/>
      <c r="E143" s="860"/>
      <c r="F143" s="860"/>
      <c r="G143" s="860"/>
      <c r="H143" s="860"/>
      <c r="I143" s="861"/>
      <c r="K143" s="110">
        <f>(-PMT(Parameters!$B$31/12,Parameters!$B$32,$H132))*Parameters!$B$32</f>
        <v>1223383.9148674654</v>
      </c>
      <c r="L143" s="111"/>
      <c r="M143" s="111"/>
      <c r="N143" s="111"/>
      <c r="O143" s="108">
        <f>(-PMT(Parameters!$B$31/12,Parameters!$B$32,$H132))*Parameters!$K$32</f>
        <v>50974.329786144393</v>
      </c>
      <c r="P143" s="108">
        <f>MIN(((-PMT(Parameters!$B$31/12,Parameters!$B$32,$H132))*3),O144)</f>
        <v>101948.65957228879</v>
      </c>
      <c r="Q143" s="108">
        <f>MIN(((-PMT(Parameters!$B$31/12,Parameters!$B$32,$H132))*3),P144)</f>
        <v>101948.65957228879</v>
      </c>
      <c r="R143" s="108">
        <f>MIN(((-PMT(Parameters!$B$31/12,Parameters!$B$32,$H132))*3),Q144)</f>
        <v>101948.65957228879</v>
      </c>
      <c r="S143" s="108">
        <f>MIN(((-PMT(Parameters!$B$31/12,Parameters!$B$32,$H132))*3),R144)</f>
        <v>101948.65957228879</v>
      </c>
      <c r="T143" s="108">
        <f>MIN(((-PMT(Parameters!$B$31/12,Parameters!$B$32,$H132))*3),S144)</f>
        <v>101948.65957228879</v>
      </c>
      <c r="U143" s="108">
        <f>MIN(((-PMT(Parameters!$B$31/12,Parameters!$B$32,$H132))*3),T144)</f>
        <v>101948.65957228879</v>
      </c>
      <c r="V143" s="108">
        <f>MIN(((-PMT(Parameters!$B$31/12,Parameters!$B$32,$H132))*3),U144)</f>
        <v>101948.65957228879</v>
      </c>
      <c r="W143" s="108">
        <f>MIN(((-PMT(Parameters!$B$31/12,Parameters!$B$32,$H132))*3),V144)</f>
        <v>101948.65957228879</v>
      </c>
      <c r="X143" s="108">
        <f>MIN(((-PMT(Parameters!$B$31/12,Parameters!$B$32,$H132))*3),W144)</f>
        <v>101948.65957228879</v>
      </c>
      <c r="Y143" s="108">
        <f>MIN(((-PMT(Parameters!$B$31/12,Parameters!$B$32,$H132))*3),X144)</f>
        <v>101948.65957228879</v>
      </c>
      <c r="Z143" s="108">
        <f>MIN(((-PMT(Parameters!$B$31/12,Parameters!$B$32,$H132))*3),Y144)</f>
        <v>101948.65957228879</v>
      </c>
      <c r="AA143" s="108">
        <f>MIN(((-PMT(Parameters!$B$31/12,Parameters!$B$32,$H132))*3),Z144)</f>
        <v>50974.329786144386</v>
      </c>
      <c r="AB143" s="108">
        <f>MIN(((-PMT(Parameters!$B$31/12,Parameters!$B$32,$H132))*3),AA144)</f>
        <v>0</v>
      </c>
      <c r="AC143" s="108">
        <f>MIN(((-PMT(Parameters!$B$31/12,Parameters!$B$32,$H132))*3),AB144)</f>
        <v>0</v>
      </c>
      <c r="AD143" s="108">
        <f>MIN(((-PMT(Parameters!$B$31/12,Parameters!$B$32,$H132))*3),AC144)</f>
        <v>0</v>
      </c>
      <c r="AE143" s="108">
        <f>MIN(((-PMT(Parameters!$B$31/12,Parameters!$B$32,$H132))*3),AD144)</f>
        <v>0</v>
      </c>
      <c r="AF143" s="108">
        <f>MIN(((-PMT(Parameters!$B$31/12,Parameters!$B$32,$H132))*3),AE144)</f>
        <v>0</v>
      </c>
      <c r="AG143" s="108">
        <f>MIN(((-PMT(Parameters!$B$31/12,Parameters!$B$32,$H132))*3),AF144)</f>
        <v>0</v>
      </c>
      <c r="AH143" s="108">
        <f>MIN(((-PMT(Parameters!$B$31/12,Parameters!$B$32,$H132))*3),AG144)</f>
        <v>0</v>
      </c>
      <c r="AI143" s="108">
        <f>MIN(((-PMT(Parameters!$B$31/12,Parameters!$B$32,$H132))*3),AH144)</f>
        <v>0</v>
      </c>
      <c r="AJ143" s="108">
        <f>MIN(((-PMT(Parameters!$B$31/12,Parameters!$B$32,$H132))*3),AI144)</f>
        <v>0</v>
      </c>
      <c r="AK143" s="108">
        <f>MIN(((-PMT(Parameters!$B$31/12,Parameters!$B$32,$H132))*3),AJ144)</f>
        <v>0</v>
      </c>
      <c r="AL143" s="108">
        <f>MIN(((-PMT(Parameters!$B$31/12,Parameters!$B$32,$H132))*3),AK144)</f>
        <v>0</v>
      </c>
      <c r="AM143" s="108">
        <f>MIN(((-PMT(Parameters!$B$31/12,Parameters!$B$32,$H132))*3),AL144)</f>
        <v>0</v>
      </c>
    </row>
    <row r="144" spans="1:39" ht="15" customHeight="1" x14ac:dyDescent="0.2">
      <c r="A144" s="868"/>
      <c r="B144" s="860"/>
      <c r="C144" s="860"/>
      <c r="D144" s="860"/>
      <c r="E144" s="860"/>
      <c r="F144" s="860"/>
      <c r="G144" s="860"/>
      <c r="H144" s="860"/>
      <c r="I144" s="861"/>
      <c r="L144" s="109">
        <f>K143</f>
        <v>1223383.9148674654</v>
      </c>
      <c r="M144" s="109">
        <f>L144</f>
        <v>1223383.9148674654</v>
      </c>
      <c r="N144" s="109">
        <f t="shared" ref="N144:AM144" si="65">M144-N143</f>
        <v>1223383.9148674654</v>
      </c>
      <c r="O144" s="109">
        <f t="shared" si="65"/>
        <v>1172409.585081321</v>
      </c>
      <c r="P144" s="109">
        <f t="shared" si="65"/>
        <v>1070460.9255090321</v>
      </c>
      <c r="Q144" s="109">
        <f t="shared" si="65"/>
        <v>968512.26593674335</v>
      </c>
      <c r="R144" s="109">
        <f t="shared" si="65"/>
        <v>866563.60636445461</v>
      </c>
      <c r="S144" s="109">
        <f t="shared" si="65"/>
        <v>764614.94679216587</v>
      </c>
      <c r="T144" s="109">
        <f t="shared" si="65"/>
        <v>662666.28721987712</v>
      </c>
      <c r="U144" s="109">
        <f t="shared" si="65"/>
        <v>560717.62764758838</v>
      </c>
      <c r="V144" s="109">
        <f t="shared" si="65"/>
        <v>458768.96807529958</v>
      </c>
      <c r="W144" s="109">
        <f t="shared" si="65"/>
        <v>356820.30850301078</v>
      </c>
      <c r="X144" s="109">
        <f t="shared" si="65"/>
        <v>254871.64893072197</v>
      </c>
      <c r="Y144" s="109">
        <f>X144-Y143</f>
        <v>152922.98935843317</v>
      </c>
      <c r="Z144" s="109">
        <f t="shared" si="65"/>
        <v>50974.329786144386</v>
      </c>
      <c r="AA144" s="109">
        <f t="shared" si="65"/>
        <v>0</v>
      </c>
      <c r="AB144" s="109">
        <f t="shared" si="65"/>
        <v>0</v>
      </c>
      <c r="AC144" s="109">
        <f t="shared" si="65"/>
        <v>0</v>
      </c>
      <c r="AD144" s="109">
        <f t="shared" si="65"/>
        <v>0</v>
      </c>
      <c r="AE144" s="109">
        <f t="shared" si="65"/>
        <v>0</v>
      </c>
      <c r="AF144" s="109">
        <f t="shared" si="65"/>
        <v>0</v>
      </c>
      <c r="AG144" s="109">
        <f t="shared" si="65"/>
        <v>0</v>
      </c>
      <c r="AH144" s="109">
        <f t="shared" si="65"/>
        <v>0</v>
      </c>
      <c r="AI144" s="109">
        <f t="shared" si="65"/>
        <v>0</v>
      </c>
      <c r="AJ144" s="109">
        <f t="shared" si="65"/>
        <v>0</v>
      </c>
      <c r="AK144" s="109">
        <f t="shared" si="65"/>
        <v>0</v>
      </c>
      <c r="AL144" s="109">
        <f t="shared" si="65"/>
        <v>0</v>
      </c>
      <c r="AM144" s="109">
        <f t="shared" si="65"/>
        <v>0</v>
      </c>
    </row>
    <row r="145" spans="1:55" ht="15" customHeight="1" x14ac:dyDescent="0.2">
      <c r="A145" s="868"/>
      <c r="B145" s="860"/>
      <c r="C145" s="860"/>
      <c r="D145" s="860"/>
      <c r="E145" s="860"/>
      <c r="F145" s="860"/>
      <c r="G145" s="860"/>
      <c r="H145" s="860"/>
      <c r="I145" s="861"/>
      <c r="L145" s="109">
        <f>L137+L139+L141+L143</f>
        <v>49760.655267426671</v>
      </c>
      <c r="M145" s="109">
        <f t="shared" ref="M145:AM145" si="66">M137+M139+M141+M143</f>
        <v>149281.96580228</v>
      </c>
      <c r="N145" s="109">
        <f t="shared" si="66"/>
        <v>248803.27633713337</v>
      </c>
      <c r="O145" s="109">
        <f t="shared" si="66"/>
        <v>349538.26139070437</v>
      </c>
      <c r="P145" s="109">
        <f t="shared" si="66"/>
        <v>400512.5911768488</v>
      </c>
      <c r="Q145" s="109">
        <f t="shared" si="66"/>
        <v>400512.5911768488</v>
      </c>
      <c r="R145" s="109">
        <f t="shared" si="66"/>
        <v>400512.5911768488</v>
      </c>
      <c r="S145" s="109">
        <f t="shared" si="66"/>
        <v>400512.5911768488</v>
      </c>
      <c r="T145" s="109">
        <f t="shared" si="66"/>
        <v>400512.5911768488</v>
      </c>
      <c r="U145" s="109">
        <f t="shared" si="66"/>
        <v>400512.5911768488</v>
      </c>
      <c r="V145" s="109">
        <f t="shared" si="66"/>
        <v>400512.5911768488</v>
      </c>
      <c r="W145" s="109">
        <f t="shared" si="66"/>
        <v>400512.5911768488</v>
      </c>
      <c r="X145" s="109">
        <f t="shared" si="66"/>
        <v>350751.93590942171</v>
      </c>
      <c r="Y145" s="109">
        <f t="shared" si="66"/>
        <v>251230.62537456839</v>
      </c>
      <c r="Z145" s="109">
        <f t="shared" si="66"/>
        <v>151709.31483971502</v>
      </c>
      <c r="AA145" s="109">
        <f t="shared" si="66"/>
        <v>50974.329786144386</v>
      </c>
      <c r="AB145" s="109">
        <f t="shared" si="66"/>
        <v>0</v>
      </c>
      <c r="AC145" s="109">
        <f t="shared" si="66"/>
        <v>0</v>
      </c>
      <c r="AD145" s="109">
        <f t="shared" si="66"/>
        <v>0</v>
      </c>
      <c r="AE145" s="109">
        <f t="shared" si="66"/>
        <v>0</v>
      </c>
      <c r="AF145" s="109">
        <f t="shared" si="66"/>
        <v>0</v>
      </c>
      <c r="AG145" s="109">
        <f t="shared" si="66"/>
        <v>0</v>
      </c>
      <c r="AH145" s="109">
        <f t="shared" si="66"/>
        <v>0</v>
      </c>
      <c r="AI145" s="109">
        <f t="shared" si="66"/>
        <v>0</v>
      </c>
      <c r="AJ145" s="109">
        <f t="shared" si="66"/>
        <v>0</v>
      </c>
      <c r="AK145" s="109">
        <f t="shared" si="66"/>
        <v>0</v>
      </c>
      <c r="AL145" s="109">
        <f t="shared" si="66"/>
        <v>0</v>
      </c>
      <c r="AM145" s="109">
        <f t="shared" si="66"/>
        <v>0</v>
      </c>
    </row>
    <row r="146" spans="1:55" ht="15" customHeight="1" thickBot="1" x14ac:dyDescent="0.25">
      <c r="A146" s="869"/>
      <c r="B146" s="862"/>
      <c r="C146" s="862"/>
      <c r="D146" s="862"/>
      <c r="E146" s="862"/>
      <c r="F146" s="862"/>
      <c r="G146" s="862"/>
      <c r="H146" s="862"/>
      <c r="I146" s="863"/>
      <c r="L146"/>
      <c r="M146"/>
      <c r="N146"/>
      <c r="O146"/>
      <c r="P146"/>
      <c r="Q146"/>
      <c r="R146"/>
      <c r="S146"/>
      <c r="T146"/>
      <c r="U146"/>
      <c r="V146"/>
      <c r="W146"/>
      <c r="X146"/>
      <c r="Y146"/>
      <c r="Z146"/>
      <c r="AA146"/>
      <c r="AB146"/>
      <c r="AC146"/>
      <c r="AD146"/>
      <c r="AE146"/>
      <c r="AF146"/>
      <c r="AG146"/>
      <c r="AH146"/>
      <c r="AI146"/>
      <c r="AJ146"/>
      <c r="AK146"/>
      <c r="AL146"/>
      <c r="AM146"/>
    </row>
    <row r="147" spans="1:55" ht="13.2" thickBot="1" x14ac:dyDescent="0.25"/>
    <row r="148" spans="1:55" x14ac:dyDescent="0.2">
      <c r="A148" s="908" t="s">
        <v>376</v>
      </c>
      <c r="B148" s="909"/>
      <c r="C148" s="909"/>
      <c r="D148" s="909"/>
      <c r="E148" s="909"/>
      <c r="F148" s="909"/>
      <c r="G148" s="909"/>
      <c r="H148" s="909"/>
      <c r="I148" s="910"/>
    </row>
    <row r="149" spans="1:55" ht="21" customHeight="1" thickBot="1" x14ac:dyDescent="0.25">
      <c r="A149" s="911"/>
      <c r="B149" s="912"/>
      <c r="C149" s="912"/>
      <c r="D149" s="912"/>
      <c r="E149" s="912"/>
      <c r="F149" s="912"/>
      <c r="G149" s="912"/>
      <c r="H149" s="912"/>
      <c r="I149" s="913"/>
    </row>
    <row r="150" spans="1:55" ht="16.05" customHeight="1" x14ac:dyDescent="0.2">
      <c r="A150" s="889">
        <v>2012</v>
      </c>
      <c r="B150" s="890"/>
      <c r="C150" s="893" t="s">
        <v>198</v>
      </c>
      <c r="D150" s="894"/>
      <c r="E150" s="864" t="s">
        <v>406</v>
      </c>
      <c r="F150" s="883" t="s">
        <v>407</v>
      </c>
      <c r="G150" s="883" t="s">
        <v>408</v>
      </c>
      <c r="H150" s="885" t="s">
        <v>409</v>
      </c>
      <c r="I150" s="887" t="s">
        <v>498</v>
      </c>
      <c r="L150" s="85">
        <f t="shared" ref="L150:BC150" si="67">L$3</f>
        <v>39082</v>
      </c>
      <c r="M150" s="85">
        <f t="shared" si="67"/>
        <v>39172</v>
      </c>
      <c r="N150" s="85">
        <f t="shared" si="67"/>
        <v>39263</v>
      </c>
      <c r="O150" s="85">
        <f t="shared" si="67"/>
        <v>39355</v>
      </c>
      <c r="P150" s="85">
        <f t="shared" si="67"/>
        <v>39447</v>
      </c>
      <c r="Q150" s="85">
        <f t="shared" si="67"/>
        <v>39538</v>
      </c>
      <c r="R150" s="85">
        <f t="shared" si="67"/>
        <v>39629</v>
      </c>
      <c r="S150" s="85">
        <f t="shared" si="67"/>
        <v>39721</v>
      </c>
      <c r="T150" s="85">
        <f t="shared" si="67"/>
        <v>39813</v>
      </c>
      <c r="U150" s="85">
        <f t="shared" si="67"/>
        <v>39903</v>
      </c>
      <c r="V150" s="85">
        <f t="shared" si="67"/>
        <v>39994</v>
      </c>
      <c r="W150" s="85">
        <f t="shared" si="67"/>
        <v>40086</v>
      </c>
      <c r="X150" s="85">
        <f t="shared" si="67"/>
        <v>40178</v>
      </c>
      <c r="Y150" s="85">
        <f t="shared" si="67"/>
        <v>40268</v>
      </c>
      <c r="Z150" s="85">
        <f t="shared" si="67"/>
        <v>40359</v>
      </c>
      <c r="AA150" s="85">
        <f t="shared" si="67"/>
        <v>40451</v>
      </c>
      <c r="AB150" s="85">
        <f t="shared" si="67"/>
        <v>40543</v>
      </c>
      <c r="AC150" s="85">
        <f t="shared" si="67"/>
        <v>40633</v>
      </c>
      <c r="AD150" s="85">
        <f t="shared" si="67"/>
        <v>40724</v>
      </c>
      <c r="AE150" s="85">
        <f t="shared" si="67"/>
        <v>40816</v>
      </c>
      <c r="AF150" s="85">
        <f t="shared" si="67"/>
        <v>40908</v>
      </c>
      <c r="AG150" s="85">
        <f t="shared" si="67"/>
        <v>40999</v>
      </c>
      <c r="AH150" s="85">
        <f t="shared" si="67"/>
        <v>41090</v>
      </c>
      <c r="AI150" s="85">
        <f t="shared" si="67"/>
        <v>41182</v>
      </c>
      <c r="AJ150" s="85">
        <f t="shared" si="67"/>
        <v>41274</v>
      </c>
      <c r="AK150" s="85">
        <f t="shared" si="67"/>
        <v>41364</v>
      </c>
      <c r="AL150" s="85">
        <f t="shared" si="67"/>
        <v>41455</v>
      </c>
      <c r="AM150" s="85">
        <f t="shared" si="67"/>
        <v>41547</v>
      </c>
      <c r="AN150" s="85">
        <f t="shared" si="67"/>
        <v>41639</v>
      </c>
      <c r="AO150" s="85">
        <f t="shared" si="67"/>
        <v>41729</v>
      </c>
      <c r="AP150" s="85">
        <f t="shared" si="67"/>
        <v>41820</v>
      </c>
      <c r="AQ150" s="85">
        <f t="shared" si="67"/>
        <v>41912</v>
      </c>
      <c r="AR150" s="85">
        <f t="shared" si="67"/>
        <v>42004</v>
      </c>
      <c r="AS150" s="85">
        <f t="shared" si="67"/>
        <v>42094</v>
      </c>
      <c r="AT150" s="85">
        <f t="shared" si="67"/>
        <v>42185</v>
      </c>
      <c r="AU150" s="85">
        <f t="shared" si="67"/>
        <v>42277</v>
      </c>
      <c r="AV150" s="85">
        <f t="shared" si="67"/>
        <v>42369</v>
      </c>
      <c r="AW150" s="85">
        <f t="shared" si="67"/>
        <v>42460</v>
      </c>
      <c r="AX150" s="85">
        <f t="shared" si="67"/>
        <v>42551</v>
      </c>
      <c r="AY150" s="85">
        <f t="shared" si="67"/>
        <v>42643</v>
      </c>
      <c r="AZ150" s="85">
        <f t="shared" si="67"/>
        <v>42735</v>
      </c>
      <c r="BA150" s="85">
        <f t="shared" si="67"/>
        <v>42825</v>
      </c>
      <c r="BB150" s="85">
        <f t="shared" si="67"/>
        <v>42916</v>
      </c>
      <c r="BC150" s="85">
        <f t="shared" si="67"/>
        <v>43008</v>
      </c>
    </row>
    <row r="151" spans="1:55" ht="16.05" customHeight="1" thickBot="1" x14ac:dyDescent="0.25">
      <c r="A151" s="891"/>
      <c r="B151" s="892"/>
      <c r="C151" s="895"/>
      <c r="D151" s="896"/>
      <c r="E151" s="865"/>
      <c r="F151" s="884"/>
      <c r="G151" s="884"/>
      <c r="H151" s="886"/>
      <c r="I151" s="888"/>
      <c r="L151" s="85">
        <f t="shared" ref="L151:BC151" si="68">L$4</f>
        <v>39171</v>
      </c>
      <c r="M151" s="85">
        <f t="shared" si="68"/>
        <v>39262</v>
      </c>
      <c r="N151" s="85">
        <f t="shared" si="68"/>
        <v>39354</v>
      </c>
      <c r="O151" s="85">
        <f t="shared" si="68"/>
        <v>39446</v>
      </c>
      <c r="P151" s="85">
        <f t="shared" si="68"/>
        <v>39537</v>
      </c>
      <c r="Q151" s="85">
        <f t="shared" si="68"/>
        <v>39628</v>
      </c>
      <c r="R151" s="85">
        <f t="shared" si="68"/>
        <v>39720</v>
      </c>
      <c r="S151" s="85">
        <f t="shared" si="68"/>
        <v>39812</v>
      </c>
      <c r="T151" s="85">
        <f t="shared" si="68"/>
        <v>39902</v>
      </c>
      <c r="U151" s="85">
        <f t="shared" si="68"/>
        <v>39993</v>
      </c>
      <c r="V151" s="85">
        <f t="shared" si="68"/>
        <v>40085</v>
      </c>
      <c r="W151" s="85">
        <f t="shared" si="68"/>
        <v>40177</v>
      </c>
      <c r="X151" s="85">
        <f t="shared" si="68"/>
        <v>40267</v>
      </c>
      <c r="Y151" s="85">
        <f t="shared" si="68"/>
        <v>40358</v>
      </c>
      <c r="Z151" s="85">
        <f t="shared" si="68"/>
        <v>40450</v>
      </c>
      <c r="AA151" s="85">
        <f t="shared" si="68"/>
        <v>40542</v>
      </c>
      <c r="AB151" s="85">
        <f t="shared" si="68"/>
        <v>40632</v>
      </c>
      <c r="AC151" s="85">
        <f t="shared" si="68"/>
        <v>40723</v>
      </c>
      <c r="AD151" s="85">
        <f t="shared" si="68"/>
        <v>40815</v>
      </c>
      <c r="AE151" s="85">
        <f t="shared" si="68"/>
        <v>40907</v>
      </c>
      <c r="AF151" s="85">
        <f t="shared" si="68"/>
        <v>40998</v>
      </c>
      <c r="AG151" s="85">
        <f t="shared" si="68"/>
        <v>41089</v>
      </c>
      <c r="AH151" s="85">
        <f t="shared" si="68"/>
        <v>41181</v>
      </c>
      <c r="AI151" s="85">
        <f t="shared" si="68"/>
        <v>41273</v>
      </c>
      <c r="AJ151" s="85">
        <f t="shared" si="68"/>
        <v>41363</v>
      </c>
      <c r="AK151" s="85">
        <f t="shared" si="68"/>
        <v>41454</v>
      </c>
      <c r="AL151" s="85">
        <f t="shared" si="68"/>
        <v>41546</v>
      </c>
      <c r="AM151" s="85">
        <f t="shared" si="68"/>
        <v>41638</v>
      </c>
      <c r="AN151" s="85">
        <f t="shared" si="68"/>
        <v>41728</v>
      </c>
      <c r="AO151" s="85">
        <f t="shared" si="68"/>
        <v>41819</v>
      </c>
      <c r="AP151" s="85">
        <f t="shared" si="68"/>
        <v>41911</v>
      </c>
      <c r="AQ151" s="85">
        <f t="shared" si="68"/>
        <v>42003</v>
      </c>
      <c r="AR151" s="85">
        <f t="shared" si="68"/>
        <v>42093</v>
      </c>
      <c r="AS151" s="85">
        <f t="shared" si="68"/>
        <v>42184</v>
      </c>
      <c r="AT151" s="85">
        <f t="shared" si="68"/>
        <v>42276</v>
      </c>
      <c r="AU151" s="85">
        <f t="shared" si="68"/>
        <v>42368</v>
      </c>
      <c r="AV151" s="85">
        <f t="shared" si="68"/>
        <v>42459</v>
      </c>
      <c r="AW151" s="85">
        <f t="shared" si="68"/>
        <v>42550</v>
      </c>
      <c r="AX151" s="85">
        <f t="shared" si="68"/>
        <v>42642</v>
      </c>
      <c r="AY151" s="85">
        <f t="shared" si="68"/>
        <v>42734</v>
      </c>
      <c r="AZ151" s="85">
        <f t="shared" si="68"/>
        <v>42824</v>
      </c>
      <c r="BA151" s="85">
        <f t="shared" si="68"/>
        <v>42915</v>
      </c>
      <c r="BB151" s="85">
        <f t="shared" si="68"/>
        <v>43007</v>
      </c>
      <c r="BC151" s="85">
        <f t="shared" si="68"/>
        <v>43099</v>
      </c>
    </row>
    <row r="152" spans="1:55" ht="15" customHeight="1" x14ac:dyDescent="0.2">
      <c r="A152" s="878" t="s">
        <v>318</v>
      </c>
      <c r="B152" s="870" t="s">
        <v>347</v>
      </c>
      <c r="C152" s="95" t="s">
        <v>375</v>
      </c>
      <c r="D152" s="94">
        <f>1-Parameters!N$7</f>
        <v>0</v>
      </c>
      <c r="E152" s="96">
        <f>ROUND(Calculations!D4*$D152,0)</f>
        <v>0</v>
      </c>
      <c r="F152" s="96">
        <f>ROUND(Calculations!E4*$D152,0)</f>
        <v>0</v>
      </c>
      <c r="G152" s="96">
        <f>ROUND(Calculations!F4*$D152,0)</f>
        <v>0</v>
      </c>
      <c r="H152" s="96">
        <f>ROUND(Calculations!G4*$D152,0)</f>
        <v>0</v>
      </c>
      <c r="I152" s="103">
        <f>SUM(E152:H152)</f>
        <v>0</v>
      </c>
      <c r="L152" s="88"/>
      <c r="M152" s="88"/>
      <c r="N152" s="88"/>
      <c r="O152" s="88"/>
      <c r="P152" s="85">
        <f>P150</f>
        <v>39447</v>
      </c>
      <c r="Q152" s="85">
        <f>Q150</f>
        <v>39538</v>
      </c>
      <c r="R152" s="85">
        <f>R150</f>
        <v>39629</v>
      </c>
      <c r="S152" s="85">
        <f>S150</f>
        <v>39721</v>
      </c>
      <c r="T152" s="88"/>
      <c r="U152" s="88"/>
      <c r="V152" s="88"/>
      <c r="W152" s="88"/>
      <c r="Y152"/>
    </row>
    <row r="153" spans="1:55" ht="15" customHeight="1" x14ac:dyDescent="0.2">
      <c r="A153" s="880"/>
      <c r="B153" s="688"/>
      <c r="C153" s="688" t="s">
        <v>139</v>
      </c>
      <c r="D153" s="871"/>
      <c r="E153" s="92">
        <f>SUM(E152:E152)</f>
        <v>0</v>
      </c>
      <c r="F153" s="92">
        <f>SUM(F152:F152)</f>
        <v>0</v>
      </c>
      <c r="G153" s="92">
        <f>SUM(G152:G152)</f>
        <v>0</v>
      </c>
      <c r="H153" s="92">
        <f>SUM(H152:H152)</f>
        <v>0</v>
      </c>
      <c r="I153" s="872">
        <f>H154</f>
        <v>0</v>
      </c>
      <c r="L153"/>
      <c r="M153"/>
      <c r="N153"/>
      <c r="O153"/>
      <c r="P153"/>
      <c r="Q153"/>
      <c r="R153"/>
      <c r="S153"/>
      <c r="T153"/>
      <c r="U153"/>
      <c r="V153"/>
      <c r="W153"/>
      <c r="X153"/>
      <c r="Y153"/>
      <c r="Z153"/>
      <c r="AA153"/>
      <c r="AB153"/>
    </row>
    <row r="154" spans="1:55" ht="15" customHeight="1" x14ac:dyDescent="0.2">
      <c r="A154" s="880"/>
      <c r="B154" s="688"/>
      <c r="C154" s="874" t="s">
        <v>331</v>
      </c>
      <c r="D154" s="875"/>
      <c r="E154" s="105">
        <f>E153</f>
        <v>0</v>
      </c>
      <c r="F154" s="15">
        <f>E154+F153</f>
        <v>0</v>
      </c>
      <c r="G154" s="15">
        <f>F154+G153</f>
        <v>0</v>
      </c>
      <c r="H154" s="15">
        <f>G154+H153</f>
        <v>0</v>
      </c>
      <c r="I154" s="873"/>
    </row>
    <row r="155" spans="1:55" ht="15" customHeight="1" x14ac:dyDescent="0.2">
      <c r="A155" s="880"/>
      <c r="B155" s="688" t="s">
        <v>411</v>
      </c>
      <c r="C155" s="65" t="s">
        <v>405</v>
      </c>
      <c r="D155" s="104">
        <f>Parameters!$B$21</f>
        <v>22200</v>
      </c>
      <c r="E155" s="72">
        <f>E153*$D155</f>
        <v>0</v>
      </c>
      <c r="F155" s="72">
        <f>F153*$D155</f>
        <v>0</v>
      </c>
      <c r="G155" s="72">
        <f>G153*$D155</f>
        <v>0</v>
      </c>
      <c r="H155" s="72">
        <f>H153*$D155</f>
        <v>0</v>
      </c>
      <c r="I155" s="106">
        <f>SUM(E155:H155)</f>
        <v>0</v>
      </c>
      <c r="L155" s="60" t="s">
        <v>196</v>
      </c>
      <c r="M155" s="79">
        <f>P152+$D156</f>
        <v>39447</v>
      </c>
      <c r="N155" s="79">
        <f>Q152+$D156</f>
        <v>39538</v>
      </c>
      <c r="O155" s="79">
        <f>R152+$D156</f>
        <v>39629</v>
      </c>
      <c r="P155" s="79">
        <f>S152+$D156</f>
        <v>39721</v>
      </c>
      <c r="X155" s="69" t="s">
        <v>366</v>
      </c>
    </row>
    <row r="156" spans="1:55" ht="15" customHeight="1" thickBot="1" x14ac:dyDescent="0.25">
      <c r="A156" s="881"/>
      <c r="B156" s="882"/>
      <c r="C156" s="70" t="s">
        <v>332</v>
      </c>
      <c r="D156" s="84">
        <f>Parameters!$B$36</f>
        <v>0</v>
      </c>
      <c r="E156" s="72">
        <f>SUM(L156:P156)+L185</f>
        <v>0</v>
      </c>
      <c r="F156" s="66">
        <f>Q156+M185</f>
        <v>0</v>
      </c>
      <c r="G156" s="66">
        <f>R156+N185</f>
        <v>0</v>
      </c>
      <c r="H156" s="66">
        <f>S156+O185</f>
        <v>0</v>
      </c>
      <c r="I156" s="89">
        <f>SUM(E156:H156)</f>
        <v>0</v>
      </c>
      <c r="L156" s="68">
        <f>IF($M155&lt;=L151,$E155,IF($N155&lt;=L151,$F155,IF($O155&lt;=L151,$G155,IF($P155&lt;=L151,$H155,))))</f>
        <v>0</v>
      </c>
      <c r="M156" s="68">
        <f t="shared" ref="M156:W156" si="69">IF(AND($M155&gt;L151,$M155&lt;=M151),$E155,IF(AND($N155&gt;L151,$N155&lt;=M151),$F155,IF(AND($O155&gt;L151,$O155&lt;=M151),$G155,IF(AND($P155&gt;L151,$P155&lt;=M151),$H155,))))</f>
        <v>0</v>
      </c>
      <c r="N156" s="68">
        <f t="shared" si="69"/>
        <v>0</v>
      </c>
      <c r="O156" s="68">
        <f t="shared" si="69"/>
        <v>0</v>
      </c>
      <c r="P156" s="68">
        <f t="shared" si="69"/>
        <v>0</v>
      </c>
      <c r="Q156" s="68">
        <f t="shared" si="69"/>
        <v>0</v>
      </c>
      <c r="R156" s="68">
        <f t="shared" si="69"/>
        <v>0</v>
      </c>
      <c r="S156" s="68">
        <f t="shared" si="69"/>
        <v>0</v>
      </c>
      <c r="T156" s="68">
        <f t="shared" si="69"/>
        <v>0</v>
      </c>
      <c r="U156" s="68">
        <f t="shared" si="69"/>
        <v>0</v>
      </c>
      <c r="V156" s="68">
        <f t="shared" si="69"/>
        <v>0</v>
      </c>
      <c r="W156" s="68">
        <f t="shared" si="69"/>
        <v>0</v>
      </c>
      <c r="X156" s="68">
        <f>SUM(L156:W156)</f>
        <v>0</v>
      </c>
    </row>
    <row r="157" spans="1:55" ht="15" customHeight="1" x14ac:dyDescent="0.2">
      <c r="A157" s="866" t="s">
        <v>206</v>
      </c>
      <c r="B157" s="870" t="s">
        <v>317</v>
      </c>
      <c r="C157" s="95" t="str">
        <f>C152</f>
        <v>N. Amer</v>
      </c>
      <c r="D157" s="94">
        <f>1-D152</f>
        <v>1</v>
      </c>
      <c r="E157" s="96">
        <f>Calculations!D4-E152</f>
        <v>0</v>
      </c>
      <c r="F157" s="97">
        <f>Calculations!E4-F152</f>
        <v>0</v>
      </c>
      <c r="G157" s="97">
        <f>Calculations!F4-G152</f>
        <v>0</v>
      </c>
      <c r="H157" s="96">
        <f>Calculations!G4-H152</f>
        <v>0</v>
      </c>
      <c r="I157" s="103">
        <f>SUM(E157:H157)</f>
        <v>0</v>
      </c>
    </row>
    <row r="158" spans="1:55" ht="15" customHeight="1" x14ac:dyDescent="0.2">
      <c r="A158" s="868"/>
      <c r="B158" s="688"/>
      <c r="C158" s="688" t="s">
        <v>139</v>
      </c>
      <c r="D158" s="871"/>
      <c r="E158" s="92">
        <f>SUM(E157:E157)</f>
        <v>0</v>
      </c>
      <c r="F158" s="10">
        <f>SUM(F157:F157)</f>
        <v>0</v>
      </c>
      <c r="G158" s="10">
        <f>SUM(G157:G157)</f>
        <v>0</v>
      </c>
      <c r="H158" s="101">
        <f>SUM(H157:H157)</f>
        <v>0</v>
      </c>
      <c r="I158" s="872">
        <f>H159</f>
        <v>0</v>
      </c>
      <c r="L158"/>
      <c r="M158"/>
      <c r="N158"/>
      <c r="O158"/>
      <c r="P158"/>
      <c r="Q158"/>
      <c r="R158"/>
      <c r="S158"/>
      <c r="T158"/>
      <c r="U158"/>
      <c r="V158"/>
      <c r="W158"/>
      <c r="X158"/>
      <c r="Y158"/>
    </row>
    <row r="159" spans="1:55" ht="15" customHeight="1" x14ac:dyDescent="0.2">
      <c r="A159" s="868"/>
      <c r="B159" s="688"/>
      <c r="C159" s="874" t="s">
        <v>331</v>
      </c>
      <c r="D159" s="875"/>
      <c r="E159" s="105">
        <f>E158</f>
        <v>0</v>
      </c>
      <c r="F159" s="15">
        <f>F158+E159</f>
        <v>0</v>
      </c>
      <c r="G159" s="15">
        <f>G158+F159</f>
        <v>0</v>
      </c>
      <c r="H159" s="15">
        <f>H158+G159</f>
        <v>0</v>
      </c>
      <c r="I159" s="873"/>
      <c r="L159"/>
      <c r="M159"/>
      <c r="N159"/>
      <c r="O159"/>
      <c r="P159"/>
      <c r="Q159"/>
      <c r="R159"/>
      <c r="S159"/>
      <c r="T159"/>
      <c r="U159"/>
      <c r="V159"/>
      <c r="W159"/>
      <c r="X159"/>
      <c r="Y159"/>
    </row>
    <row r="160" spans="1:55" ht="15" customHeight="1" x14ac:dyDescent="0.2">
      <c r="A160" s="868"/>
      <c r="B160" s="566" t="s">
        <v>68</v>
      </c>
      <c r="C160" s="688" t="s">
        <v>280</v>
      </c>
      <c r="D160" s="871"/>
      <c r="E160" s="72">
        <f>E158*$D155</f>
        <v>0</v>
      </c>
      <c r="F160" s="66">
        <f>F158*$D155</f>
        <v>0</v>
      </c>
      <c r="G160" s="66">
        <f>G158*$D155</f>
        <v>0</v>
      </c>
      <c r="H160" s="86">
        <f>H158*$D155</f>
        <v>0</v>
      </c>
      <c r="I160" s="74">
        <f>SUM(E160:H160)</f>
        <v>0</v>
      </c>
    </row>
    <row r="161" spans="1:39" ht="15" customHeight="1" x14ac:dyDescent="0.2">
      <c r="A161" s="868"/>
      <c r="B161" s="566"/>
      <c r="C161" s="65" t="s">
        <v>413</v>
      </c>
      <c r="D161" s="87">
        <f>1-Parameters!$B$33</f>
        <v>0.19999999999999996</v>
      </c>
      <c r="E161" s="72">
        <f>E160*$D161</f>
        <v>0</v>
      </c>
      <c r="F161" s="66">
        <f>F160*$D161</f>
        <v>0</v>
      </c>
      <c r="G161" s="66">
        <f>G160*$D161</f>
        <v>0</v>
      </c>
      <c r="H161" s="86">
        <f>H160*$D161</f>
        <v>0</v>
      </c>
      <c r="I161" s="106">
        <f>SUM(E161:H161)</f>
        <v>0</v>
      </c>
      <c r="L161" s="60" t="s">
        <v>196</v>
      </c>
      <c r="M161" s="79">
        <f>P152+$D162</f>
        <v>39447</v>
      </c>
      <c r="N161" s="79">
        <f>Q152+$D162</f>
        <v>39538</v>
      </c>
      <c r="O161" s="79">
        <f>R152+$D162</f>
        <v>39629</v>
      </c>
      <c r="P161" s="79">
        <f>S152+$D162</f>
        <v>39721</v>
      </c>
      <c r="X161" s="69" t="s">
        <v>366</v>
      </c>
    </row>
    <row r="162" spans="1:39" ht="15" customHeight="1" x14ac:dyDescent="0.2">
      <c r="A162" s="868"/>
      <c r="B162" s="566"/>
      <c r="C162" s="5" t="s">
        <v>332</v>
      </c>
      <c r="D162" s="73">
        <f>Parameters!$B$36</f>
        <v>0</v>
      </c>
      <c r="E162" s="72">
        <f>SUM(L162:P162)+L191</f>
        <v>0</v>
      </c>
      <c r="F162" s="66">
        <f>Q162+M191</f>
        <v>0</v>
      </c>
      <c r="G162" s="66">
        <f>R162+N191</f>
        <v>0</v>
      </c>
      <c r="H162" s="66">
        <f>S162+O191</f>
        <v>0</v>
      </c>
      <c r="I162" s="74">
        <f>SUM(E162:H162)</f>
        <v>0</v>
      </c>
      <c r="L162" s="68">
        <f>IF($M161&lt;=L151,$E161,IF($N161&lt;=L151,$F161,IF($O161&lt;=L151,$G161,IF($P161&lt;=L151,$H161,))))</f>
        <v>0</v>
      </c>
      <c r="M162" s="68">
        <f t="shared" ref="M162:W162" si="70">IF(AND($M161&gt;L151,$M161&lt;=M151),$E161,IF(AND($N161&gt;L151,$N161&lt;=M151),$F161,IF(AND($O161&gt;L151,$O161&lt;=M151),$G161,IF(AND($P161&gt;L151,$P161&lt;=M151),$H161,))))</f>
        <v>0</v>
      </c>
      <c r="N162" s="68">
        <f t="shared" si="70"/>
        <v>0</v>
      </c>
      <c r="O162" s="68">
        <f t="shared" si="70"/>
        <v>0</v>
      </c>
      <c r="P162" s="68">
        <f t="shared" si="70"/>
        <v>0</v>
      </c>
      <c r="Q162" s="68">
        <f t="shared" si="70"/>
        <v>0</v>
      </c>
      <c r="R162" s="68">
        <f t="shared" si="70"/>
        <v>0</v>
      </c>
      <c r="S162" s="68">
        <f t="shared" si="70"/>
        <v>0</v>
      </c>
      <c r="T162" s="68">
        <f t="shared" si="70"/>
        <v>0</v>
      </c>
      <c r="U162" s="68">
        <f t="shared" si="70"/>
        <v>0</v>
      </c>
      <c r="V162" s="68">
        <f t="shared" si="70"/>
        <v>0</v>
      </c>
      <c r="W162" s="68">
        <f t="shared" si="70"/>
        <v>0</v>
      </c>
      <c r="X162" s="68">
        <f>SUM(L162:W162)</f>
        <v>0</v>
      </c>
    </row>
    <row r="163" spans="1:39" ht="15" customHeight="1" x14ac:dyDescent="0.2">
      <c r="A163" s="868"/>
      <c r="B163" s="566"/>
      <c r="C163" s="65" t="s">
        <v>391</v>
      </c>
      <c r="D163" s="87">
        <f>Parameters!$B$33</f>
        <v>0.8</v>
      </c>
      <c r="E163" s="72">
        <f>E160*$D163</f>
        <v>0</v>
      </c>
      <c r="F163" s="72">
        <f>F160*$D163</f>
        <v>0</v>
      </c>
      <c r="G163" s="72">
        <f>G160*$D163</f>
        <v>0</v>
      </c>
      <c r="H163" s="72">
        <f>H160*$D163</f>
        <v>0</v>
      </c>
      <c r="I163" s="74">
        <f>SUM(E163:H163)</f>
        <v>0</v>
      </c>
    </row>
    <row r="164" spans="1:39" ht="15" customHeight="1" x14ac:dyDescent="0.2">
      <c r="A164" s="868"/>
      <c r="B164" s="566"/>
      <c r="C164" s="874" t="s">
        <v>331</v>
      </c>
      <c r="D164" s="875"/>
      <c r="E164" s="81">
        <f>E163</f>
        <v>0</v>
      </c>
      <c r="F164" s="81">
        <f>E164+F163</f>
        <v>0</v>
      </c>
      <c r="G164" s="81">
        <f>F164+G163</f>
        <v>0</v>
      </c>
      <c r="H164" s="81">
        <f>G164+H163</f>
        <v>0</v>
      </c>
      <c r="I164" s="78">
        <f>H164</f>
        <v>0</v>
      </c>
    </row>
    <row r="165" spans="1:39" ht="15" customHeight="1" x14ac:dyDescent="0.2">
      <c r="A165" s="868"/>
      <c r="B165" s="566"/>
      <c r="C165" s="537" t="s">
        <v>390</v>
      </c>
      <c r="D165" s="907"/>
      <c r="E165" s="107">
        <f>L176</f>
        <v>0</v>
      </c>
      <c r="F165" s="107">
        <f>M176</f>
        <v>0</v>
      </c>
      <c r="G165" s="107">
        <f>N176</f>
        <v>0</v>
      </c>
      <c r="H165" s="107">
        <f>O176</f>
        <v>0</v>
      </c>
      <c r="I165" s="74">
        <f>SUM(E165:H165)</f>
        <v>0</v>
      </c>
      <c r="L165" s="60" t="s">
        <v>196</v>
      </c>
      <c r="M165" s="79">
        <f>P152+$D166</f>
        <v>39477</v>
      </c>
      <c r="N165" s="79">
        <f>Q152+$D166</f>
        <v>39568</v>
      </c>
      <c r="O165" s="79">
        <f>R152+$D166</f>
        <v>39659</v>
      </c>
      <c r="P165" s="79">
        <f>S152+$D166</f>
        <v>39751</v>
      </c>
      <c r="X165" s="69" t="s">
        <v>366</v>
      </c>
    </row>
    <row r="166" spans="1:39" ht="15" customHeight="1" x14ac:dyDescent="0.2">
      <c r="A166" s="868"/>
      <c r="B166" s="906"/>
      <c r="C166" s="75" t="s">
        <v>332</v>
      </c>
      <c r="D166" s="76">
        <f>Parameters!$B$37</f>
        <v>30</v>
      </c>
      <c r="E166" s="112">
        <f>SUM(L166:P166)</f>
        <v>0</v>
      </c>
      <c r="F166" s="71">
        <f>Q166</f>
        <v>0</v>
      </c>
      <c r="G166" s="71">
        <f>R166</f>
        <v>0</v>
      </c>
      <c r="H166" s="71">
        <f>S166</f>
        <v>0</v>
      </c>
      <c r="I166" s="77">
        <f>SUM(E166:H166)</f>
        <v>0</v>
      </c>
      <c r="L166" s="68">
        <f>IF($M165&lt;=L151,$E165,IF($N165&lt;=L151,$F165,IF($O165&lt;=L151,$G165,IF($P165&lt;=L151,$H165,))))</f>
        <v>0</v>
      </c>
      <c r="M166" s="68">
        <f t="shared" ref="M166:W166" si="71">IF(AND($M165&gt;L151,$M165&lt;=M151),$E165,IF(AND($N165&gt;L151,$N165&lt;=M151),$F165,IF(AND($O165&gt;L151,$O165&lt;=M151),$G165,IF(AND($P165&gt;L151,$P165&lt;=M151),$H165,))))</f>
        <v>0</v>
      </c>
      <c r="N166" s="68">
        <f t="shared" si="71"/>
        <v>0</v>
      </c>
      <c r="O166" s="68">
        <f t="shared" si="71"/>
        <v>0</v>
      </c>
      <c r="P166" s="68">
        <f t="shared" si="71"/>
        <v>0</v>
      </c>
      <c r="Q166" s="68">
        <f t="shared" si="71"/>
        <v>0</v>
      </c>
      <c r="R166" s="68">
        <f t="shared" si="71"/>
        <v>0</v>
      </c>
      <c r="S166" s="68">
        <f t="shared" si="71"/>
        <v>0</v>
      </c>
      <c r="T166" s="68">
        <f t="shared" si="71"/>
        <v>0</v>
      </c>
      <c r="U166" s="68">
        <f t="shared" si="71"/>
        <v>0</v>
      </c>
      <c r="V166" s="68">
        <f t="shared" si="71"/>
        <v>0</v>
      </c>
      <c r="W166" s="68">
        <f t="shared" si="71"/>
        <v>0</v>
      </c>
      <c r="X166" s="68">
        <f>SUM(L166:W166)</f>
        <v>0</v>
      </c>
    </row>
    <row r="167" spans="1:39" ht="15" customHeight="1" x14ac:dyDescent="0.2">
      <c r="A167" s="868"/>
      <c r="B167" s="897" t="s">
        <v>410</v>
      </c>
      <c r="C167" s="898"/>
      <c r="D167" s="898"/>
      <c r="E167" s="898"/>
      <c r="F167" s="898"/>
      <c r="G167" s="898"/>
      <c r="H167" s="898"/>
      <c r="I167" s="899"/>
      <c r="L167" s="67">
        <f t="shared" ref="L167:AM167" si="72">P151</f>
        <v>39537</v>
      </c>
      <c r="M167" s="67">
        <f t="shared" si="72"/>
        <v>39628</v>
      </c>
      <c r="N167" s="67">
        <f t="shared" si="72"/>
        <v>39720</v>
      </c>
      <c r="O167" s="67">
        <f t="shared" si="72"/>
        <v>39812</v>
      </c>
      <c r="P167" s="67">
        <f t="shared" si="72"/>
        <v>39902</v>
      </c>
      <c r="Q167" s="67">
        <f t="shared" si="72"/>
        <v>39993</v>
      </c>
      <c r="R167" s="67">
        <f t="shared" si="72"/>
        <v>40085</v>
      </c>
      <c r="S167" s="67">
        <f t="shared" si="72"/>
        <v>40177</v>
      </c>
      <c r="T167" s="67">
        <f t="shared" si="72"/>
        <v>40267</v>
      </c>
      <c r="U167" s="67">
        <f t="shared" si="72"/>
        <v>40358</v>
      </c>
      <c r="V167" s="67">
        <f t="shared" si="72"/>
        <v>40450</v>
      </c>
      <c r="W167" s="67">
        <f t="shared" si="72"/>
        <v>40542</v>
      </c>
      <c r="X167" s="67">
        <f t="shared" si="72"/>
        <v>40632</v>
      </c>
      <c r="Y167" s="67">
        <f t="shared" si="72"/>
        <v>40723</v>
      </c>
      <c r="Z167" s="67">
        <f t="shared" si="72"/>
        <v>40815</v>
      </c>
      <c r="AA167" s="67">
        <f t="shared" si="72"/>
        <v>40907</v>
      </c>
      <c r="AB167" s="67">
        <f t="shared" si="72"/>
        <v>40998</v>
      </c>
      <c r="AC167" s="67">
        <f t="shared" si="72"/>
        <v>41089</v>
      </c>
      <c r="AD167" s="67">
        <f t="shared" si="72"/>
        <v>41181</v>
      </c>
      <c r="AE167" s="67">
        <f t="shared" si="72"/>
        <v>41273</v>
      </c>
      <c r="AF167" s="67">
        <f t="shared" si="72"/>
        <v>41363</v>
      </c>
      <c r="AG167" s="67">
        <f t="shared" si="72"/>
        <v>41454</v>
      </c>
      <c r="AH167" s="67">
        <f t="shared" si="72"/>
        <v>41546</v>
      </c>
      <c r="AI167" s="67">
        <f t="shared" si="72"/>
        <v>41638</v>
      </c>
      <c r="AJ167" s="67">
        <f t="shared" si="72"/>
        <v>41728</v>
      </c>
      <c r="AK167" s="67">
        <f t="shared" si="72"/>
        <v>41819</v>
      </c>
      <c r="AL167" s="67">
        <f t="shared" si="72"/>
        <v>41911</v>
      </c>
      <c r="AM167" s="67">
        <f t="shared" si="72"/>
        <v>42003</v>
      </c>
    </row>
    <row r="168" spans="1:39" ht="15" customHeight="1" x14ac:dyDescent="0.2">
      <c r="A168" s="868"/>
      <c r="B168" s="900"/>
      <c r="C168" s="901"/>
      <c r="D168" s="901"/>
      <c r="E168" s="901"/>
      <c r="F168" s="901"/>
      <c r="G168" s="901"/>
      <c r="H168" s="901"/>
      <c r="I168" s="902"/>
      <c r="K168" s="110">
        <f>(-PMT(Parameters!$B$31/12,Parameters!$B$32,$E163))*Parameters!$B$32</f>
        <v>0</v>
      </c>
      <c r="L168" s="108">
        <f>(-PMT(Parameters!$B$31/12,Parameters!$B$32,$E163))*Parameters!$K$32</f>
        <v>0</v>
      </c>
      <c r="M168" s="108">
        <f>MIN(((-PMT(Parameters!$B$31/12,Parameters!$B$32,$E163))*3),L169)</f>
        <v>0</v>
      </c>
      <c r="N168" s="108">
        <f>MIN(((-PMT(Parameters!$B$31/12,Parameters!$B$32,$E163))*3),M169)</f>
        <v>0</v>
      </c>
      <c r="O168" s="108">
        <f>MIN(((-PMT(Parameters!$B$31/12,Parameters!$B$32,$E163))*3),N169)</f>
        <v>0</v>
      </c>
      <c r="P168" s="108">
        <f>MIN(((-PMT(Parameters!$B$31/12,Parameters!$B$32,$E163))*3),O169)</f>
        <v>0</v>
      </c>
      <c r="Q168" s="108">
        <f>MIN(((-PMT(Parameters!$B$31/12,Parameters!$B$32,$E163))*3),P169)</f>
        <v>0</v>
      </c>
      <c r="R168" s="108">
        <f>MIN(((-PMT(Parameters!$B$31/12,Parameters!$B$32,$E163))*3),Q169)</f>
        <v>0</v>
      </c>
      <c r="S168" s="108">
        <f>MIN(((-PMT(Parameters!$B$31/12,Parameters!$B$32,$E163))*3),R169)</f>
        <v>0</v>
      </c>
      <c r="T168" s="108">
        <f>MIN(((-PMT(Parameters!$B$31/12,Parameters!$B$32,$E163))*3),S169)</f>
        <v>0</v>
      </c>
      <c r="U168" s="108">
        <f>MIN(((-PMT(Parameters!$B$31/12,Parameters!$B$32,$E163))*3),T169)</f>
        <v>0</v>
      </c>
      <c r="V168" s="108">
        <f>MIN(((-PMT(Parameters!$B$31/12,Parameters!$B$32,$E163))*3),U169)</f>
        <v>0</v>
      </c>
      <c r="W168" s="108">
        <f>MIN(((-PMT(Parameters!$B$31/12,Parameters!$B$32,$E163))*3),V169)</f>
        <v>0</v>
      </c>
      <c r="X168" s="108">
        <f>MIN(((-PMT(Parameters!$B$31/12,Parameters!$B$32,$E163))*3),W169)</f>
        <v>0</v>
      </c>
      <c r="Y168" s="108">
        <f>MIN(((-PMT(Parameters!$B$31/12,Parameters!$B$32,$E163))*3),X169)</f>
        <v>0</v>
      </c>
      <c r="Z168" s="108">
        <f>MIN(((-PMT(Parameters!$B$31/12,Parameters!$B$32,$E163))*3),Y169)</f>
        <v>0</v>
      </c>
      <c r="AA168" s="108">
        <f>MIN(((-PMT(Parameters!$B$31/12,Parameters!$B$32,$E163))*3),Z169)</f>
        <v>0</v>
      </c>
      <c r="AB168" s="108">
        <f>MIN(((-PMT(Parameters!$B$31/12,Parameters!$B$32,$E163))*3),AA169)</f>
        <v>0</v>
      </c>
      <c r="AC168" s="108">
        <f>MIN(((-PMT(Parameters!$B$31/12,Parameters!$B$32,$E163))*3),AB169)</f>
        <v>0</v>
      </c>
      <c r="AD168" s="108">
        <f>MIN(((-PMT(Parameters!$B$31/12,Parameters!$B$32,$E163))*3),AC169)</f>
        <v>0</v>
      </c>
      <c r="AE168" s="108">
        <f>MIN(((-PMT(Parameters!$B$31/12,Parameters!$B$32,$E163))*3),AD169)</f>
        <v>0</v>
      </c>
      <c r="AF168" s="108">
        <f>MIN(((-PMT(Parameters!$B$31/12,Parameters!$B$32,$E163))*3),AE169)</f>
        <v>0</v>
      </c>
      <c r="AG168" s="108">
        <f>MIN(((-PMT(Parameters!$B$31/12,Parameters!$B$32,$E163))*3),AF169)</f>
        <v>0</v>
      </c>
      <c r="AH168" s="108">
        <f>MIN(((-PMT(Parameters!$B$31/12,Parameters!$B$32,$E163))*3),AG169)</f>
        <v>0</v>
      </c>
      <c r="AI168" s="108">
        <f>MIN(((-PMT(Parameters!$B$31/12,Parameters!$B$32,$E163))*3),AH169)</f>
        <v>0</v>
      </c>
      <c r="AJ168" s="108">
        <f>MIN(((-PMT(Parameters!$B$31/12,Parameters!$B$32,$E163))*3),AI169)</f>
        <v>0</v>
      </c>
      <c r="AK168" s="108">
        <f>MIN(((-PMT(Parameters!$B$31/12,Parameters!$B$32,$E163))*3),AJ169)</f>
        <v>0</v>
      </c>
      <c r="AL168" s="108">
        <f>MIN(((-PMT(Parameters!$B$31/12,Parameters!$B$32,$E163))*3),AK169)</f>
        <v>0</v>
      </c>
      <c r="AM168" s="108">
        <f>MIN(((-PMT(Parameters!$B$31/12,Parameters!$B$32,$E163))*3),AL169)</f>
        <v>0</v>
      </c>
    </row>
    <row r="169" spans="1:39" ht="15" customHeight="1" x14ac:dyDescent="0.2">
      <c r="A169" s="868"/>
      <c r="B169" s="900"/>
      <c r="C169" s="901"/>
      <c r="D169" s="901"/>
      <c r="E169" s="901"/>
      <c r="F169" s="901"/>
      <c r="G169" s="901"/>
      <c r="H169" s="901"/>
      <c r="I169" s="902"/>
      <c r="L169" s="109">
        <f>K168-L168</f>
        <v>0</v>
      </c>
      <c r="M169" s="109">
        <f t="shared" ref="M169:AM169" si="73">L169-M168</f>
        <v>0</v>
      </c>
      <c r="N169" s="109">
        <f t="shared" si="73"/>
        <v>0</v>
      </c>
      <c r="O169" s="109">
        <f t="shared" si="73"/>
        <v>0</v>
      </c>
      <c r="P169" s="109">
        <f t="shared" si="73"/>
        <v>0</v>
      </c>
      <c r="Q169" s="109">
        <f t="shared" si="73"/>
        <v>0</v>
      </c>
      <c r="R169" s="109">
        <f t="shared" si="73"/>
        <v>0</v>
      </c>
      <c r="S169" s="109">
        <f t="shared" si="73"/>
        <v>0</v>
      </c>
      <c r="T169" s="109">
        <f t="shared" si="73"/>
        <v>0</v>
      </c>
      <c r="U169" s="109">
        <f t="shared" si="73"/>
        <v>0</v>
      </c>
      <c r="V169" s="109">
        <f t="shared" si="73"/>
        <v>0</v>
      </c>
      <c r="W169" s="109">
        <f t="shared" si="73"/>
        <v>0</v>
      </c>
      <c r="X169" s="109">
        <f t="shared" si="73"/>
        <v>0</v>
      </c>
      <c r="Y169" s="109">
        <f t="shared" si="73"/>
        <v>0</v>
      </c>
      <c r="Z169" s="109">
        <f t="shared" si="73"/>
        <v>0</v>
      </c>
      <c r="AA169" s="109">
        <f t="shared" si="73"/>
        <v>0</v>
      </c>
      <c r="AB169" s="109">
        <f t="shared" si="73"/>
        <v>0</v>
      </c>
      <c r="AC169" s="109">
        <f t="shared" si="73"/>
        <v>0</v>
      </c>
      <c r="AD169" s="109">
        <f t="shared" si="73"/>
        <v>0</v>
      </c>
      <c r="AE169" s="109">
        <f t="shared" si="73"/>
        <v>0</v>
      </c>
      <c r="AF169" s="109">
        <f t="shared" si="73"/>
        <v>0</v>
      </c>
      <c r="AG169" s="109">
        <f t="shared" si="73"/>
        <v>0</v>
      </c>
      <c r="AH169" s="109">
        <f t="shared" si="73"/>
        <v>0</v>
      </c>
      <c r="AI169" s="109">
        <f t="shared" si="73"/>
        <v>0</v>
      </c>
      <c r="AJ169" s="109">
        <f t="shared" si="73"/>
        <v>0</v>
      </c>
      <c r="AK169" s="109">
        <f t="shared" si="73"/>
        <v>0</v>
      </c>
      <c r="AL169" s="109">
        <f t="shared" si="73"/>
        <v>0</v>
      </c>
      <c r="AM169" s="109">
        <f t="shared" si="73"/>
        <v>0</v>
      </c>
    </row>
    <row r="170" spans="1:39" ht="15" customHeight="1" x14ac:dyDescent="0.2">
      <c r="A170" s="868"/>
      <c r="B170" s="900"/>
      <c r="C170" s="901"/>
      <c r="D170" s="901"/>
      <c r="E170" s="901"/>
      <c r="F170" s="901"/>
      <c r="G170" s="901"/>
      <c r="H170" s="901"/>
      <c r="I170" s="902"/>
      <c r="K170" s="110">
        <f>(-PMT(Parameters!$B$31/12,Parameters!$B$32,$F163))*Parameters!$B$32</f>
        <v>0</v>
      </c>
      <c r="L170" s="111"/>
      <c r="M170" s="108">
        <f>(-PMT(Parameters!$B$31/12,Parameters!$B$32,$F163))*Parameters!$K$32</f>
        <v>0</v>
      </c>
      <c r="N170" s="108">
        <f>MIN(((-PMT(Parameters!$B$31/12,Parameters!$B$32,$F163))*3),M171)</f>
        <v>0</v>
      </c>
      <c r="O170" s="108">
        <f>MIN(((-PMT(Parameters!$B$31/12,Parameters!$B$32,$F163))*3),N171)</f>
        <v>0</v>
      </c>
      <c r="P170" s="108">
        <f>MIN(((-PMT(Parameters!$B$31/12,Parameters!$B$32,$F163))*3),O171)</f>
        <v>0</v>
      </c>
      <c r="Q170" s="108">
        <f>MIN(((-PMT(Parameters!$B$31/12,Parameters!$B$32,$F163))*3),P171)</f>
        <v>0</v>
      </c>
      <c r="R170" s="108">
        <f>MIN(((-PMT(Parameters!$B$31/12,Parameters!$B$32,$F163))*3),Q171)</f>
        <v>0</v>
      </c>
      <c r="S170" s="108">
        <f>MIN(((-PMT(Parameters!$B$31/12,Parameters!$B$32,$F163))*3),R171)</f>
        <v>0</v>
      </c>
      <c r="T170" s="108">
        <f>MIN(((-PMT(Parameters!$B$31/12,Parameters!$B$32,$F163))*3),S171)</f>
        <v>0</v>
      </c>
      <c r="U170" s="108">
        <f>MIN(((-PMT(Parameters!$B$31/12,Parameters!$B$32,$F163))*3),T171)</f>
        <v>0</v>
      </c>
      <c r="V170" s="108">
        <f>MIN(((-PMT(Parameters!$B$31/12,Parameters!$B$32,$F163))*3),U171)</f>
        <v>0</v>
      </c>
      <c r="W170" s="108">
        <f>MIN(((-PMT(Parameters!$B$31/12,Parameters!$B$32,$F163))*3),V171)</f>
        <v>0</v>
      </c>
      <c r="X170" s="108">
        <f>MIN(((-PMT(Parameters!$B$31/12,Parameters!$B$32,$F163))*3),W171)</f>
        <v>0</v>
      </c>
      <c r="Y170" s="108">
        <f>MIN(((-PMT(Parameters!$B$31/12,Parameters!$B$32,$F163))*3),X171)</f>
        <v>0</v>
      </c>
      <c r="Z170" s="108">
        <f>MIN(((-PMT(Parameters!$B$31/12,Parameters!$B$32,$F163))*3),Y171)</f>
        <v>0</v>
      </c>
      <c r="AA170" s="108">
        <f>MIN(((-PMT(Parameters!$B$31/12,Parameters!$B$32,$F163))*3),Z171)</f>
        <v>0</v>
      </c>
      <c r="AB170" s="108">
        <f>MIN(((-PMT(Parameters!$B$31/12,Parameters!$B$32,$F163))*3),AA171)</f>
        <v>0</v>
      </c>
      <c r="AC170" s="108">
        <f>MIN(((-PMT(Parameters!$B$31/12,Parameters!$B$32,$F163))*3),AB171)</f>
        <v>0</v>
      </c>
      <c r="AD170" s="108">
        <f>MIN(((-PMT(Parameters!$B$31/12,Parameters!$B$32,$F163))*3),AC171)</f>
        <v>0</v>
      </c>
      <c r="AE170" s="108">
        <f>MIN(((-PMT(Parameters!$B$31/12,Parameters!$B$32,$F163))*3),AD171)</f>
        <v>0</v>
      </c>
      <c r="AF170" s="108">
        <f>MIN(((-PMT(Parameters!$B$31/12,Parameters!$B$32,$F163))*3),AE171)</f>
        <v>0</v>
      </c>
      <c r="AG170" s="108">
        <f>MIN(((-PMT(Parameters!$B$31/12,Parameters!$B$32,$F163))*3),AF171)</f>
        <v>0</v>
      </c>
      <c r="AH170" s="108">
        <f>MIN(((-PMT(Parameters!$B$31/12,Parameters!$B$32,$F163))*3),AG171)</f>
        <v>0</v>
      </c>
      <c r="AI170" s="108">
        <f>MIN(((-PMT(Parameters!$B$31/12,Parameters!$B$32,$F163))*3),AH171)</f>
        <v>0</v>
      </c>
      <c r="AJ170" s="108">
        <f>MIN(((-PMT(Parameters!$B$31/12,Parameters!$B$32,$F163))*3),AI171)</f>
        <v>0</v>
      </c>
      <c r="AK170" s="108">
        <f>MIN(((-PMT(Parameters!$B$31/12,Parameters!$B$32,$F163))*3),AJ171)</f>
        <v>0</v>
      </c>
      <c r="AL170" s="108">
        <f>MIN(((-PMT(Parameters!$B$31/12,Parameters!$B$32,$F163))*3),AK171)</f>
        <v>0</v>
      </c>
      <c r="AM170" s="108">
        <f>MIN(((-PMT(Parameters!$B$31/12,Parameters!$B$32,$F163))*3),AL171)</f>
        <v>0</v>
      </c>
    </row>
    <row r="171" spans="1:39" ht="15" customHeight="1" x14ac:dyDescent="0.2">
      <c r="A171" s="868"/>
      <c r="B171" s="900"/>
      <c r="C171" s="901"/>
      <c r="D171" s="901"/>
      <c r="E171" s="901"/>
      <c r="F171" s="901"/>
      <c r="G171" s="901"/>
      <c r="H171" s="901"/>
      <c r="I171" s="902"/>
      <c r="L171" s="109">
        <f>K170</f>
        <v>0</v>
      </c>
      <c r="M171" s="109">
        <f t="shared" ref="M171:AM171" si="74">L171-M170</f>
        <v>0</v>
      </c>
      <c r="N171" s="109">
        <f t="shared" si="74"/>
        <v>0</v>
      </c>
      <c r="O171" s="109">
        <f t="shared" si="74"/>
        <v>0</v>
      </c>
      <c r="P171" s="109">
        <f t="shared" si="74"/>
        <v>0</v>
      </c>
      <c r="Q171" s="109">
        <f t="shared" si="74"/>
        <v>0</v>
      </c>
      <c r="R171" s="109">
        <f t="shared" si="74"/>
        <v>0</v>
      </c>
      <c r="S171" s="109">
        <f t="shared" si="74"/>
        <v>0</v>
      </c>
      <c r="T171" s="109">
        <f t="shared" si="74"/>
        <v>0</v>
      </c>
      <c r="U171" s="109">
        <f t="shared" si="74"/>
        <v>0</v>
      </c>
      <c r="V171" s="109">
        <f t="shared" si="74"/>
        <v>0</v>
      </c>
      <c r="W171" s="109">
        <f t="shared" si="74"/>
        <v>0</v>
      </c>
      <c r="X171" s="109">
        <f t="shared" si="74"/>
        <v>0</v>
      </c>
      <c r="Y171" s="109">
        <f t="shared" si="74"/>
        <v>0</v>
      </c>
      <c r="Z171" s="109">
        <f t="shared" si="74"/>
        <v>0</v>
      </c>
      <c r="AA171" s="109">
        <f t="shared" si="74"/>
        <v>0</v>
      </c>
      <c r="AB171" s="109">
        <f t="shared" si="74"/>
        <v>0</v>
      </c>
      <c r="AC171" s="109">
        <f t="shared" si="74"/>
        <v>0</v>
      </c>
      <c r="AD171" s="109">
        <f t="shared" si="74"/>
        <v>0</v>
      </c>
      <c r="AE171" s="109">
        <f t="shared" si="74"/>
        <v>0</v>
      </c>
      <c r="AF171" s="109">
        <f t="shared" si="74"/>
        <v>0</v>
      </c>
      <c r="AG171" s="109">
        <f t="shared" si="74"/>
        <v>0</v>
      </c>
      <c r="AH171" s="109">
        <f t="shared" si="74"/>
        <v>0</v>
      </c>
      <c r="AI171" s="109">
        <f t="shared" si="74"/>
        <v>0</v>
      </c>
      <c r="AJ171" s="109">
        <f t="shared" si="74"/>
        <v>0</v>
      </c>
      <c r="AK171" s="109">
        <f t="shared" si="74"/>
        <v>0</v>
      </c>
      <c r="AL171" s="109">
        <f t="shared" si="74"/>
        <v>0</v>
      </c>
      <c r="AM171" s="109">
        <f t="shared" si="74"/>
        <v>0</v>
      </c>
    </row>
    <row r="172" spans="1:39" ht="15" customHeight="1" x14ac:dyDescent="0.2">
      <c r="A172" s="868"/>
      <c r="B172" s="900"/>
      <c r="C172" s="901"/>
      <c r="D172" s="901"/>
      <c r="E172" s="901"/>
      <c r="F172" s="901"/>
      <c r="G172" s="901"/>
      <c r="H172" s="901"/>
      <c r="I172" s="902"/>
      <c r="K172" s="110">
        <f>(-PMT(Parameters!$B$31/12,Parameters!$B$32,$G163))*Parameters!$B$32</f>
        <v>0</v>
      </c>
      <c r="L172" s="111"/>
      <c r="M172" s="111"/>
      <c r="N172" s="108">
        <f>(-PMT(Parameters!$B$31/12,Parameters!$B$32,$G163))*Parameters!$K$32</f>
        <v>0</v>
      </c>
      <c r="O172" s="108">
        <f>MIN(((-PMT(Parameters!$B$31/12,Parameters!$B$32,$G163))*3),N173)</f>
        <v>0</v>
      </c>
      <c r="P172" s="108">
        <f>MIN(((-PMT(Parameters!$B$31/12,Parameters!$B$32,$G163))*3),O173)</f>
        <v>0</v>
      </c>
      <c r="Q172" s="108">
        <f>MIN(((-PMT(Parameters!$B$31/12,Parameters!$B$32,$G163))*3),P173)</f>
        <v>0</v>
      </c>
      <c r="R172" s="108">
        <f>MIN(((-PMT(Parameters!$B$31/12,Parameters!$B$32,$G163))*3),Q173)</f>
        <v>0</v>
      </c>
      <c r="S172" s="108">
        <f>MIN(((-PMT(Parameters!$B$31/12,Parameters!$B$32,$G163))*3),R173)</f>
        <v>0</v>
      </c>
      <c r="T172" s="108">
        <f>MIN(((-PMT(Parameters!$B$31/12,Parameters!$B$32,$G163))*3),S173)</f>
        <v>0</v>
      </c>
      <c r="U172" s="108">
        <f>MIN(((-PMT(Parameters!$B$31/12,Parameters!$B$32,$G163))*3),T173)</f>
        <v>0</v>
      </c>
      <c r="V172" s="108">
        <f>MIN(((-PMT(Parameters!$B$31/12,Parameters!$B$32,$G163))*3),U173)</f>
        <v>0</v>
      </c>
      <c r="W172" s="108">
        <f>MIN(((-PMT(Parameters!$B$31/12,Parameters!$B$32,$G163))*3),V173)</f>
        <v>0</v>
      </c>
      <c r="X172" s="108">
        <f>MIN(((-PMT(Parameters!$B$31/12,Parameters!$B$32,$G163))*3),W173)</f>
        <v>0</v>
      </c>
      <c r="Y172" s="108">
        <f>MIN(((-PMT(Parameters!$B$31/12,Parameters!$B$32,$G163))*3),X173)</f>
        <v>0</v>
      </c>
      <c r="Z172" s="108">
        <f>MIN(((-PMT(Parameters!$B$31/12,Parameters!$B$32,$G163))*3),Y173)</f>
        <v>0</v>
      </c>
      <c r="AA172" s="108">
        <f>MIN(((-PMT(Parameters!$B$31/12,Parameters!$B$32,$G163))*3),Z173)</f>
        <v>0</v>
      </c>
      <c r="AB172" s="108">
        <f>MIN(((-PMT(Parameters!$B$31/12,Parameters!$B$32,$G163))*3),AA173)</f>
        <v>0</v>
      </c>
      <c r="AC172" s="108">
        <f>MIN(((-PMT(Parameters!$B$31/12,Parameters!$B$32,$G163))*3),AB173)</f>
        <v>0</v>
      </c>
      <c r="AD172" s="108">
        <f>MIN(((-PMT(Parameters!$B$31/12,Parameters!$B$32,$G163))*3),AC173)</f>
        <v>0</v>
      </c>
      <c r="AE172" s="108">
        <f>MIN(((-PMT(Parameters!$B$31/12,Parameters!$B$32,$G163))*3),AD173)</f>
        <v>0</v>
      </c>
      <c r="AF172" s="108">
        <f>MIN(((-PMT(Parameters!$B$31/12,Parameters!$B$32,$G163))*3),AE173)</f>
        <v>0</v>
      </c>
      <c r="AG172" s="108">
        <f>MIN(((-PMT(Parameters!$B$31/12,Parameters!$B$32,$G163))*3),AF173)</f>
        <v>0</v>
      </c>
      <c r="AH172" s="108">
        <f>MIN(((-PMT(Parameters!$B$31/12,Parameters!$B$32,$G163))*3),AG173)</f>
        <v>0</v>
      </c>
      <c r="AI172" s="108">
        <f>MIN(((-PMT(Parameters!$B$31/12,Parameters!$B$32,$G163))*3),AH173)</f>
        <v>0</v>
      </c>
      <c r="AJ172" s="108">
        <f>MIN(((-PMT(Parameters!$B$31/12,Parameters!$B$32,$G163))*3),AI173)</f>
        <v>0</v>
      </c>
      <c r="AK172" s="108">
        <f>MIN(((-PMT(Parameters!$B$31/12,Parameters!$B$32,$G163))*3),AJ173)</f>
        <v>0</v>
      </c>
      <c r="AL172" s="108">
        <f>MIN(((-PMT(Parameters!$B$31/12,Parameters!$B$32,$G163))*3),AK173)</f>
        <v>0</v>
      </c>
      <c r="AM172" s="108">
        <f>MIN(((-PMT(Parameters!$B$31/12,Parameters!$B$32,$G163))*3),AL173)</f>
        <v>0</v>
      </c>
    </row>
    <row r="173" spans="1:39" ht="15" customHeight="1" x14ac:dyDescent="0.2">
      <c r="A173" s="868"/>
      <c r="B173" s="900"/>
      <c r="C173" s="901"/>
      <c r="D173" s="901"/>
      <c r="E173" s="901"/>
      <c r="F173" s="901"/>
      <c r="G173" s="901"/>
      <c r="H173" s="901"/>
      <c r="I173" s="902"/>
      <c r="L173" s="109">
        <f>K172</f>
        <v>0</v>
      </c>
      <c r="M173" s="109">
        <f>L173</f>
        <v>0</v>
      </c>
      <c r="N173" s="109">
        <f t="shared" ref="N173:AM173" si="75">M173-N172</f>
        <v>0</v>
      </c>
      <c r="O173" s="109">
        <f t="shared" si="75"/>
        <v>0</v>
      </c>
      <c r="P173" s="109">
        <f t="shared" si="75"/>
        <v>0</v>
      </c>
      <c r="Q173" s="109">
        <f t="shared" si="75"/>
        <v>0</v>
      </c>
      <c r="R173" s="109">
        <f t="shared" si="75"/>
        <v>0</v>
      </c>
      <c r="S173" s="109">
        <f t="shared" si="75"/>
        <v>0</v>
      </c>
      <c r="T173" s="109">
        <f t="shared" si="75"/>
        <v>0</v>
      </c>
      <c r="U173" s="109">
        <f t="shared" si="75"/>
        <v>0</v>
      </c>
      <c r="V173" s="109">
        <f t="shared" si="75"/>
        <v>0</v>
      </c>
      <c r="W173" s="109">
        <f t="shared" si="75"/>
        <v>0</v>
      </c>
      <c r="X173" s="109">
        <f t="shared" si="75"/>
        <v>0</v>
      </c>
      <c r="Y173" s="109">
        <f t="shared" si="75"/>
        <v>0</v>
      </c>
      <c r="Z173" s="109">
        <f t="shared" si="75"/>
        <v>0</v>
      </c>
      <c r="AA173" s="109">
        <f t="shared" si="75"/>
        <v>0</v>
      </c>
      <c r="AB173" s="109">
        <f t="shared" si="75"/>
        <v>0</v>
      </c>
      <c r="AC173" s="109">
        <f t="shared" si="75"/>
        <v>0</v>
      </c>
      <c r="AD173" s="109">
        <f t="shared" si="75"/>
        <v>0</v>
      </c>
      <c r="AE173" s="109">
        <f t="shared" si="75"/>
        <v>0</v>
      </c>
      <c r="AF173" s="109">
        <f t="shared" si="75"/>
        <v>0</v>
      </c>
      <c r="AG173" s="109">
        <f t="shared" si="75"/>
        <v>0</v>
      </c>
      <c r="AH173" s="109">
        <f t="shared" si="75"/>
        <v>0</v>
      </c>
      <c r="AI173" s="109">
        <f t="shared" si="75"/>
        <v>0</v>
      </c>
      <c r="AJ173" s="109">
        <f t="shared" si="75"/>
        <v>0</v>
      </c>
      <c r="AK173" s="109">
        <f t="shared" si="75"/>
        <v>0</v>
      </c>
      <c r="AL173" s="109">
        <f t="shared" si="75"/>
        <v>0</v>
      </c>
      <c r="AM173" s="109">
        <f t="shared" si="75"/>
        <v>0</v>
      </c>
    </row>
    <row r="174" spans="1:39" ht="15" customHeight="1" x14ac:dyDescent="0.2">
      <c r="A174" s="868"/>
      <c r="B174" s="900"/>
      <c r="C174" s="901"/>
      <c r="D174" s="901"/>
      <c r="E174" s="901"/>
      <c r="F174" s="901"/>
      <c r="G174" s="901"/>
      <c r="H174" s="901"/>
      <c r="I174" s="902"/>
      <c r="K174" s="110">
        <f>(-PMT(Parameters!$B$31/12,Parameters!$B$32,$H163))*Parameters!$B$32</f>
        <v>0</v>
      </c>
      <c r="L174" s="111"/>
      <c r="M174" s="111"/>
      <c r="N174" s="111"/>
      <c r="O174" s="108">
        <f>(-PMT(Parameters!$B$31/12,Parameters!$B$32,$H163))*Parameters!$K$32</f>
        <v>0</v>
      </c>
      <c r="P174" s="108">
        <f>MIN(((-PMT(Parameters!$B$31/12,Parameters!$B$32,$H163))*3),O175)</f>
        <v>0</v>
      </c>
      <c r="Q174" s="108">
        <f>MIN(((-PMT(Parameters!$B$31/12,Parameters!$B$32,$H163))*3),P175)</f>
        <v>0</v>
      </c>
      <c r="R174" s="108">
        <f>MIN(((-PMT(Parameters!$B$31/12,Parameters!$B$32,$H163))*3),Q175)</f>
        <v>0</v>
      </c>
      <c r="S174" s="108">
        <f>MIN(((-PMT(Parameters!$B$31/12,Parameters!$B$32,$H163))*3),R175)</f>
        <v>0</v>
      </c>
      <c r="T174" s="108">
        <f>MIN(((-PMT(Parameters!$B$31/12,Parameters!$B$32,$H163))*3),S175)</f>
        <v>0</v>
      </c>
      <c r="U174" s="108">
        <f>MIN(((-PMT(Parameters!$B$31/12,Parameters!$B$32,$H163))*3),T175)</f>
        <v>0</v>
      </c>
      <c r="V174" s="108">
        <f>MIN(((-PMT(Parameters!$B$31/12,Parameters!$B$32,$H163))*3),U175)</f>
        <v>0</v>
      </c>
      <c r="W174" s="108">
        <f>MIN(((-PMT(Parameters!$B$31/12,Parameters!$B$32,$H163))*3),V175)</f>
        <v>0</v>
      </c>
      <c r="X174" s="108">
        <f>MIN(((-PMT(Parameters!$B$31/12,Parameters!$B$32,$H163))*3),W175)</f>
        <v>0</v>
      </c>
      <c r="Y174" s="108">
        <f>MIN(((-PMT(Parameters!$B$31/12,Parameters!$B$32,$H163))*3),X175)</f>
        <v>0</v>
      </c>
      <c r="Z174" s="108">
        <f>MIN(((-PMT(Parameters!$B$31/12,Parameters!$B$32,$H163))*3),Y175)</f>
        <v>0</v>
      </c>
      <c r="AA174" s="108">
        <f>MIN(((-PMT(Parameters!$B$31/12,Parameters!$B$32,$H163))*3),Z175)</f>
        <v>0</v>
      </c>
      <c r="AB174" s="108">
        <f>MIN(((-PMT(Parameters!$B$31/12,Parameters!$B$32,$H163))*3),AA175)</f>
        <v>0</v>
      </c>
      <c r="AC174" s="108">
        <f>MIN(((-PMT(Parameters!$B$31/12,Parameters!$B$32,$H163))*3),AB175)</f>
        <v>0</v>
      </c>
      <c r="AD174" s="108">
        <f>MIN(((-PMT(Parameters!$B$31/12,Parameters!$B$32,$H163))*3),AC175)</f>
        <v>0</v>
      </c>
      <c r="AE174" s="108">
        <f>MIN(((-PMT(Parameters!$B$31/12,Parameters!$B$32,$H163))*3),AD175)</f>
        <v>0</v>
      </c>
      <c r="AF174" s="108">
        <f>MIN(((-PMT(Parameters!$B$31/12,Parameters!$B$32,$H163))*3),AE175)</f>
        <v>0</v>
      </c>
      <c r="AG174" s="108">
        <f>MIN(((-PMT(Parameters!$B$31/12,Parameters!$B$32,$H163))*3),AF175)</f>
        <v>0</v>
      </c>
      <c r="AH174" s="108">
        <f>MIN(((-PMT(Parameters!$B$31/12,Parameters!$B$32,$H163))*3),AG175)</f>
        <v>0</v>
      </c>
      <c r="AI174" s="108">
        <f>MIN(((-PMT(Parameters!$B$31/12,Parameters!$B$32,$H163))*3),AH175)</f>
        <v>0</v>
      </c>
      <c r="AJ174" s="108">
        <f>MIN(((-PMT(Parameters!$B$31/12,Parameters!$B$32,$H163))*3),AI175)</f>
        <v>0</v>
      </c>
      <c r="AK174" s="108">
        <f>MIN(((-PMT(Parameters!$B$31/12,Parameters!$B$32,$H163))*3),AJ175)</f>
        <v>0</v>
      </c>
      <c r="AL174" s="108">
        <f>MIN(((-PMT(Parameters!$B$31/12,Parameters!$B$32,$H163))*3),AK175)</f>
        <v>0</v>
      </c>
      <c r="AM174" s="108">
        <f>MIN(((-PMT(Parameters!$B$31/12,Parameters!$B$32,$H163))*3),AL175)</f>
        <v>0</v>
      </c>
    </row>
    <row r="175" spans="1:39" ht="15" customHeight="1" x14ac:dyDescent="0.2">
      <c r="A175" s="868"/>
      <c r="B175" s="900"/>
      <c r="C175" s="901"/>
      <c r="D175" s="901"/>
      <c r="E175" s="901"/>
      <c r="F175" s="901"/>
      <c r="G175" s="901"/>
      <c r="H175" s="901"/>
      <c r="I175" s="902"/>
      <c r="L175" s="109">
        <f>K174</f>
        <v>0</v>
      </c>
      <c r="M175" s="109">
        <f>L175</f>
        <v>0</v>
      </c>
      <c r="N175" s="109">
        <f t="shared" ref="N175:AM175" si="76">M175-N174</f>
        <v>0</v>
      </c>
      <c r="O175" s="109">
        <f t="shared" si="76"/>
        <v>0</v>
      </c>
      <c r="P175" s="109">
        <f t="shared" si="76"/>
        <v>0</v>
      </c>
      <c r="Q175" s="109">
        <f t="shared" si="76"/>
        <v>0</v>
      </c>
      <c r="R175" s="109">
        <f t="shared" si="76"/>
        <v>0</v>
      </c>
      <c r="S175" s="109">
        <f t="shared" si="76"/>
        <v>0</v>
      </c>
      <c r="T175" s="109">
        <f t="shared" si="76"/>
        <v>0</v>
      </c>
      <c r="U175" s="109">
        <f t="shared" si="76"/>
        <v>0</v>
      </c>
      <c r="V175" s="109">
        <f t="shared" si="76"/>
        <v>0</v>
      </c>
      <c r="W175" s="109">
        <f t="shared" si="76"/>
        <v>0</v>
      </c>
      <c r="X175" s="109">
        <f t="shared" si="76"/>
        <v>0</v>
      </c>
      <c r="Y175" s="109">
        <f t="shared" si="76"/>
        <v>0</v>
      </c>
      <c r="Z175" s="109">
        <f t="shared" si="76"/>
        <v>0</v>
      </c>
      <c r="AA175" s="109">
        <f t="shared" si="76"/>
        <v>0</v>
      </c>
      <c r="AB175" s="109">
        <f t="shared" si="76"/>
        <v>0</v>
      </c>
      <c r="AC175" s="109">
        <f t="shared" si="76"/>
        <v>0</v>
      </c>
      <c r="AD175" s="109">
        <f t="shared" si="76"/>
        <v>0</v>
      </c>
      <c r="AE175" s="109">
        <f t="shared" si="76"/>
        <v>0</v>
      </c>
      <c r="AF175" s="109">
        <f t="shared" si="76"/>
        <v>0</v>
      </c>
      <c r="AG175" s="109">
        <f t="shared" si="76"/>
        <v>0</v>
      </c>
      <c r="AH175" s="109">
        <f t="shared" si="76"/>
        <v>0</v>
      </c>
      <c r="AI175" s="109">
        <f t="shared" si="76"/>
        <v>0</v>
      </c>
      <c r="AJ175" s="109">
        <f t="shared" si="76"/>
        <v>0</v>
      </c>
      <c r="AK175" s="109">
        <f t="shared" si="76"/>
        <v>0</v>
      </c>
      <c r="AL175" s="109">
        <f t="shared" si="76"/>
        <v>0</v>
      </c>
      <c r="AM175" s="109">
        <f t="shared" si="76"/>
        <v>0</v>
      </c>
    </row>
    <row r="176" spans="1:39" ht="15" customHeight="1" x14ac:dyDescent="0.2">
      <c r="A176" s="868"/>
      <c r="B176" s="900"/>
      <c r="C176" s="901"/>
      <c r="D176" s="901"/>
      <c r="E176" s="901"/>
      <c r="F176" s="901"/>
      <c r="G176" s="901"/>
      <c r="H176" s="901"/>
      <c r="I176" s="902"/>
      <c r="L176" s="109">
        <f>L168+L170+L172+L174</f>
        <v>0</v>
      </c>
      <c r="M176" s="109">
        <f t="shared" ref="M176:AM176" si="77">M168+M170+M172+M174</f>
        <v>0</v>
      </c>
      <c r="N176" s="109">
        <f t="shared" si="77"/>
        <v>0</v>
      </c>
      <c r="O176" s="109">
        <f t="shared" si="77"/>
        <v>0</v>
      </c>
      <c r="P176" s="109">
        <f t="shared" si="77"/>
        <v>0</v>
      </c>
      <c r="Q176" s="109">
        <f t="shared" si="77"/>
        <v>0</v>
      </c>
      <c r="R176" s="109">
        <f t="shared" si="77"/>
        <v>0</v>
      </c>
      <c r="S176" s="109">
        <f t="shared" si="77"/>
        <v>0</v>
      </c>
      <c r="T176" s="109">
        <f t="shared" si="77"/>
        <v>0</v>
      </c>
      <c r="U176" s="109">
        <f t="shared" si="77"/>
        <v>0</v>
      </c>
      <c r="V176" s="109">
        <f t="shared" si="77"/>
        <v>0</v>
      </c>
      <c r="W176" s="109">
        <f t="shared" si="77"/>
        <v>0</v>
      </c>
      <c r="X176" s="109">
        <f t="shared" si="77"/>
        <v>0</v>
      </c>
      <c r="Y176" s="109">
        <f t="shared" si="77"/>
        <v>0</v>
      </c>
      <c r="Z176" s="109">
        <f t="shared" si="77"/>
        <v>0</v>
      </c>
      <c r="AA176" s="109">
        <f t="shared" si="77"/>
        <v>0</v>
      </c>
      <c r="AB176" s="109">
        <f t="shared" si="77"/>
        <v>0</v>
      </c>
      <c r="AC176" s="109">
        <f t="shared" si="77"/>
        <v>0</v>
      </c>
      <c r="AD176" s="109">
        <f t="shared" si="77"/>
        <v>0</v>
      </c>
      <c r="AE176" s="109">
        <f t="shared" si="77"/>
        <v>0</v>
      </c>
      <c r="AF176" s="109">
        <f t="shared" si="77"/>
        <v>0</v>
      </c>
      <c r="AG176" s="109">
        <f t="shared" si="77"/>
        <v>0</v>
      </c>
      <c r="AH176" s="109">
        <f t="shared" si="77"/>
        <v>0</v>
      </c>
      <c r="AI176" s="109">
        <f t="shared" si="77"/>
        <v>0</v>
      </c>
      <c r="AJ176" s="109">
        <f t="shared" si="77"/>
        <v>0</v>
      </c>
      <c r="AK176" s="109">
        <f t="shared" si="77"/>
        <v>0</v>
      </c>
      <c r="AL176" s="109">
        <f t="shared" si="77"/>
        <v>0</v>
      </c>
      <c r="AM176" s="109">
        <f t="shared" si="77"/>
        <v>0</v>
      </c>
    </row>
    <row r="177" spans="1:45" ht="15" customHeight="1" thickBot="1" x14ac:dyDescent="0.25">
      <c r="A177" s="869"/>
      <c r="B177" s="903"/>
      <c r="C177" s="904"/>
      <c r="D177" s="904"/>
      <c r="E177" s="904"/>
      <c r="F177" s="904"/>
      <c r="G177" s="904"/>
      <c r="H177" s="904"/>
      <c r="I177" s="905"/>
      <c r="L177"/>
      <c r="M177"/>
      <c r="N177"/>
      <c r="O177"/>
      <c r="P177"/>
      <c r="Q177"/>
      <c r="R177"/>
      <c r="S177"/>
      <c r="T177"/>
      <c r="U177"/>
      <c r="V177"/>
      <c r="W177"/>
      <c r="X177"/>
      <c r="Y177"/>
      <c r="Z177"/>
      <c r="AA177"/>
      <c r="AB177"/>
      <c r="AC177"/>
      <c r="AD177"/>
      <c r="AE177"/>
      <c r="AF177"/>
      <c r="AG177"/>
      <c r="AH177"/>
      <c r="AI177"/>
      <c r="AJ177"/>
      <c r="AK177"/>
      <c r="AL177"/>
      <c r="AM177"/>
      <c r="AN177"/>
      <c r="AO177"/>
      <c r="AP177"/>
      <c r="AQ177"/>
    </row>
    <row r="178" spans="1:45" ht="13.2" thickBot="1" x14ac:dyDescent="0.25">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row>
    <row r="179" spans="1:45" ht="16.05" customHeight="1" x14ac:dyDescent="0.2">
      <c r="A179" s="889">
        <v>2013</v>
      </c>
      <c r="B179" s="890"/>
      <c r="C179" s="893" t="s">
        <v>198</v>
      </c>
      <c r="D179" s="894"/>
      <c r="E179" s="864" t="s">
        <v>406</v>
      </c>
      <c r="F179" s="883" t="s">
        <v>407</v>
      </c>
      <c r="G179" s="883" t="s">
        <v>408</v>
      </c>
      <c r="H179" s="885" t="s">
        <v>409</v>
      </c>
      <c r="I179" s="887" t="s">
        <v>498</v>
      </c>
      <c r="L179" s="85">
        <f>P150</f>
        <v>39447</v>
      </c>
      <c r="M179" s="85">
        <f t="shared" ref="M179:AM179" si="78">L180+1</f>
        <v>39538</v>
      </c>
      <c r="N179" s="85">
        <f t="shared" si="78"/>
        <v>39629</v>
      </c>
      <c r="O179" s="85">
        <f t="shared" si="78"/>
        <v>39721</v>
      </c>
      <c r="P179" s="85">
        <f t="shared" si="78"/>
        <v>39813</v>
      </c>
      <c r="Q179" s="85">
        <f t="shared" si="78"/>
        <v>39903</v>
      </c>
      <c r="R179" s="85">
        <f t="shared" si="78"/>
        <v>39994</v>
      </c>
      <c r="S179" s="85">
        <f t="shared" si="78"/>
        <v>40086</v>
      </c>
      <c r="T179" s="85">
        <f t="shared" si="78"/>
        <v>40178</v>
      </c>
      <c r="U179" s="85">
        <f t="shared" si="78"/>
        <v>40268</v>
      </c>
      <c r="V179" s="85">
        <f t="shared" si="78"/>
        <v>40359</v>
      </c>
      <c r="W179" s="85">
        <f t="shared" si="78"/>
        <v>40451</v>
      </c>
      <c r="X179" s="85">
        <f t="shared" si="78"/>
        <v>40543</v>
      </c>
      <c r="Y179" s="85">
        <f t="shared" si="78"/>
        <v>40633</v>
      </c>
      <c r="Z179" s="85">
        <f t="shared" si="78"/>
        <v>40724</v>
      </c>
      <c r="AA179" s="85">
        <f t="shared" si="78"/>
        <v>40816</v>
      </c>
      <c r="AB179" s="85">
        <f t="shared" si="78"/>
        <v>40908</v>
      </c>
      <c r="AC179" s="85">
        <f t="shared" si="78"/>
        <v>40999</v>
      </c>
      <c r="AD179" s="85">
        <f t="shared" si="78"/>
        <v>41090</v>
      </c>
      <c r="AE179" s="85">
        <f t="shared" si="78"/>
        <v>41182</v>
      </c>
      <c r="AF179" s="85">
        <f t="shared" si="78"/>
        <v>41274</v>
      </c>
      <c r="AG179" s="85">
        <f t="shared" si="78"/>
        <v>41364</v>
      </c>
      <c r="AH179" s="85">
        <f t="shared" si="78"/>
        <v>41455</v>
      </c>
      <c r="AI179" s="85">
        <f t="shared" si="78"/>
        <v>41547</v>
      </c>
      <c r="AJ179" s="85">
        <f t="shared" si="78"/>
        <v>41639</v>
      </c>
      <c r="AK179" s="85">
        <f t="shared" si="78"/>
        <v>41729</v>
      </c>
      <c r="AL179" s="85">
        <f t="shared" si="78"/>
        <v>41820</v>
      </c>
      <c r="AM179" s="85">
        <f t="shared" si="78"/>
        <v>41912</v>
      </c>
    </row>
    <row r="180" spans="1:45" ht="16.05" customHeight="1" thickBot="1" x14ac:dyDescent="0.25">
      <c r="A180" s="891"/>
      <c r="B180" s="892"/>
      <c r="C180" s="895"/>
      <c r="D180" s="896"/>
      <c r="E180" s="865"/>
      <c r="F180" s="884"/>
      <c r="G180" s="884"/>
      <c r="H180" s="886"/>
      <c r="I180" s="888"/>
      <c r="L180" s="85">
        <f>P151</f>
        <v>39537</v>
      </c>
      <c r="M180" s="85">
        <f t="shared" ref="M180:AM180" si="79">Q151</f>
        <v>39628</v>
      </c>
      <c r="N180" s="85">
        <f t="shared" si="79"/>
        <v>39720</v>
      </c>
      <c r="O180" s="85">
        <f t="shared" si="79"/>
        <v>39812</v>
      </c>
      <c r="P180" s="85">
        <f t="shared" si="79"/>
        <v>39902</v>
      </c>
      <c r="Q180" s="85">
        <f t="shared" si="79"/>
        <v>39993</v>
      </c>
      <c r="R180" s="85">
        <f t="shared" si="79"/>
        <v>40085</v>
      </c>
      <c r="S180" s="85">
        <f t="shared" si="79"/>
        <v>40177</v>
      </c>
      <c r="T180" s="85">
        <f t="shared" si="79"/>
        <v>40267</v>
      </c>
      <c r="U180" s="85">
        <f t="shared" si="79"/>
        <v>40358</v>
      </c>
      <c r="V180" s="85">
        <f t="shared" si="79"/>
        <v>40450</v>
      </c>
      <c r="W180" s="85">
        <f t="shared" si="79"/>
        <v>40542</v>
      </c>
      <c r="X180" s="85">
        <f t="shared" si="79"/>
        <v>40632</v>
      </c>
      <c r="Y180" s="85">
        <f t="shared" si="79"/>
        <v>40723</v>
      </c>
      <c r="Z180" s="85">
        <f t="shared" si="79"/>
        <v>40815</v>
      </c>
      <c r="AA180" s="85">
        <f t="shared" si="79"/>
        <v>40907</v>
      </c>
      <c r="AB180" s="85">
        <f t="shared" si="79"/>
        <v>40998</v>
      </c>
      <c r="AC180" s="85">
        <f t="shared" si="79"/>
        <v>41089</v>
      </c>
      <c r="AD180" s="85">
        <f t="shared" si="79"/>
        <v>41181</v>
      </c>
      <c r="AE180" s="85">
        <f t="shared" si="79"/>
        <v>41273</v>
      </c>
      <c r="AF180" s="85">
        <f t="shared" si="79"/>
        <v>41363</v>
      </c>
      <c r="AG180" s="85">
        <f t="shared" si="79"/>
        <v>41454</v>
      </c>
      <c r="AH180" s="85">
        <f t="shared" si="79"/>
        <v>41546</v>
      </c>
      <c r="AI180" s="85">
        <f t="shared" si="79"/>
        <v>41638</v>
      </c>
      <c r="AJ180" s="85">
        <f t="shared" si="79"/>
        <v>41728</v>
      </c>
      <c r="AK180" s="85">
        <f t="shared" si="79"/>
        <v>41819</v>
      </c>
      <c r="AL180" s="85">
        <f t="shared" si="79"/>
        <v>41911</v>
      </c>
      <c r="AM180" s="85">
        <f t="shared" si="79"/>
        <v>42003</v>
      </c>
    </row>
    <row r="181" spans="1:45" ht="15" customHeight="1" x14ac:dyDescent="0.2">
      <c r="A181" s="878" t="s">
        <v>318</v>
      </c>
      <c r="B181" s="870" t="s">
        <v>347</v>
      </c>
      <c r="C181" s="95" t="s">
        <v>375</v>
      </c>
      <c r="D181" s="94">
        <f>1-Parameters!N$7</f>
        <v>0</v>
      </c>
      <c r="E181" s="96">
        <f>ROUND(Calculations!I4*$D181,0)</f>
        <v>0</v>
      </c>
      <c r="F181" s="96">
        <f>ROUND(Calculations!J4*$D181,0)</f>
        <v>0</v>
      </c>
      <c r="G181" s="96">
        <f>ROUND(Calculations!K4*$D181,0)</f>
        <v>0</v>
      </c>
      <c r="H181" s="96">
        <f>ROUND(Calculations!L4*$D181,0)</f>
        <v>0</v>
      </c>
      <c r="I181" s="103">
        <f>SUM(E181:H181)</f>
        <v>0</v>
      </c>
      <c r="L181" s="88"/>
      <c r="M181" s="88"/>
      <c r="N181" s="88"/>
      <c r="O181" s="88"/>
      <c r="P181" s="85">
        <f>P179</f>
        <v>39813</v>
      </c>
      <c r="Q181" s="85">
        <f>Q179</f>
        <v>39903</v>
      </c>
      <c r="R181" s="85">
        <f>R179</f>
        <v>39994</v>
      </c>
      <c r="S181" s="85">
        <f>S179</f>
        <v>40086</v>
      </c>
      <c r="T181" s="88"/>
      <c r="U181" s="88"/>
      <c r="V181" s="88"/>
      <c r="W181" s="88"/>
      <c r="Y181"/>
    </row>
    <row r="182" spans="1:45" ht="15" customHeight="1" x14ac:dyDescent="0.2">
      <c r="A182" s="880"/>
      <c r="B182" s="688"/>
      <c r="C182" s="688" t="s">
        <v>139</v>
      </c>
      <c r="D182" s="871"/>
      <c r="E182" s="92">
        <f>SUM(E181:E181)</f>
        <v>0</v>
      </c>
      <c r="F182" s="92">
        <f>SUM(F181:F181)</f>
        <v>0</v>
      </c>
      <c r="G182" s="92">
        <f>SUM(G181:G181)</f>
        <v>0</v>
      </c>
      <c r="H182" s="92">
        <f>SUM(H181:H181)</f>
        <v>0</v>
      </c>
      <c r="I182" s="872">
        <f>H183</f>
        <v>0</v>
      </c>
      <c r="L182" s="93">
        <f>IF($M184&lt;=L180,$E182,IF($N184&lt;=L180,$F182,IF($O184&lt;=L180,$G182,IF($P184&lt;=L180,$H182,))))</f>
        <v>0</v>
      </c>
      <c r="M182" s="93">
        <f t="shared" ref="M182:W182" si="80">IF(AND($M184&gt;L180,$M184&lt;=M180),$E182,IF(AND($N184&gt;L180,$N184&lt;=M180),$F182,IF(AND($O184&gt;L180,$O184&lt;=M180),$G182,IF(AND($P184&gt;L180,$P184&lt;=M180),$H182,))))</f>
        <v>0</v>
      </c>
      <c r="N182" s="93">
        <f t="shared" si="80"/>
        <v>0</v>
      </c>
      <c r="O182" s="93">
        <f t="shared" si="80"/>
        <v>0</v>
      </c>
      <c r="P182" s="93">
        <f t="shared" si="80"/>
        <v>0</v>
      </c>
      <c r="Q182" s="93">
        <f t="shared" si="80"/>
        <v>0</v>
      </c>
      <c r="R182" s="93">
        <f t="shared" si="80"/>
        <v>0</v>
      </c>
      <c r="S182" s="93">
        <f t="shared" si="80"/>
        <v>0</v>
      </c>
      <c r="T182" s="93">
        <f t="shared" si="80"/>
        <v>0</v>
      </c>
      <c r="U182" s="93">
        <f t="shared" si="80"/>
        <v>0</v>
      </c>
      <c r="V182" s="93">
        <f t="shared" si="80"/>
        <v>0</v>
      </c>
      <c r="W182" s="93">
        <f t="shared" si="80"/>
        <v>0</v>
      </c>
      <c r="X182" s="93">
        <f>SUM(L182:W182)</f>
        <v>0</v>
      </c>
      <c r="Y182"/>
    </row>
    <row r="183" spans="1:45" ht="15" customHeight="1" x14ac:dyDescent="0.2">
      <c r="A183" s="880"/>
      <c r="B183" s="688"/>
      <c r="C183" s="874" t="s">
        <v>331</v>
      </c>
      <c r="D183" s="875"/>
      <c r="E183" s="105">
        <f>E182</f>
        <v>0</v>
      </c>
      <c r="F183" s="15">
        <f>E183+F182</f>
        <v>0</v>
      </c>
      <c r="G183" s="15">
        <f>F183+G182</f>
        <v>0</v>
      </c>
      <c r="H183" s="15">
        <f>G183+H182</f>
        <v>0</v>
      </c>
      <c r="I183" s="873"/>
    </row>
    <row r="184" spans="1:45" ht="15" customHeight="1" x14ac:dyDescent="0.2">
      <c r="A184" s="880"/>
      <c r="B184" s="688" t="s">
        <v>411</v>
      </c>
      <c r="C184" s="65" t="s">
        <v>405</v>
      </c>
      <c r="D184" s="104">
        <f>Parameters!$C$21</f>
        <v>20000</v>
      </c>
      <c r="E184" s="72">
        <f>E182*$D184</f>
        <v>0</v>
      </c>
      <c r="F184" s="72">
        <f>F182*$D184</f>
        <v>0</v>
      </c>
      <c r="G184" s="72">
        <f>G182*$D184</f>
        <v>0</v>
      </c>
      <c r="H184" s="72">
        <f>H182*$D184</f>
        <v>0</v>
      </c>
      <c r="I184" s="106">
        <f>SUM(E184:H184)</f>
        <v>0</v>
      </c>
      <c r="L184" s="60" t="s">
        <v>196</v>
      </c>
      <c r="M184" s="79">
        <f>P181+$D185</f>
        <v>39813</v>
      </c>
      <c r="N184" s="79">
        <f>Q181+$D185</f>
        <v>39903</v>
      </c>
      <c r="O184" s="79">
        <f>R181+$D185</f>
        <v>39994</v>
      </c>
      <c r="P184" s="79">
        <f>S181+$D185</f>
        <v>40086</v>
      </c>
      <c r="X184" s="69" t="s">
        <v>366</v>
      </c>
    </row>
    <row r="185" spans="1:45" ht="15" customHeight="1" thickBot="1" x14ac:dyDescent="0.25">
      <c r="A185" s="881"/>
      <c r="B185" s="882"/>
      <c r="C185" s="70" t="s">
        <v>332</v>
      </c>
      <c r="D185" s="84">
        <f>Parameters!$B$36</f>
        <v>0</v>
      </c>
      <c r="E185" s="72">
        <f>SUM(L185:P185)+L214+T156</f>
        <v>0</v>
      </c>
      <c r="F185" s="66">
        <f>Q185+M214+U156</f>
        <v>0</v>
      </c>
      <c r="G185" s="66">
        <f>R185+N214+V156</f>
        <v>0</v>
      </c>
      <c r="H185" s="66">
        <f>S185+O214+W156</f>
        <v>0</v>
      </c>
      <c r="I185" s="89">
        <f>SUM(E185:H185)</f>
        <v>0</v>
      </c>
      <c r="L185" s="68">
        <f>IF($M184&lt;=L180,$E184,IF($N184&lt;=L180,$F184,IF($O184&lt;=L180,$G184,IF($P184&lt;=L180,$H184,))))</f>
        <v>0</v>
      </c>
      <c r="M185" s="68">
        <f t="shared" ref="M185:W185" si="81">IF(AND($M184&gt;L180,$M184&lt;=M180),$E184,IF(AND($N184&gt;L180,$N184&lt;=M180),$F184,IF(AND($O184&gt;L180,$O184&lt;=M180),$G184,IF(AND($P184&gt;L180,$P184&lt;=M180),$H184,))))</f>
        <v>0</v>
      </c>
      <c r="N185" s="68">
        <f t="shared" si="81"/>
        <v>0</v>
      </c>
      <c r="O185" s="68">
        <f t="shared" si="81"/>
        <v>0</v>
      </c>
      <c r="P185" s="68">
        <f t="shared" si="81"/>
        <v>0</v>
      </c>
      <c r="Q185" s="68">
        <f t="shared" si="81"/>
        <v>0</v>
      </c>
      <c r="R185" s="68">
        <f t="shared" si="81"/>
        <v>0</v>
      </c>
      <c r="S185" s="68">
        <f t="shared" si="81"/>
        <v>0</v>
      </c>
      <c r="T185" s="68">
        <f t="shared" si="81"/>
        <v>0</v>
      </c>
      <c r="U185" s="68">
        <f t="shared" si="81"/>
        <v>0</v>
      </c>
      <c r="V185" s="68">
        <f t="shared" si="81"/>
        <v>0</v>
      </c>
      <c r="W185" s="68">
        <f t="shared" si="81"/>
        <v>0</v>
      </c>
      <c r="X185" s="68">
        <f>SUM(L185:W185)</f>
        <v>0</v>
      </c>
    </row>
    <row r="186" spans="1:45" ht="15" customHeight="1" x14ac:dyDescent="0.2">
      <c r="A186" s="866" t="s">
        <v>206</v>
      </c>
      <c r="B186" s="870" t="s">
        <v>317</v>
      </c>
      <c r="C186" s="95" t="str">
        <f>C181</f>
        <v>N. Amer</v>
      </c>
      <c r="D186" s="94">
        <f>1-D181</f>
        <v>1</v>
      </c>
      <c r="E186" s="96">
        <f>Calculations!I4-E181</f>
        <v>0</v>
      </c>
      <c r="F186" s="97">
        <f>Calculations!J4-F181</f>
        <v>0</v>
      </c>
      <c r="G186" s="97">
        <f>Calculations!K4-G181</f>
        <v>0</v>
      </c>
      <c r="H186" s="96">
        <f>Calculations!L4-H181</f>
        <v>0</v>
      </c>
      <c r="I186" s="103">
        <f>SUM(E186:H186)</f>
        <v>0</v>
      </c>
    </row>
    <row r="187" spans="1:45" ht="15" customHeight="1" x14ac:dyDescent="0.2">
      <c r="A187" s="868"/>
      <c r="B187" s="688"/>
      <c r="C187" s="688" t="s">
        <v>139</v>
      </c>
      <c r="D187" s="871"/>
      <c r="E187" s="92">
        <f>SUM(E186:E186)</f>
        <v>0</v>
      </c>
      <c r="F187" s="10">
        <f>SUM(F186:F186)</f>
        <v>0</v>
      </c>
      <c r="G187" s="10">
        <f>SUM(G186:G186)</f>
        <v>0</v>
      </c>
      <c r="H187" s="101">
        <f>SUM(H186:H186)</f>
        <v>0</v>
      </c>
      <c r="I187" s="872">
        <f>H188</f>
        <v>0</v>
      </c>
      <c r="L187"/>
      <c r="M187"/>
      <c r="N187"/>
      <c r="O187"/>
      <c r="P187"/>
      <c r="Q187"/>
      <c r="R187"/>
      <c r="S187"/>
      <c r="T187"/>
      <c r="U187"/>
      <c r="V187"/>
      <c r="W187"/>
      <c r="X187"/>
      <c r="Y187"/>
    </row>
    <row r="188" spans="1:45" ht="15" customHeight="1" x14ac:dyDescent="0.2">
      <c r="A188" s="868"/>
      <c r="B188" s="688"/>
      <c r="C188" s="874" t="s">
        <v>331</v>
      </c>
      <c r="D188" s="875"/>
      <c r="E188" s="105">
        <f>E187</f>
        <v>0</v>
      </c>
      <c r="F188" s="15">
        <f>F187+E188</f>
        <v>0</v>
      </c>
      <c r="G188" s="15">
        <f>G187+F188</f>
        <v>0</v>
      </c>
      <c r="H188" s="15">
        <f>H187+G188</f>
        <v>0</v>
      </c>
      <c r="I188" s="873"/>
      <c r="L188"/>
      <c r="M188"/>
      <c r="N188"/>
      <c r="O188"/>
      <c r="P188"/>
      <c r="Q188"/>
      <c r="R188"/>
      <c r="S188"/>
      <c r="T188"/>
      <c r="U188"/>
      <c r="V188"/>
      <c r="W188"/>
      <c r="X188"/>
      <c r="Y188"/>
    </row>
    <row r="189" spans="1:45" ht="15" customHeight="1" x14ac:dyDescent="0.2">
      <c r="A189" s="868"/>
      <c r="B189" s="566" t="s">
        <v>68</v>
      </c>
      <c r="C189" s="688" t="s">
        <v>412</v>
      </c>
      <c r="D189" s="871"/>
      <c r="E189" s="72">
        <f>E187*$D184</f>
        <v>0</v>
      </c>
      <c r="F189" s="66">
        <f>F187*$D184</f>
        <v>0</v>
      </c>
      <c r="G189" s="66">
        <f>G187*$D184</f>
        <v>0</v>
      </c>
      <c r="H189" s="86">
        <f>H187*$D184</f>
        <v>0</v>
      </c>
      <c r="I189" s="74">
        <f>SUM(E189:H189)</f>
        <v>0</v>
      </c>
    </row>
    <row r="190" spans="1:45" ht="15" customHeight="1" x14ac:dyDescent="0.2">
      <c r="A190" s="868"/>
      <c r="B190" s="566"/>
      <c r="C190" s="65" t="s">
        <v>413</v>
      </c>
      <c r="D190" s="87">
        <f>1-Parameters!$B$33</f>
        <v>0.19999999999999996</v>
      </c>
      <c r="E190" s="72">
        <f>E189*$D190</f>
        <v>0</v>
      </c>
      <c r="F190" s="66">
        <f>F189*$D190</f>
        <v>0</v>
      </c>
      <c r="G190" s="66">
        <f>G189*$D190</f>
        <v>0</v>
      </c>
      <c r="H190" s="86">
        <f>H189*$D190</f>
        <v>0</v>
      </c>
      <c r="I190" s="106">
        <f>SUM(E190:H190)</f>
        <v>0</v>
      </c>
      <c r="L190" s="60" t="s">
        <v>196</v>
      </c>
      <c r="M190" s="79">
        <f>P181+$D191</f>
        <v>39813</v>
      </c>
      <c r="N190" s="79">
        <f>Q181+$D191</f>
        <v>39903</v>
      </c>
      <c r="O190" s="79">
        <f>R181+$D191</f>
        <v>39994</v>
      </c>
      <c r="P190" s="79">
        <f>S181+$D191</f>
        <v>40086</v>
      </c>
      <c r="X190" s="69" t="s">
        <v>366</v>
      </c>
    </row>
    <row r="191" spans="1:45" ht="15" customHeight="1" x14ac:dyDescent="0.2">
      <c r="A191" s="868"/>
      <c r="B191" s="566"/>
      <c r="C191" s="5" t="s">
        <v>332</v>
      </c>
      <c r="D191" s="73">
        <f>Parameters!$B$36</f>
        <v>0</v>
      </c>
      <c r="E191" s="72">
        <f>SUM(L191:P191)+L220+T162</f>
        <v>0</v>
      </c>
      <c r="F191" s="66">
        <f>Q191+M220+U162</f>
        <v>0</v>
      </c>
      <c r="G191" s="66">
        <f>R191+N220+V162</f>
        <v>0</v>
      </c>
      <c r="H191" s="66">
        <f>S191+O220+W162</f>
        <v>0</v>
      </c>
      <c r="I191" s="74">
        <f>SUM(E191:H191)</f>
        <v>0</v>
      </c>
      <c r="L191" s="68">
        <f>IF($M190&lt;=L180,$E190,IF($N190&lt;=L180,$F190,IF($O190&lt;=L180,$G190,IF($P190&lt;=L180,$H190,))))</f>
        <v>0</v>
      </c>
      <c r="M191" s="68">
        <f t="shared" ref="M191:W191" si="82">IF(AND($M190&gt;L180,$M190&lt;=M180),$E190,IF(AND($N190&gt;L180,$N190&lt;=M180),$F190,IF(AND($O190&gt;L180,$O190&lt;=M180),$G190,IF(AND($P190&gt;L180,$P190&lt;=M180),$H190,))))</f>
        <v>0</v>
      </c>
      <c r="N191" s="68">
        <f t="shared" si="82"/>
        <v>0</v>
      </c>
      <c r="O191" s="68">
        <f t="shared" si="82"/>
        <v>0</v>
      </c>
      <c r="P191" s="68">
        <f t="shared" si="82"/>
        <v>0</v>
      </c>
      <c r="Q191" s="68">
        <f t="shared" si="82"/>
        <v>0</v>
      </c>
      <c r="R191" s="68">
        <f t="shared" si="82"/>
        <v>0</v>
      </c>
      <c r="S191" s="68">
        <f t="shared" si="82"/>
        <v>0</v>
      </c>
      <c r="T191" s="68">
        <f t="shared" si="82"/>
        <v>0</v>
      </c>
      <c r="U191" s="68">
        <f t="shared" si="82"/>
        <v>0</v>
      </c>
      <c r="V191" s="68">
        <f t="shared" si="82"/>
        <v>0</v>
      </c>
      <c r="W191" s="68">
        <f t="shared" si="82"/>
        <v>0</v>
      </c>
      <c r="X191" s="68">
        <f>SUM(L191:W191)</f>
        <v>0</v>
      </c>
    </row>
    <row r="192" spans="1:45" ht="15" customHeight="1" x14ac:dyDescent="0.2">
      <c r="A192" s="868"/>
      <c r="B192" s="566"/>
      <c r="C192" s="65" t="s">
        <v>194</v>
      </c>
      <c r="D192" s="87">
        <f>Parameters!$B$33</f>
        <v>0.8</v>
      </c>
      <c r="E192" s="72">
        <f>E189*$D192</f>
        <v>0</v>
      </c>
      <c r="F192" s="72">
        <f>F189*$D192</f>
        <v>0</v>
      </c>
      <c r="G192" s="72">
        <f>G189*$D192</f>
        <v>0</v>
      </c>
      <c r="H192" s="72">
        <f>H189*$D192</f>
        <v>0</v>
      </c>
      <c r="I192" s="74">
        <f>SUM(E192:H192)</f>
        <v>0</v>
      </c>
      <c r="L192" s="91"/>
      <c r="M192" s="91"/>
      <c r="N192" s="91"/>
      <c r="O192" s="91"/>
      <c r="P192" s="91"/>
      <c r="Q192" s="91"/>
      <c r="R192" s="91"/>
      <c r="S192" s="91"/>
      <c r="T192" s="91"/>
      <c r="U192" s="91"/>
      <c r="V192" s="91"/>
      <c r="W192" s="91"/>
      <c r="X192" s="91"/>
    </row>
    <row r="193" spans="1:39" ht="15" customHeight="1" x14ac:dyDescent="0.2">
      <c r="A193" s="868"/>
      <c r="B193" s="566"/>
      <c r="C193" s="874" t="s">
        <v>331</v>
      </c>
      <c r="D193" s="875"/>
      <c r="E193" s="81">
        <f>E192</f>
        <v>0</v>
      </c>
      <c r="F193" s="81">
        <f>E193+F192</f>
        <v>0</v>
      </c>
      <c r="G193" s="81">
        <f>F193+G192</f>
        <v>0</v>
      </c>
      <c r="H193" s="81">
        <f>G193+H192</f>
        <v>0</v>
      </c>
      <c r="I193" s="78">
        <f>H193</f>
        <v>0</v>
      </c>
      <c r="L193" s="91"/>
      <c r="M193" s="91"/>
      <c r="N193" s="91"/>
      <c r="O193" s="91"/>
      <c r="P193" s="91"/>
      <c r="Q193" s="91"/>
      <c r="R193" s="91"/>
      <c r="S193" s="91"/>
      <c r="T193" s="91"/>
      <c r="U193" s="91"/>
      <c r="V193" s="91"/>
      <c r="W193" s="91"/>
      <c r="X193" s="91"/>
    </row>
    <row r="194" spans="1:39" ht="15" customHeight="1" x14ac:dyDescent="0.2">
      <c r="A194" s="868"/>
      <c r="B194" s="566"/>
      <c r="C194" s="876" t="s">
        <v>390</v>
      </c>
      <c r="D194" s="877"/>
      <c r="E194" s="107">
        <f>L205+Q176</f>
        <v>0</v>
      </c>
      <c r="F194" s="107">
        <f>M205+R176</f>
        <v>0</v>
      </c>
      <c r="G194" s="107">
        <f>N205+S176</f>
        <v>0</v>
      </c>
      <c r="H194" s="107">
        <f>O205+T176</f>
        <v>0</v>
      </c>
      <c r="I194" s="74">
        <f>SUM(E194:H194)</f>
        <v>0</v>
      </c>
      <c r="L194" s="60" t="s">
        <v>196</v>
      </c>
      <c r="M194" s="79">
        <f>P181+$D195</f>
        <v>39843</v>
      </c>
      <c r="N194" s="79">
        <f>Q181+$D195</f>
        <v>39933</v>
      </c>
      <c r="O194" s="79">
        <f>R181+$D195</f>
        <v>40024</v>
      </c>
      <c r="P194" s="79">
        <f>S181+$D195</f>
        <v>40116</v>
      </c>
      <c r="X194" s="69" t="s">
        <v>366</v>
      </c>
    </row>
    <row r="195" spans="1:39" ht="15" customHeight="1" x14ac:dyDescent="0.2">
      <c r="A195" s="868"/>
      <c r="B195" s="566"/>
      <c r="C195" s="75" t="s">
        <v>332</v>
      </c>
      <c r="D195" s="76">
        <f>Parameters!$B$37</f>
        <v>30</v>
      </c>
      <c r="E195" s="112">
        <f>SUM(L195:P195)+L224</f>
        <v>0</v>
      </c>
      <c r="F195" s="71">
        <f>Q195+M224</f>
        <v>0</v>
      </c>
      <c r="G195" s="71">
        <f>R195+N224</f>
        <v>0</v>
      </c>
      <c r="H195" s="71">
        <f>S195+O224</f>
        <v>0</v>
      </c>
      <c r="I195" s="77">
        <f>SUM(E195:H195)</f>
        <v>0</v>
      </c>
      <c r="L195" s="68">
        <f>IF($M194&lt;=L180,$E194,IF($N194&lt;=L180,$F194,IF($O194&lt;=L180,$G194,IF($P194&lt;=L180,$H194,))))</f>
        <v>0</v>
      </c>
      <c r="M195" s="68">
        <f t="shared" ref="M195:W195" si="83">IF(AND($M194&gt;L180,$M194&lt;=M180),$E194,IF(AND($N194&gt;L180,$N194&lt;=M180),$F194,IF(AND($O194&gt;L180,$O194&lt;=M180),$G194,IF(AND($P194&gt;L180,$P194&lt;=M180),$H194,))))</f>
        <v>0</v>
      </c>
      <c r="N195" s="68">
        <f t="shared" si="83"/>
        <v>0</v>
      </c>
      <c r="O195" s="68">
        <f t="shared" si="83"/>
        <v>0</v>
      </c>
      <c r="P195" s="68">
        <f t="shared" si="83"/>
        <v>0</v>
      </c>
      <c r="Q195" s="68">
        <f t="shared" si="83"/>
        <v>0</v>
      </c>
      <c r="R195" s="68">
        <f t="shared" si="83"/>
        <v>0</v>
      </c>
      <c r="S195" s="68">
        <f t="shared" si="83"/>
        <v>0</v>
      </c>
      <c r="T195" s="68">
        <f t="shared" si="83"/>
        <v>0</v>
      </c>
      <c r="U195" s="68">
        <f t="shared" si="83"/>
        <v>0</v>
      </c>
      <c r="V195" s="68">
        <f t="shared" si="83"/>
        <v>0</v>
      </c>
      <c r="W195" s="68">
        <f t="shared" si="83"/>
        <v>0</v>
      </c>
      <c r="X195" s="68">
        <f>SUM(L195:W195)</f>
        <v>0</v>
      </c>
    </row>
    <row r="196" spans="1:39" ht="15" customHeight="1" x14ac:dyDescent="0.2">
      <c r="A196" s="868"/>
      <c r="B196" s="860" t="s">
        <v>410</v>
      </c>
      <c r="C196" s="860"/>
      <c r="D196" s="860"/>
      <c r="E196" s="860"/>
      <c r="F196" s="860"/>
      <c r="G196" s="860"/>
      <c r="H196" s="860"/>
      <c r="I196" s="861"/>
      <c r="L196" s="67">
        <f t="shared" ref="L196:AM196" si="84">P180</f>
        <v>39902</v>
      </c>
      <c r="M196" s="67">
        <f t="shared" si="84"/>
        <v>39993</v>
      </c>
      <c r="N196" s="67">
        <f t="shared" si="84"/>
        <v>40085</v>
      </c>
      <c r="O196" s="67">
        <f t="shared" si="84"/>
        <v>40177</v>
      </c>
      <c r="P196" s="67">
        <f t="shared" si="84"/>
        <v>40267</v>
      </c>
      <c r="Q196" s="67">
        <f t="shared" si="84"/>
        <v>40358</v>
      </c>
      <c r="R196" s="67">
        <f t="shared" si="84"/>
        <v>40450</v>
      </c>
      <c r="S196" s="67">
        <f t="shared" si="84"/>
        <v>40542</v>
      </c>
      <c r="T196" s="67">
        <f t="shared" si="84"/>
        <v>40632</v>
      </c>
      <c r="U196" s="67">
        <f t="shared" si="84"/>
        <v>40723</v>
      </c>
      <c r="V196" s="67">
        <f t="shared" si="84"/>
        <v>40815</v>
      </c>
      <c r="W196" s="67">
        <f t="shared" si="84"/>
        <v>40907</v>
      </c>
      <c r="X196" s="67">
        <f t="shared" si="84"/>
        <v>40998</v>
      </c>
      <c r="Y196" s="67">
        <f t="shared" si="84"/>
        <v>41089</v>
      </c>
      <c r="Z196" s="67">
        <f t="shared" si="84"/>
        <v>41181</v>
      </c>
      <c r="AA196" s="67">
        <f t="shared" si="84"/>
        <v>41273</v>
      </c>
      <c r="AB196" s="67">
        <f t="shared" si="84"/>
        <v>41363</v>
      </c>
      <c r="AC196" s="67">
        <f t="shared" si="84"/>
        <v>41454</v>
      </c>
      <c r="AD196" s="67">
        <f t="shared" si="84"/>
        <v>41546</v>
      </c>
      <c r="AE196" s="67">
        <f t="shared" si="84"/>
        <v>41638</v>
      </c>
      <c r="AF196" s="67">
        <f t="shared" si="84"/>
        <v>41728</v>
      </c>
      <c r="AG196" s="67">
        <f t="shared" si="84"/>
        <v>41819</v>
      </c>
      <c r="AH196" s="67">
        <f t="shared" si="84"/>
        <v>41911</v>
      </c>
      <c r="AI196" s="67">
        <f t="shared" si="84"/>
        <v>42003</v>
      </c>
      <c r="AJ196" s="67">
        <f t="shared" si="84"/>
        <v>0</v>
      </c>
      <c r="AK196" s="67">
        <f t="shared" si="84"/>
        <v>0</v>
      </c>
      <c r="AL196" s="67">
        <f t="shared" si="84"/>
        <v>0</v>
      </c>
      <c r="AM196" s="67">
        <f t="shared" si="84"/>
        <v>0</v>
      </c>
    </row>
    <row r="197" spans="1:39" ht="15" customHeight="1" x14ac:dyDescent="0.2">
      <c r="A197" s="868"/>
      <c r="B197" s="860"/>
      <c r="C197" s="860"/>
      <c r="D197" s="860"/>
      <c r="E197" s="860"/>
      <c r="F197" s="860"/>
      <c r="G197" s="860"/>
      <c r="H197" s="860"/>
      <c r="I197" s="861"/>
      <c r="K197" s="110">
        <f>(-PMT(Parameters!$B$31/12,Parameters!$B$32,$E192))*Parameters!$B$32</f>
        <v>0</v>
      </c>
      <c r="L197" s="108">
        <f>(-PMT(Parameters!$B$31/12,Parameters!$B$32,$E192))*Parameters!$K$32</f>
        <v>0</v>
      </c>
      <c r="M197" s="108">
        <f>MIN(((-PMT(Parameters!$B$31/12,Parameters!$B$32,$E192))*3),L198)</f>
        <v>0</v>
      </c>
      <c r="N197" s="108">
        <f>MIN(((-PMT(Parameters!$B$31/12,Parameters!$B$32,$E192))*3),M198)</f>
        <v>0</v>
      </c>
      <c r="O197" s="108">
        <f>MIN(((-PMT(Parameters!$B$31/12,Parameters!$B$32,$E192))*3),N198)</f>
        <v>0</v>
      </c>
      <c r="P197" s="108">
        <f>MIN(((-PMT(Parameters!$B$31/12,Parameters!$B$32,$E192))*3),O198)</f>
        <v>0</v>
      </c>
      <c r="Q197" s="108">
        <f>MIN(((-PMT(Parameters!$B$31/12,Parameters!$B$32,$E192))*3),P198)</f>
        <v>0</v>
      </c>
      <c r="R197" s="108">
        <f>MIN(((-PMT(Parameters!$B$31/12,Parameters!$B$32,$E192))*3),Q198)</f>
        <v>0</v>
      </c>
      <c r="S197" s="108">
        <f>MIN(((-PMT(Parameters!$B$31/12,Parameters!$B$32,$E192))*3),R198)</f>
        <v>0</v>
      </c>
      <c r="T197" s="108">
        <f>MIN(((-PMT(Parameters!$B$31/12,Parameters!$B$32,$E192))*3),S198)</f>
        <v>0</v>
      </c>
      <c r="U197" s="108">
        <f>MIN(((-PMT(Parameters!$B$31/12,Parameters!$B$32,$E192))*3),T198)</f>
        <v>0</v>
      </c>
      <c r="V197" s="108">
        <f>MIN(((-PMT(Parameters!$B$31/12,Parameters!$B$32,$E192))*3),U198)</f>
        <v>0</v>
      </c>
      <c r="W197" s="108">
        <f>MIN(((-PMT(Parameters!$B$31/12,Parameters!$B$32,$E192))*3),V198)</f>
        <v>0</v>
      </c>
      <c r="X197" s="108">
        <f>MIN(((-PMT(Parameters!$B$31/12,Parameters!$B$32,$E192))*3),W198)</f>
        <v>0</v>
      </c>
      <c r="Y197" s="108">
        <f>MIN(((-PMT(Parameters!$B$31/12,Parameters!$B$32,$E192))*3),X198)</f>
        <v>0</v>
      </c>
      <c r="Z197" s="108">
        <f>MIN(((-PMT(Parameters!$B$31/12,Parameters!$B$32,$E192))*3),Y198)</f>
        <v>0</v>
      </c>
      <c r="AA197" s="108">
        <f>MIN(((-PMT(Parameters!$B$31/12,Parameters!$B$32,$E192))*3),Z198)</f>
        <v>0</v>
      </c>
      <c r="AB197" s="108">
        <f>MIN(((-PMT(Parameters!$B$31/12,Parameters!$B$32,$E192))*3),AA198)</f>
        <v>0</v>
      </c>
      <c r="AC197" s="108">
        <f>MIN(((-PMT(Parameters!$B$31/12,Parameters!$B$32,$E192))*3),AB198)</f>
        <v>0</v>
      </c>
      <c r="AD197" s="108">
        <f>MIN(((-PMT(Parameters!$B$31/12,Parameters!$B$32,$E192))*3),AC198)</f>
        <v>0</v>
      </c>
      <c r="AE197" s="108">
        <f>MIN(((-PMT(Parameters!$B$31/12,Parameters!$B$32,$E192))*3),AD198)</f>
        <v>0</v>
      </c>
      <c r="AF197" s="108">
        <f>MIN(((-PMT(Parameters!$B$31/12,Parameters!$B$32,$E192))*3),AE198)</f>
        <v>0</v>
      </c>
      <c r="AG197" s="108">
        <f>MIN(((-PMT(Parameters!$B$31/12,Parameters!$B$32,$E192))*3),AF198)</f>
        <v>0</v>
      </c>
      <c r="AH197" s="108">
        <f>MIN(((-PMT(Parameters!$B$31/12,Parameters!$B$32,$E192))*3),AG198)</f>
        <v>0</v>
      </c>
      <c r="AI197" s="108">
        <f>MIN(((-PMT(Parameters!$B$31/12,Parameters!$B$32,$E192))*3),AH198)</f>
        <v>0</v>
      </c>
      <c r="AJ197" s="108">
        <f>MIN(((-PMT(Parameters!$B$31/12,Parameters!$B$32,$E192))*3),AI198)</f>
        <v>0</v>
      </c>
      <c r="AK197" s="108">
        <f>MIN(((-PMT(Parameters!$B$31/12,Parameters!$B$32,$E192))*3),AJ198)</f>
        <v>0</v>
      </c>
      <c r="AL197" s="108">
        <f>MIN(((-PMT(Parameters!$B$31/12,Parameters!$B$32,$E192))*3),AK198)</f>
        <v>0</v>
      </c>
      <c r="AM197" s="108">
        <f>MIN(((-PMT(Parameters!$B$31/12,Parameters!$B$32,$E192))*3),AL198)</f>
        <v>0</v>
      </c>
    </row>
    <row r="198" spans="1:39" ht="15" customHeight="1" x14ac:dyDescent="0.2">
      <c r="A198" s="868"/>
      <c r="B198" s="860"/>
      <c r="C198" s="860"/>
      <c r="D198" s="860"/>
      <c r="E198" s="860"/>
      <c r="F198" s="860"/>
      <c r="G198" s="860"/>
      <c r="H198" s="860"/>
      <c r="I198" s="861"/>
      <c r="L198" s="109">
        <f>K197-L197</f>
        <v>0</v>
      </c>
      <c r="M198" s="109">
        <f t="shared" ref="M198:AM198" si="85">L198-M197</f>
        <v>0</v>
      </c>
      <c r="N198" s="109">
        <f t="shared" si="85"/>
        <v>0</v>
      </c>
      <c r="O198" s="109">
        <f t="shared" si="85"/>
        <v>0</v>
      </c>
      <c r="P198" s="109">
        <f t="shared" si="85"/>
        <v>0</v>
      </c>
      <c r="Q198" s="109">
        <f t="shared" si="85"/>
        <v>0</v>
      </c>
      <c r="R198" s="109">
        <f t="shared" si="85"/>
        <v>0</v>
      </c>
      <c r="S198" s="109">
        <f t="shared" si="85"/>
        <v>0</v>
      </c>
      <c r="T198" s="109">
        <f t="shared" si="85"/>
        <v>0</v>
      </c>
      <c r="U198" s="109">
        <f t="shared" si="85"/>
        <v>0</v>
      </c>
      <c r="V198" s="109">
        <f t="shared" si="85"/>
        <v>0</v>
      </c>
      <c r="W198" s="109">
        <f t="shared" si="85"/>
        <v>0</v>
      </c>
      <c r="X198" s="109">
        <f t="shared" si="85"/>
        <v>0</v>
      </c>
      <c r="Y198" s="109">
        <f t="shared" si="85"/>
        <v>0</v>
      </c>
      <c r="Z198" s="109">
        <f t="shared" si="85"/>
        <v>0</v>
      </c>
      <c r="AA198" s="109">
        <f t="shared" si="85"/>
        <v>0</v>
      </c>
      <c r="AB198" s="109">
        <f t="shared" si="85"/>
        <v>0</v>
      </c>
      <c r="AC198" s="109">
        <f t="shared" si="85"/>
        <v>0</v>
      </c>
      <c r="AD198" s="109">
        <f t="shared" si="85"/>
        <v>0</v>
      </c>
      <c r="AE198" s="109">
        <f t="shared" si="85"/>
        <v>0</v>
      </c>
      <c r="AF198" s="109">
        <f t="shared" si="85"/>
        <v>0</v>
      </c>
      <c r="AG198" s="109">
        <f t="shared" si="85"/>
        <v>0</v>
      </c>
      <c r="AH198" s="109">
        <f t="shared" si="85"/>
        <v>0</v>
      </c>
      <c r="AI198" s="109">
        <f t="shared" si="85"/>
        <v>0</v>
      </c>
      <c r="AJ198" s="109">
        <f t="shared" si="85"/>
        <v>0</v>
      </c>
      <c r="AK198" s="109">
        <f t="shared" si="85"/>
        <v>0</v>
      </c>
      <c r="AL198" s="109">
        <f t="shared" si="85"/>
        <v>0</v>
      </c>
      <c r="AM198" s="109">
        <f t="shared" si="85"/>
        <v>0</v>
      </c>
    </row>
    <row r="199" spans="1:39" ht="15" customHeight="1" x14ac:dyDescent="0.2">
      <c r="A199" s="868"/>
      <c r="B199" s="860"/>
      <c r="C199" s="860"/>
      <c r="D199" s="860"/>
      <c r="E199" s="860"/>
      <c r="F199" s="860"/>
      <c r="G199" s="860"/>
      <c r="H199" s="860"/>
      <c r="I199" s="861"/>
      <c r="K199" s="110">
        <f>(-PMT(Parameters!$B$31/12,Parameters!$B$32,$F192))*Parameters!$B$32</f>
        <v>0</v>
      </c>
      <c r="L199" s="111"/>
      <c r="M199" s="108">
        <f>(-PMT(Parameters!$B$31/12,Parameters!$B$32,$F192))*Parameters!$K$32</f>
        <v>0</v>
      </c>
      <c r="N199" s="108">
        <f>MIN(((-PMT(Parameters!$B$31/12,Parameters!$B$32,$F192))*3),M200)</f>
        <v>0</v>
      </c>
      <c r="O199" s="108">
        <f>MIN(((-PMT(Parameters!$B$31/12,Parameters!$B$32,$F192))*3),N200)</f>
        <v>0</v>
      </c>
      <c r="P199" s="108">
        <f>MIN(((-PMT(Parameters!$B$31/12,Parameters!$B$32,$F192))*3),O200)</f>
        <v>0</v>
      </c>
      <c r="Q199" s="108">
        <f>MIN(((-PMT(Parameters!$B$31/12,Parameters!$B$32,$F192))*3),P200)</f>
        <v>0</v>
      </c>
      <c r="R199" s="108">
        <f>MIN(((-PMT(Parameters!$B$31/12,Parameters!$B$32,$F192))*3),Q200)</f>
        <v>0</v>
      </c>
      <c r="S199" s="108">
        <f>MIN(((-PMT(Parameters!$B$31/12,Parameters!$B$32,$F192))*3),R200)</f>
        <v>0</v>
      </c>
      <c r="T199" s="108">
        <f>MIN(((-PMT(Parameters!$B$31/12,Parameters!$B$32,$F192))*3),S200)</f>
        <v>0</v>
      </c>
      <c r="U199" s="108">
        <f>MIN(((-PMT(Parameters!$B$31/12,Parameters!$B$32,$F192))*3),T200)</f>
        <v>0</v>
      </c>
      <c r="V199" s="108">
        <f>MIN(((-PMT(Parameters!$B$31/12,Parameters!$B$32,$F192))*3),U200)</f>
        <v>0</v>
      </c>
      <c r="W199" s="108">
        <f>MIN(((-PMT(Parameters!$B$31/12,Parameters!$B$32,$F192))*3),V200)</f>
        <v>0</v>
      </c>
      <c r="X199" s="108">
        <f>MIN(((-PMT(Parameters!$B$31/12,Parameters!$B$32,$F192))*3),W200)</f>
        <v>0</v>
      </c>
      <c r="Y199" s="108">
        <f>MIN(((-PMT(Parameters!$B$31/12,Parameters!$B$32,$F192))*3),X200)</f>
        <v>0</v>
      </c>
      <c r="Z199" s="108">
        <f>MIN(((-PMT(Parameters!$B$31/12,Parameters!$B$32,$F192))*3),Y200)</f>
        <v>0</v>
      </c>
      <c r="AA199" s="108">
        <f>MIN(((-PMT(Parameters!$B$31/12,Parameters!$B$32,$F192))*3),Z200)</f>
        <v>0</v>
      </c>
      <c r="AB199" s="108">
        <f>MIN(((-PMT(Parameters!$B$31/12,Parameters!$B$32,$F192))*3),AA200)</f>
        <v>0</v>
      </c>
      <c r="AC199" s="108">
        <f>MIN(((-PMT(Parameters!$B$31/12,Parameters!$B$32,$F192))*3),AB200)</f>
        <v>0</v>
      </c>
      <c r="AD199" s="108">
        <f>MIN(((-PMT(Parameters!$B$31/12,Parameters!$B$32,$F192))*3),AC200)</f>
        <v>0</v>
      </c>
      <c r="AE199" s="108">
        <f>MIN(((-PMT(Parameters!$B$31/12,Parameters!$B$32,$F192))*3),AD200)</f>
        <v>0</v>
      </c>
      <c r="AF199" s="108">
        <f>MIN(((-PMT(Parameters!$B$31/12,Parameters!$B$32,$F192))*3),AE200)</f>
        <v>0</v>
      </c>
      <c r="AG199" s="108">
        <f>MIN(((-PMT(Parameters!$B$31/12,Parameters!$B$32,$F192))*3),AF200)</f>
        <v>0</v>
      </c>
      <c r="AH199" s="108">
        <f>MIN(((-PMT(Parameters!$B$31/12,Parameters!$B$32,$F192))*3),AG200)</f>
        <v>0</v>
      </c>
      <c r="AI199" s="108">
        <f>MIN(((-PMT(Parameters!$B$31/12,Parameters!$B$32,$F192))*3),AH200)</f>
        <v>0</v>
      </c>
      <c r="AJ199" s="108">
        <f>MIN(((-PMT(Parameters!$B$31/12,Parameters!$B$32,$F192))*3),AI200)</f>
        <v>0</v>
      </c>
      <c r="AK199" s="108">
        <f>MIN(((-PMT(Parameters!$B$31/12,Parameters!$B$32,$F192))*3),AJ200)</f>
        <v>0</v>
      </c>
      <c r="AL199" s="108">
        <f>MIN(((-PMT(Parameters!$B$31/12,Parameters!$B$32,$F192))*3),AK200)</f>
        <v>0</v>
      </c>
      <c r="AM199" s="108">
        <f>MIN(((-PMT(Parameters!$B$31/12,Parameters!$B$32,$F192))*3),AL200)</f>
        <v>0</v>
      </c>
    </row>
    <row r="200" spans="1:39" ht="15" customHeight="1" x14ac:dyDescent="0.2">
      <c r="A200" s="868"/>
      <c r="B200" s="860"/>
      <c r="C200" s="860"/>
      <c r="D200" s="860"/>
      <c r="E200" s="860"/>
      <c r="F200" s="860"/>
      <c r="G200" s="860"/>
      <c r="H200" s="860"/>
      <c r="I200" s="861"/>
      <c r="L200" s="109">
        <f>K199</f>
        <v>0</v>
      </c>
      <c r="M200" s="109">
        <f t="shared" ref="M200:AM200" si="86">L200-M199</f>
        <v>0</v>
      </c>
      <c r="N200" s="109">
        <f t="shared" si="86"/>
        <v>0</v>
      </c>
      <c r="O200" s="109">
        <f t="shared" si="86"/>
        <v>0</v>
      </c>
      <c r="P200" s="109">
        <f t="shared" si="86"/>
        <v>0</v>
      </c>
      <c r="Q200" s="109">
        <f t="shared" si="86"/>
        <v>0</v>
      </c>
      <c r="R200" s="109">
        <f t="shared" si="86"/>
        <v>0</v>
      </c>
      <c r="S200" s="109">
        <f t="shared" si="86"/>
        <v>0</v>
      </c>
      <c r="T200" s="109">
        <f t="shared" si="86"/>
        <v>0</v>
      </c>
      <c r="U200" s="109">
        <f t="shared" si="86"/>
        <v>0</v>
      </c>
      <c r="V200" s="109">
        <f t="shared" si="86"/>
        <v>0</v>
      </c>
      <c r="W200" s="109">
        <f t="shared" si="86"/>
        <v>0</v>
      </c>
      <c r="X200" s="109">
        <f t="shared" si="86"/>
        <v>0</v>
      </c>
      <c r="Y200" s="109">
        <f t="shared" si="86"/>
        <v>0</v>
      </c>
      <c r="Z200" s="109">
        <f t="shared" si="86"/>
        <v>0</v>
      </c>
      <c r="AA200" s="109">
        <f t="shared" si="86"/>
        <v>0</v>
      </c>
      <c r="AB200" s="109">
        <f t="shared" si="86"/>
        <v>0</v>
      </c>
      <c r="AC200" s="109">
        <f t="shared" si="86"/>
        <v>0</v>
      </c>
      <c r="AD200" s="109">
        <f t="shared" si="86"/>
        <v>0</v>
      </c>
      <c r="AE200" s="109">
        <f t="shared" si="86"/>
        <v>0</v>
      </c>
      <c r="AF200" s="109">
        <f t="shared" si="86"/>
        <v>0</v>
      </c>
      <c r="AG200" s="109">
        <f t="shared" si="86"/>
        <v>0</v>
      </c>
      <c r="AH200" s="109">
        <f t="shared" si="86"/>
        <v>0</v>
      </c>
      <c r="AI200" s="109">
        <f t="shared" si="86"/>
        <v>0</v>
      </c>
      <c r="AJ200" s="109">
        <f t="shared" si="86"/>
        <v>0</v>
      </c>
      <c r="AK200" s="109">
        <f t="shared" si="86"/>
        <v>0</v>
      </c>
      <c r="AL200" s="109">
        <f t="shared" si="86"/>
        <v>0</v>
      </c>
      <c r="AM200" s="109">
        <f t="shared" si="86"/>
        <v>0</v>
      </c>
    </row>
    <row r="201" spans="1:39" ht="15" customHeight="1" x14ac:dyDescent="0.2">
      <c r="A201" s="868"/>
      <c r="B201" s="860"/>
      <c r="C201" s="860"/>
      <c r="D201" s="860"/>
      <c r="E201" s="860"/>
      <c r="F201" s="860"/>
      <c r="G201" s="860"/>
      <c r="H201" s="860"/>
      <c r="I201" s="861"/>
      <c r="K201" s="110">
        <f>(-PMT(Parameters!$B$31/12,Parameters!$B$32,$G192))*Parameters!$B$32</f>
        <v>0</v>
      </c>
      <c r="L201" s="111"/>
      <c r="M201" s="111"/>
      <c r="N201" s="108">
        <f>(-PMT(Parameters!$B$31/12,Parameters!$B$32,$G192))*Parameters!$K$32</f>
        <v>0</v>
      </c>
      <c r="O201" s="108">
        <f>MIN(((-PMT(Parameters!$B$31/12,Parameters!$B$32,$G192))*3),N202)</f>
        <v>0</v>
      </c>
      <c r="P201" s="108">
        <f>MIN(((-PMT(Parameters!$B$31/12,Parameters!$B$32,$G192))*3),O202)</f>
        <v>0</v>
      </c>
      <c r="Q201" s="108">
        <f>MIN(((-PMT(Parameters!$B$31/12,Parameters!$B$32,$G192))*3),P202)</f>
        <v>0</v>
      </c>
      <c r="R201" s="108">
        <f>MIN(((-PMT(Parameters!$B$31/12,Parameters!$B$32,$G192))*3),Q202)</f>
        <v>0</v>
      </c>
      <c r="S201" s="108">
        <f>MIN(((-PMT(Parameters!$B$31/12,Parameters!$B$32,$G192))*3),R202)</f>
        <v>0</v>
      </c>
      <c r="T201" s="108">
        <f>MIN(((-PMT(Parameters!$B$31/12,Parameters!$B$32,$G192))*3),S202)</f>
        <v>0</v>
      </c>
      <c r="U201" s="108">
        <f>MIN(((-PMT(Parameters!$B$31/12,Parameters!$B$32,$G192))*3),T202)</f>
        <v>0</v>
      </c>
      <c r="V201" s="108">
        <f>MIN(((-PMT(Parameters!$B$31/12,Parameters!$B$32,$G192))*3),U202)</f>
        <v>0</v>
      </c>
      <c r="W201" s="108">
        <f>MIN(((-PMT(Parameters!$B$31/12,Parameters!$B$32,$G192))*3),V202)</f>
        <v>0</v>
      </c>
      <c r="X201" s="108">
        <f>MIN(((-PMT(Parameters!$B$31/12,Parameters!$B$32,$G192))*3),W202)</f>
        <v>0</v>
      </c>
      <c r="Y201" s="108">
        <f>MIN(((-PMT(Parameters!$B$31/12,Parameters!$B$32,$G192))*3),X202)</f>
        <v>0</v>
      </c>
      <c r="Z201" s="108">
        <f>MIN(((-PMT(Parameters!$B$31/12,Parameters!$B$32,$G192))*3),Y202)</f>
        <v>0</v>
      </c>
      <c r="AA201" s="108">
        <f>MIN(((-PMT(Parameters!$B$31/12,Parameters!$B$32,$G192))*3),Z202)</f>
        <v>0</v>
      </c>
      <c r="AB201" s="108">
        <f>MIN(((-PMT(Parameters!$B$31/12,Parameters!$B$32,$G192))*3),AA202)</f>
        <v>0</v>
      </c>
      <c r="AC201" s="108">
        <f>MIN(((-PMT(Parameters!$B$31/12,Parameters!$B$32,$G192))*3),AB202)</f>
        <v>0</v>
      </c>
      <c r="AD201" s="108">
        <f>MIN(((-PMT(Parameters!$B$31/12,Parameters!$B$32,$G192))*3),AC202)</f>
        <v>0</v>
      </c>
      <c r="AE201" s="108">
        <f>MIN(((-PMT(Parameters!$B$31/12,Parameters!$B$32,$G192))*3),AD202)</f>
        <v>0</v>
      </c>
      <c r="AF201" s="108">
        <f>MIN(((-PMT(Parameters!$B$31/12,Parameters!$B$32,$G192))*3),AE202)</f>
        <v>0</v>
      </c>
      <c r="AG201" s="108">
        <f>MIN(((-PMT(Parameters!$B$31/12,Parameters!$B$32,$G192))*3),AF202)</f>
        <v>0</v>
      </c>
      <c r="AH201" s="108">
        <f>MIN(((-PMT(Parameters!$B$31/12,Parameters!$B$32,$G192))*3),AG202)</f>
        <v>0</v>
      </c>
      <c r="AI201" s="108">
        <f>MIN(((-PMT(Parameters!$B$31/12,Parameters!$B$32,$G192))*3),AH202)</f>
        <v>0</v>
      </c>
      <c r="AJ201" s="108">
        <f>MIN(((-PMT(Parameters!$B$31/12,Parameters!$B$32,$G192))*3),AI202)</f>
        <v>0</v>
      </c>
      <c r="AK201" s="108">
        <f>MIN(((-PMT(Parameters!$B$31/12,Parameters!$B$32,$G192))*3),AJ202)</f>
        <v>0</v>
      </c>
      <c r="AL201" s="108">
        <f>MIN(((-PMT(Parameters!$B$31/12,Parameters!$B$32,$G192))*3),AK202)</f>
        <v>0</v>
      </c>
      <c r="AM201" s="108">
        <f>MIN(((-PMT(Parameters!$B$31/12,Parameters!$B$32,$G192))*3),AL202)</f>
        <v>0</v>
      </c>
    </row>
    <row r="202" spans="1:39" ht="15" customHeight="1" x14ac:dyDescent="0.2">
      <c r="A202" s="868"/>
      <c r="B202" s="860"/>
      <c r="C202" s="860"/>
      <c r="D202" s="860"/>
      <c r="E202" s="860"/>
      <c r="F202" s="860"/>
      <c r="G202" s="860"/>
      <c r="H202" s="860"/>
      <c r="I202" s="861"/>
      <c r="L202" s="109">
        <f>K201</f>
        <v>0</v>
      </c>
      <c r="M202" s="109">
        <f>L202</f>
        <v>0</v>
      </c>
      <c r="N202" s="109">
        <f t="shared" ref="N202:AM202" si="87">M202-N201</f>
        <v>0</v>
      </c>
      <c r="O202" s="109">
        <f t="shared" si="87"/>
        <v>0</v>
      </c>
      <c r="P202" s="109">
        <f t="shared" si="87"/>
        <v>0</v>
      </c>
      <c r="Q202" s="109">
        <f t="shared" si="87"/>
        <v>0</v>
      </c>
      <c r="R202" s="109">
        <f t="shared" si="87"/>
        <v>0</v>
      </c>
      <c r="S202" s="109">
        <f t="shared" si="87"/>
        <v>0</v>
      </c>
      <c r="T202" s="109">
        <f t="shared" si="87"/>
        <v>0</v>
      </c>
      <c r="U202" s="109">
        <f t="shared" si="87"/>
        <v>0</v>
      </c>
      <c r="V202" s="109">
        <f t="shared" si="87"/>
        <v>0</v>
      </c>
      <c r="W202" s="109">
        <f t="shared" si="87"/>
        <v>0</v>
      </c>
      <c r="X202" s="109">
        <f t="shared" si="87"/>
        <v>0</v>
      </c>
      <c r="Y202" s="109">
        <f t="shared" si="87"/>
        <v>0</v>
      </c>
      <c r="Z202" s="109">
        <f t="shared" si="87"/>
        <v>0</v>
      </c>
      <c r="AA202" s="109">
        <f t="shared" si="87"/>
        <v>0</v>
      </c>
      <c r="AB202" s="109">
        <f t="shared" si="87"/>
        <v>0</v>
      </c>
      <c r="AC202" s="109">
        <f t="shared" si="87"/>
        <v>0</v>
      </c>
      <c r="AD202" s="109">
        <f t="shared" si="87"/>
        <v>0</v>
      </c>
      <c r="AE202" s="109">
        <f t="shared" si="87"/>
        <v>0</v>
      </c>
      <c r="AF202" s="109">
        <f t="shared" si="87"/>
        <v>0</v>
      </c>
      <c r="AG202" s="109">
        <f t="shared" si="87"/>
        <v>0</v>
      </c>
      <c r="AH202" s="109">
        <f t="shared" si="87"/>
        <v>0</v>
      </c>
      <c r="AI202" s="109">
        <f t="shared" si="87"/>
        <v>0</v>
      </c>
      <c r="AJ202" s="109">
        <f t="shared" si="87"/>
        <v>0</v>
      </c>
      <c r="AK202" s="109">
        <f t="shared" si="87"/>
        <v>0</v>
      </c>
      <c r="AL202" s="109">
        <f t="shared" si="87"/>
        <v>0</v>
      </c>
      <c r="AM202" s="109">
        <f t="shared" si="87"/>
        <v>0</v>
      </c>
    </row>
    <row r="203" spans="1:39" ht="15" customHeight="1" x14ac:dyDescent="0.2">
      <c r="A203" s="868"/>
      <c r="B203" s="860"/>
      <c r="C203" s="860"/>
      <c r="D203" s="860"/>
      <c r="E203" s="860"/>
      <c r="F203" s="860"/>
      <c r="G203" s="860"/>
      <c r="H203" s="860"/>
      <c r="I203" s="861"/>
      <c r="K203" s="110">
        <f>(-PMT(Parameters!$B$31/12,Parameters!$B$32,$H192))*Parameters!$B$32</f>
        <v>0</v>
      </c>
      <c r="L203" s="111"/>
      <c r="M203" s="111"/>
      <c r="N203" s="111"/>
      <c r="O203" s="108">
        <f>(-PMT(Parameters!$B$31/12,Parameters!$B$32,$H192))*Parameters!$K$32</f>
        <v>0</v>
      </c>
      <c r="P203" s="108">
        <f>MIN(((-PMT(Parameters!$B$31/12,Parameters!$B$32,$H192))*3),O204)</f>
        <v>0</v>
      </c>
      <c r="Q203" s="108">
        <f>MIN(((-PMT(Parameters!$B$31/12,Parameters!$B$32,$H192))*3),P204)</f>
        <v>0</v>
      </c>
      <c r="R203" s="108">
        <f>MIN(((-PMT(Parameters!$B$31/12,Parameters!$B$32,$H192))*3),Q204)</f>
        <v>0</v>
      </c>
      <c r="S203" s="108">
        <f>MIN(((-PMT(Parameters!$B$31/12,Parameters!$B$32,$H192))*3),R204)</f>
        <v>0</v>
      </c>
      <c r="T203" s="108">
        <f>MIN(((-PMT(Parameters!$B$31/12,Parameters!$B$32,$H192))*3),S204)</f>
        <v>0</v>
      </c>
      <c r="U203" s="108">
        <f>MIN(((-PMT(Parameters!$B$31/12,Parameters!$B$32,$H192))*3),T204)</f>
        <v>0</v>
      </c>
      <c r="V203" s="108">
        <f>MIN(((-PMT(Parameters!$B$31/12,Parameters!$B$32,$H192))*3),U204)</f>
        <v>0</v>
      </c>
      <c r="W203" s="108">
        <f>MIN(((-PMT(Parameters!$B$31/12,Parameters!$B$32,$H192))*3),V204)</f>
        <v>0</v>
      </c>
      <c r="X203" s="108">
        <f>MIN(((-PMT(Parameters!$B$31/12,Parameters!$B$32,$H192))*3),W204)</f>
        <v>0</v>
      </c>
      <c r="Y203" s="108">
        <f>MIN(((-PMT(Parameters!$B$31/12,Parameters!$B$32,$H192))*3),X204)</f>
        <v>0</v>
      </c>
      <c r="Z203" s="108">
        <f>MIN(((-PMT(Parameters!$B$31/12,Parameters!$B$32,$H192))*3),Y204)</f>
        <v>0</v>
      </c>
      <c r="AA203" s="108">
        <f>MIN(((-PMT(Parameters!$B$31/12,Parameters!$B$32,$H192))*3),Z204)</f>
        <v>0</v>
      </c>
      <c r="AB203" s="108">
        <f>MIN(((-PMT(Parameters!$B$31/12,Parameters!$B$32,$H192))*3),AA204)</f>
        <v>0</v>
      </c>
      <c r="AC203" s="108">
        <f>MIN(((-PMT(Parameters!$B$31/12,Parameters!$B$32,$H192))*3),AB204)</f>
        <v>0</v>
      </c>
      <c r="AD203" s="108">
        <f>MIN(((-PMT(Parameters!$B$31/12,Parameters!$B$32,$H192))*3),AC204)</f>
        <v>0</v>
      </c>
      <c r="AE203" s="108">
        <f>MIN(((-PMT(Parameters!$B$31/12,Parameters!$B$32,$H192))*3),AD204)</f>
        <v>0</v>
      </c>
      <c r="AF203" s="108">
        <f>MIN(((-PMT(Parameters!$B$31/12,Parameters!$B$32,$H192))*3),AE204)</f>
        <v>0</v>
      </c>
      <c r="AG203" s="108">
        <f>MIN(((-PMT(Parameters!$B$31/12,Parameters!$B$32,$H192))*3),AF204)</f>
        <v>0</v>
      </c>
      <c r="AH203" s="108">
        <f>MIN(((-PMT(Parameters!$B$31/12,Parameters!$B$32,$H192))*3),AG204)</f>
        <v>0</v>
      </c>
      <c r="AI203" s="108">
        <f>MIN(((-PMT(Parameters!$B$31/12,Parameters!$B$32,$H192))*3),AH204)</f>
        <v>0</v>
      </c>
      <c r="AJ203" s="108">
        <f>MIN(((-PMT(Parameters!$B$31/12,Parameters!$B$32,$H192))*3),AI204)</f>
        <v>0</v>
      </c>
      <c r="AK203" s="108">
        <f>MIN(((-PMT(Parameters!$B$31/12,Parameters!$B$32,$H192))*3),AJ204)</f>
        <v>0</v>
      </c>
      <c r="AL203" s="108">
        <f>MIN(((-PMT(Parameters!$B$31/12,Parameters!$B$32,$H192))*3),AK204)</f>
        <v>0</v>
      </c>
      <c r="AM203" s="108">
        <f>MIN(((-PMT(Parameters!$B$31/12,Parameters!$B$32,$H192))*3),AL204)</f>
        <v>0</v>
      </c>
    </row>
    <row r="204" spans="1:39" ht="15" customHeight="1" x14ac:dyDescent="0.2">
      <c r="A204" s="868"/>
      <c r="B204" s="860"/>
      <c r="C204" s="860"/>
      <c r="D204" s="860"/>
      <c r="E204" s="860"/>
      <c r="F204" s="860"/>
      <c r="G204" s="860"/>
      <c r="H204" s="860"/>
      <c r="I204" s="861"/>
      <c r="L204" s="109">
        <f>K203</f>
        <v>0</v>
      </c>
      <c r="M204" s="109">
        <f>L204</f>
        <v>0</v>
      </c>
      <c r="N204" s="109">
        <f t="shared" ref="N204:AM204" si="88">M204-N203</f>
        <v>0</v>
      </c>
      <c r="O204" s="109">
        <f t="shared" si="88"/>
        <v>0</v>
      </c>
      <c r="P204" s="109">
        <f t="shared" si="88"/>
        <v>0</v>
      </c>
      <c r="Q204" s="109">
        <f t="shared" si="88"/>
        <v>0</v>
      </c>
      <c r="R204" s="109">
        <f t="shared" si="88"/>
        <v>0</v>
      </c>
      <c r="S204" s="109">
        <f t="shared" si="88"/>
        <v>0</v>
      </c>
      <c r="T204" s="109">
        <f t="shared" si="88"/>
        <v>0</v>
      </c>
      <c r="U204" s="109">
        <f t="shared" si="88"/>
        <v>0</v>
      </c>
      <c r="V204" s="109">
        <f t="shared" si="88"/>
        <v>0</v>
      </c>
      <c r="W204" s="109">
        <f t="shared" si="88"/>
        <v>0</v>
      </c>
      <c r="X204" s="109">
        <f t="shared" si="88"/>
        <v>0</v>
      </c>
      <c r="Y204" s="109">
        <f t="shared" si="88"/>
        <v>0</v>
      </c>
      <c r="Z204" s="109">
        <f t="shared" si="88"/>
        <v>0</v>
      </c>
      <c r="AA204" s="109">
        <f t="shared" si="88"/>
        <v>0</v>
      </c>
      <c r="AB204" s="109">
        <f t="shared" si="88"/>
        <v>0</v>
      </c>
      <c r="AC204" s="109">
        <f t="shared" si="88"/>
        <v>0</v>
      </c>
      <c r="AD204" s="109">
        <f t="shared" si="88"/>
        <v>0</v>
      </c>
      <c r="AE204" s="109">
        <f t="shared" si="88"/>
        <v>0</v>
      </c>
      <c r="AF204" s="109">
        <f t="shared" si="88"/>
        <v>0</v>
      </c>
      <c r="AG204" s="109">
        <f t="shared" si="88"/>
        <v>0</v>
      </c>
      <c r="AH204" s="109">
        <f t="shared" si="88"/>
        <v>0</v>
      </c>
      <c r="AI204" s="109">
        <f t="shared" si="88"/>
        <v>0</v>
      </c>
      <c r="AJ204" s="109">
        <f t="shared" si="88"/>
        <v>0</v>
      </c>
      <c r="AK204" s="109">
        <f t="shared" si="88"/>
        <v>0</v>
      </c>
      <c r="AL204" s="109">
        <f t="shared" si="88"/>
        <v>0</v>
      </c>
      <c r="AM204" s="109">
        <f t="shared" si="88"/>
        <v>0</v>
      </c>
    </row>
    <row r="205" spans="1:39" ht="15" customHeight="1" x14ac:dyDescent="0.2">
      <c r="A205" s="868"/>
      <c r="B205" s="860"/>
      <c r="C205" s="860"/>
      <c r="D205" s="860"/>
      <c r="E205" s="860"/>
      <c r="F205" s="860"/>
      <c r="G205" s="860"/>
      <c r="H205" s="860"/>
      <c r="I205" s="861"/>
      <c r="L205" s="109">
        <f>L197+L199+L201+L203</f>
        <v>0</v>
      </c>
      <c r="M205" s="109">
        <f t="shared" ref="M205:AM205" si="89">M197+M199+M201+M203</f>
        <v>0</v>
      </c>
      <c r="N205" s="109">
        <f t="shared" si="89"/>
        <v>0</v>
      </c>
      <c r="O205" s="109">
        <f t="shared" si="89"/>
        <v>0</v>
      </c>
      <c r="P205" s="109">
        <f t="shared" si="89"/>
        <v>0</v>
      </c>
      <c r="Q205" s="109">
        <f t="shared" si="89"/>
        <v>0</v>
      </c>
      <c r="R205" s="109">
        <f t="shared" si="89"/>
        <v>0</v>
      </c>
      <c r="S205" s="109">
        <f t="shared" si="89"/>
        <v>0</v>
      </c>
      <c r="T205" s="109">
        <f t="shared" si="89"/>
        <v>0</v>
      </c>
      <c r="U205" s="109">
        <f t="shared" si="89"/>
        <v>0</v>
      </c>
      <c r="V205" s="109">
        <f t="shared" si="89"/>
        <v>0</v>
      </c>
      <c r="W205" s="109">
        <f t="shared" si="89"/>
        <v>0</v>
      </c>
      <c r="X205" s="109">
        <f t="shared" si="89"/>
        <v>0</v>
      </c>
      <c r="Y205" s="109">
        <f t="shared" si="89"/>
        <v>0</v>
      </c>
      <c r="Z205" s="109">
        <f t="shared" si="89"/>
        <v>0</v>
      </c>
      <c r="AA205" s="109">
        <f t="shared" si="89"/>
        <v>0</v>
      </c>
      <c r="AB205" s="109">
        <f t="shared" si="89"/>
        <v>0</v>
      </c>
      <c r="AC205" s="109">
        <f t="shared" si="89"/>
        <v>0</v>
      </c>
      <c r="AD205" s="109">
        <f t="shared" si="89"/>
        <v>0</v>
      </c>
      <c r="AE205" s="109">
        <f t="shared" si="89"/>
        <v>0</v>
      </c>
      <c r="AF205" s="109">
        <f t="shared" si="89"/>
        <v>0</v>
      </c>
      <c r="AG205" s="109">
        <f t="shared" si="89"/>
        <v>0</v>
      </c>
      <c r="AH205" s="109">
        <f t="shared" si="89"/>
        <v>0</v>
      </c>
      <c r="AI205" s="109">
        <f t="shared" si="89"/>
        <v>0</v>
      </c>
      <c r="AJ205" s="109">
        <f t="shared" si="89"/>
        <v>0</v>
      </c>
      <c r="AK205" s="109">
        <f t="shared" si="89"/>
        <v>0</v>
      </c>
      <c r="AL205" s="109">
        <f t="shared" si="89"/>
        <v>0</v>
      </c>
      <c r="AM205" s="109">
        <f t="shared" si="89"/>
        <v>0</v>
      </c>
    </row>
    <row r="206" spans="1:39" ht="15" customHeight="1" thickBot="1" x14ac:dyDescent="0.25">
      <c r="A206" s="869"/>
      <c r="B206" s="862"/>
      <c r="C206" s="862"/>
      <c r="D206" s="862"/>
      <c r="E206" s="862"/>
      <c r="F206" s="862"/>
      <c r="G206" s="862"/>
      <c r="H206" s="862"/>
      <c r="I206" s="863"/>
      <c r="L206"/>
      <c r="M206"/>
      <c r="N206"/>
      <c r="O206"/>
      <c r="P206"/>
      <c r="Q206"/>
      <c r="R206"/>
      <c r="S206"/>
      <c r="T206"/>
      <c r="U206"/>
      <c r="V206"/>
      <c r="W206"/>
      <c r="X206"/>
      <c r="Y206"/>
      <c r="Z206"/>
      <c r="AA206"/>
      <c r="AB206"/>
      <c r="AC206"/>
      <c r="AD206"/>
      <c r="AE206"/>
      <c r="AF206"/>
      <c r="AG206"/>
      <c r="AH206"/>
      <c r="AI206"/>
      <c r="AJ206"/>
      <c r="AK206"/>
      <c r="AL206"/>
      <c r="AM206"/>
    </row>
    <row r="207" spans="1:39" ht="13.2" thickBot="1" x14ac:dyDescent="0.25"/>
    <row r="208" spans="1:39" ht="16.05" customHeight="1" x14ac:dyDescent="0.2">
      <c r="A208" s="889">
        <v>2014</v>
      </c>
      <c r="B208" s="890"/>
      <c r="C208" s="893" t="s">
        <v>198</v>
      </c>
      <c r="D208" s="894"/>
      <c r="E208" s="864" t="s">
        <v>406</v>
      </c>
      <c r="F208" s="883" t="s">
        <v>407</v>
      </c>
      <c r="G208" s="883" t="s">
        <v>408</v>
      </c>
      <c r="H208" s="885" t="s">
        <v>409</v>
      </c>
      <c r="I208" s="887" t="s">
        <v>498</v>
      </c>
      <c r="L208" s="85">
        <f>T150</f>
        <v>39813</v>
      </c>
      <c r="M208" s="85">
        <f t="shared" ref="M208:AM208" si="90">L209+1</f>
        <v>39903</v>
      </c>
      <c r="N208" s="85">
        <f t="shared" si="90"/>
        <v>39994</v>
      </c>
      <c r="O208" s="85">
        <f t="shared" si="90"/>
        <v>40086</v>
      </c>
      <c r="P208" s="85">
        <f t="shared" si="90"/>
        <v>40178</v>
      </c>
      <c r="Q208" s="85">
        <f t="shared" si="90"/>
        <v>40268</v>
      </c>
      <c r="R208" s="85">
        <f t="shared" si="90"/>
        <v>40359</v>
      </c>
      <c r="S208" s="85">
        <f t="shared" si="90"/>
        <v>40451</v>
      </c>
      <c r="T208" s="85">
        <f t="shared" si="90"/>
        <v>40543</v>
      </c>
      <c r="U208" s="85">
        <f t="shared" si="90"/>
        <v>40633</v>
      </c>
      <c r="V208" s="85">
        <f t="shared" si="90"/>
        <v>40724</v>
      </c>
      <c r="W208" s="85">
        <f t="shared" si="90"/>
        <v>40816</v>
      </c>
      <c r="X208" s="85">
        <f t="shared" si="90"/>
        <v>40908</v>
      </c>
      <c r="Y208" s="85">
        <f t="shared" si="90"/>
        <v>40999</v>
      </c>
      <c r="Z208" s="85">
        <f t="shared" si="90"/>
        <v>41090</v>
      </c>
      <c r="AA208" s="85">
        <f t="shared" si="90"/>
        <v>41182</v>
      </c>
      <c r="AB208" s="85">
        <f t="shared" si="90"/>
        <v>41274</v>
      </c>
      <c r="AC208" s="85">
        <f t="shared" si="90"/>
        <v>41364</v>
      </c>
      <c r="AD208" s="85">
        <f t="shared" si="90"/>
        <v>41455</v>
      </c>
      <c r="AE208" s="85">
        <f t="shared" si="90"/>
        <v>41547</v>
      </c>
      <c r="AF208" s="85">
        <f t="shared" si="90"/>
        <v>41639</v>
      </c>
      <c r="AG208" s="85">
        <f t="shared" si="90"/>
        <v>41729</v>
      </c>
      <c r="AH208" s="85">
        <f t="shared" si="90"/>
        <v>41820</v>
      </c>
      <c r="AI208" s="85">
        <f t="shared" si="90"/>
        <v>41912</v>
      </c>
      <c r="AJ208" s="85">
        <f t="shared" si="90"/>
        <v>42004</v>
      </c>
      <c r="AK208" s="85">
        <f t="shared" si="90"/>
        <v>42094</v>
      </c>
      <c r="AL208" s="85">
        <f t="shared" si="90"/>
        <v>42185</v>
      </c>
      <c r="AM208" s="85">
        <f t="shared" si="90"/>
        <v>42277</v>
      </c>
    </row>
    <row r="209" spans="1:39" ht="16.05" customHeight="1" thickBot="1" x14ac:dyDescent="0.25">
      <c r="A209" s="891"/>
      <c r="B209" s="892"/>
      <c r="C209" s="895"/>
      <c r="D209" s="896"/>
      <c r="E209" s="865"/>
      <c r="F209" s="884"/>
      <c r="G209" s="884"/>
      <c r="H209" s="886"/>
      <c r="I209" s="888"/>
      <c r="L209" s="85">
        <f>T151</f>
        <v>39902</v>
      </c>
      <c r="M209" s="85">
        <f t="shared" ref="M209:AM209" si="91">U151</f>
        <v>39993</v>
      </c>
      <c r="N209" s="85">
        <f t="shared" si="91"/>
        <v>40085</v>
      </c>
      <c r="O209" s="85">
        <f t="shared" si="91"/>
        <v>40177</v>
      </c>
      <c r="P209" s="85">
        <f t="shared" si="91"/>
        <v>40267</v>
      </c>
      <c r="Q209" s="85">
        <f t="shared" si="91"/>
        <v>40358</v>
      </c>
      <c r="R209" s="85">
        <f t="shared" si="91"/>
        <v>40450</v>
      </c>
      <c r="S209" s="85">
        <f t="shared" si="91"/>
        <v>40542</v>
      </c>
      <c r="T209" s="85">
        <f t="shared" si="91"/>
        <v>40632</v>
      </c>
      <c r="U209" s="85">
        <f t="shared" si="91"/>
        <v>40723</v>
      </c>
      <c r="V209" s="85">
        <f t="shared" si="91"/>
        <v>40815</v>
      </c>
      <c r="W209" s="85">
        <f t="shared" si="91"/>
        <v>40907</v>
      </c>
      <c r="X209" s="85">
        <f t="shared" si="91"/>
        <v>40998</v>
      </c>
      <c r="Y209" s="85">
        <f t="shared" si="91"/>
        <v>41089</v>
      </c>
      <c r="Z209" s="85">
        <f t="shared" si="91"/>
        <v>41181</v>
      </c>
      <c r="AA209" s="85">
        <f t="shared" si="91"/>
        <v>41273</v>
      </c>
      <c r="AB209" s="85">
        <f t="shared" si="91"/>
        <v>41363</v>
      </c>
      <c r="AC209" s="85">
        <f t="shared" si="91"/>
        <v>41454</v>
      </c>
      <c r="AD209" s="85">
        <f t="shared" si="91"/>
        <v>41546</v>
      </c>
      <c r="AE209" s="85">
        <f t="shared" si="91"/>
        <v>41638</v>
      </c>
      <c r="AF209" s="85">
        <f t="shared" si="91"/>
        <v>41728</v>
      </c>
      <c r="AG209" s="85">
        <f t="shared" si="91"/>
        <v>41819</v>
      </c>
      <c r="AH209" s="85">
        <f t="shared" si="91"/>
        <v>41911</v>
      </c>
      <c r="AI209" s="85">
        <f t="shared" si="91"/>
        <v>42003</v>
      </c>
      <c r="AJ209" s="85">
        <f t="shared" si="91"/>
        <v>42093</v>
      </c>
      <c r="AK209" s="85">
        <f t="shared" si="91"/>
        <v>42184</v>
      </c>
      <c r="AL209" s="85">
        <f t="shared" si="91"/>
        <v>42276</v>
      </c>
      <c r="AM209" s="85">
        <f t="shared" si="91"/>
        <v>42368</v>
      </c>
    </row>
    <row r="210" spans="1:39" ht="15" customHeight="1" x14ac:dyDescent="0.2">
      <c r="A210" s="878" t="s">
        <v>318</v>
      </c>
      <c r="B210" s="870" t="s">
        <v>347</v>
      </c>
      <c r="C210" s="95" t="s">
        <v>375</v>
      </c>
      <c r="D210" s="94">
        <f>1-Parameters!N$7</f>
        <v>0</v>
      </c>
      <c r="E210" s="96">
        <f>ROUND(Calculations!N4*$D210,0)</f>
        <v>0</v>
      </c>
      <c r="F210" s="96">
        <f>ROUND(Calculations!O4*$D210,0)</f>
        <v>0</v>
      </c>
      <c r="G210" s="96">
        <f>ROUND(Calculations!P4*$D210,0)</f>
        <v>0</v>
      </c>
      <c r="H210" s="96">
        <f>ROUND(Calculations!Q4*$D210,0)</f>
        <v>0</v>
      </c>
      <c r="I210" s="103">
        <f>SUM(E210:H210)</f>
        <v>0</v>
      </c>
      <c r="L210" s="88"/>
      <c r="M210" s="88"/>
      <c r="N210" s="88"/>
      <c r="O210" s="88"/>
      <c r="P210" s="85">
        <f>P208</f>
        <v>40178</v>
      </c>
      <c r="Q210" s="85">
        <f>Q208</f>
        <v>40268</v>
      </c>
      <c r="R210" s="85">
        <f>R208</f>
        <v>40359</v>
      </c>
      <c r="S210" s="85">
        <f>S208</f>
        <v>40451</v>
      </c>
      <c r="T210" s="88"/>
      <c r="U210" s="88"/>
      <c r="V210" s="88"/>
      <c r="W210" s="88"/>
      <c r="Y210"/>
    </row>
    <row r="211" spans="1:39" ht="15" customHeight="1" x14ac:dyDescent="0.2">
      <c r="A211" s="880"/>
      <c r="B211" s="688"/>
      <c r="C211" s="688" t="s">
        <v>139</v>
      </c>
      <c r="D211" s="871"/>
      <c r="E211" s="92">
        <f>SUM(E210:E210)</f>
        <v>0</v>
      </c>
      <c r="F211" s="92">
        <f>SUM(F210:F210)</f>
        <v>0</v>
      </c>
      <c r="G211" s="92">
        <f>SUM(G210:G210)</f>
        <v>0</v>
      </c>
      <c r="H211" s="92">
        <f>SUM(H210:H210)</f>
        <v>0</v>
      </c>
      <c r="I211" s="872">
        <f>H212</f>
        <v>0</v>
      </c>
      <c r="L211" s="93">
        <f>IF($M213&lt;=L209,$E211,IF($N213&lt;=L209,$F211,IF($O213&lt;=L209,$G211,IF($P213&lt;=L209,$H211,))))</f>
        <v>0</v>
      </c>
      <c r="M211" s="93">
        <f t="shared" ref="M211:W211" si="92">IF(AND($M213&gt;L209,$M213&lt;=M209),$E211,IF(AND($N213&gt;L209,$N213&lt;=M209),$F211,IF(AND($O213&gt;L209,$O213&lt;=M209),$G211,IF(AND($P213&gt;L209,$P213&lt;=M209),$H211,))))</f>
        <v>0</v>
      </c>
      <c r="N211" s="93">
        <f t="shared" si="92"/>
        <v>0</v>
      </c>
      <c r="O211" s="93">
        <f t="shared" si="92"/>
        <v>0</v>
      </c>
      <c r="P211" s="93">
        <f t="shared" si="92"/>
        <v>0</v>
      </c>
      <c r="Q211" s="93">
        <f t="shared" si="92"/>
        <v>0</v>
      </c>
      <c r="R211" s="93">
        <f t="shared" si="92"/>
        <v>0</v>
      </c>
      <c r="S211" s="93">
        <f t="shared" si="92"/>
        <v>0</v>
      </c>
      <c r="T211" s="93">
        <f t="shared" si="92"/>
        <v>0</v>
      </c>
      <c r="U211" s="93">
        <f t="shared" si="92"/>
        <v>0</v>
      </c>
      <c r="V211" s="93">
        <f t="shared" si="92"/>
        <v>0</v>
      </c>
      <c r="W211" s="93">
        <f t="shared" si="92"/>
        <v>0</v>
      </c>
      <c r="X211" s="93">
        <f>SUM(L211:W211)</f>
        <v>0</v>
      </c>
      <c r="Y211"/>
    </row>
    <row r="212" spans="1:39" ht="15" customHeight="1" x14ac:dyDescent="0.2">
      <c r="A212" s="880"/>
      <c r="B212" s="688"/>
      <c r="C212" s="874" t="s">
        <v>331</v>
      </c>
      <c r="D212" s="875"/>
      <c r="E212" s="105">
        <f>E211</f>
        <v>0</v>
      </c>
      <c r="F212" s="15">
        <f>E212+F211</f>
        <v>0</v>
      </c>
      <c r="G212" s="15">
        <f>F212+G211</f>
        <v>0</v>
      </c>
      <c r="H212" s="15">
        <f>G212+H211</f>
        <v>0</v>
      </c>
      <c r="I212" s="873"/>
    </row>
    <row r="213" spans="1:39" ht="15" customHeight="1" x14ac:dyDescent="0.2">
      <c r="A213" s="880"/>
      <c r="B213" s="688" t="s">
        <v>411</v>
      </c>
      <c r="C213" s="65" t="s">
        <v>405</v>
      </c>
      <c r="D213" s="104">
        <f>Parameters!$D$21</f>
        <v>18000</v>
      </c>
      <c r="E213" s="72">
        <f>E211*$D213</f>
        <v>0</v>
      </c>
      <c r="F213" s="72">
        <f>F211*$D213</f>
        <v>0</v>
      </c>
      <c r="G213" s="72">
        <f>G211*$D213</f>
        <v>0</v>
      </c>
      <c r="H213" s="72">
        <f>H211*$D213</f>
        <v>0</v>
      </c>
      <c r="I213" s="106">
        <f>SUM(E213:H213)</f>
        <v>0</v>
      </c>
      <c r="L213" s="60" t="s">
        <v>196</v>
      </c>
      <c r="M213" s="79">
        <f>P210+$D214</f>
        <v>40178</v>
      </c>
      <c r="N213" s="79">
        <f>Q210+$D214</f>
        <v>40268</v>
      </c>
      <c r="O213" s="79">
        <f>R210+$D214</f>
        <v>40359</v>
      </c>
      <c r="P213" s="79">
        <f>S210+$D214</f>
        <v>40451</v>
      </c>
      <c r="X213" s="69" t="s">
        <v>366</v>
      </c>
    </row>
    <row r="214" spans="1:39" ht="15" customHeight="1" thickBot="1" x14ac:dyDescent="0.25">
      <c r="A214" s="881"/>
      <c r="B214" s="882"/>
      <c r="C214" s="70" t="s">
        <v>332</v>
      </c>
      <c r="D214" s="84">
        <f>Parameters!$B$36</f>
        <v>0</v>
      </c>
      <c r="E214" s="72">
        <f>SUM(L214:P214)+L243+T185</f>
        <v>0</v>
      </c>
      <c r="F214" s="66">
        <f>Q214+M243+U185</f>
        <v>0</v>
      </c>
      <c r="G214" s="66">
        <f>R214+N243+V185</f>
        <v>0</v>
      </c>
      <c r="H214" s="66">
        <f>S214+O243+W185</f>
        <v>0</v>
      </c>
      <c r="I214" s="89">
        <f>SUM(E214:H214)</f>
        <v>0</v>
      </c>
      <c r="L214" s="68">
        <f>IF($M213&lt;=L209,$E213,IF($N213&lt;=L209,$F213,IF($O213&lt;=L209,$G213,IF($P213&lt;=L209,$H213,))))</f>
        <v>0</v>
      </c>
      <c r="M214" s="68">
        <f t="shared" ref="M214:W214" si="93">IF(AND($M213&gt;L209,$M213&lt;=M209),$E213,IF(AND($N213&gt;L209,$N213&lt;=M209),$F213,IF(AND($O213&gt;L209,$O213&lt;=M209),$G213,IF(AND($P213&gt;L209,$P213&lt;=M209),$H213,))))</f>
        <v>0</v>
      </c>
      <c r="N214" s="68">
        <f t="shared" si="93"/>
        <v>0</v>
      </c>
      <c r="O214" s="68">
        <f t="shared" si="93"/>
        <v>0</v>
      </c>
      <c r="P214" s="68">
        <f t="shared" si="93"/>
        <v>0</v>
      </c>
      <c r="Q214" s="68">
        <f t="shared" si="93"/>
        <v>0</v>
      </c>
      <c r="R214" s="68">
        <f t="shared" si="93"/>
        <v>0</v>
      </c>
      <c r="S214" s="68">
        <f t="shared" si="93"/>
        <v>0</v>
      </c>
      <c r="T214" s="68">
        <f t="shared" si="93"/>
        <v>0</v>
      </c>
      <c r="U214" s="68">
        <f t="shared" si="93"/>
        <v>0</v>
      </c>
      <c r="V214" s="68">
        <f t="shared" si="93"/>
        <v>0</v>
      </c>
      <c r="W214" s="68">
        <f t="shared" si="93"/>
        <v>0</v>
      </c>
      <c r="X214" s="68">
        <f>SUM(L214:W214)</f>
        <v>0</v>
      </c>
    </row>
    <row r="215" spans="1:39" ht="15" customHeight="1" x14ac:dyDescent="0.2">
      <c r="A215" s="866" t="s">
        <v>206</v>
      </c>
      <c r="B215" s="870" t="s">
        <v>317</v>
      </c>
      <c r="C215" s="95" t="s">
        <v>375</v>
      </c>
      <c r="D215" s="94">
        <f>1-D210</f>
        <v>1</v>
      </c>
      <c r="E215" s="96">
        <f>Calculations!N4-E210</f>
        <v>25</v>
      </c>
      <c r="F215" s="97">
        <f>Calculations!O4-F210</f>
        <v>25</v>
      </c>
      <c r="G215" s="97">
        <f>Calculations!P4-G210</f>
        <v>25</v>
      </c>
      <c r="H215" s="96">
        <f>Calculations!Q4-H210</f>
        <v>25</v>
      </c>
      <c r="I215" s="103">
        <f>SUM(E215:H215)</f>
        <v>100</v>
      </c>
    </row>
    <row r="216" spans="1:39" ht="15" customHeight="1" x14ac:dyDescent="0.2">
      <c r="A216" s="868"/>
      <c r="B216" s="688"/>
      <c r="C216" s="688" t="s">
        <v>139</v>
      </c>
      <c r="D216" s="871"/>
      <c r="E216" s="92">
        <f>SUM(E215:E215)</f>
        <v>25</v>
      </c>
      <c r="F216" s="10">
        <f>SUM(F215:F215)</f>
        <v>25</v>
      </c>
      <c r="G216" s="10">
        <f>SUM(G215:G215)</f>
        <v>25</v>
      </c>
      <c r="H216" s="101">
        <f>SUM(H215:H215)</f>
        <v>25</v>
      </c>
      <c r="I216" s="872">
        <f>H217</f>
        <v>100</v>
      </c>
      <c r="L216"/>
      <c r="M216"/>
      <c r="N216"/>
      <c r="O216"/>
      <c r="P216"/>
      <c r="Q216"/>
      <c r="R216"/>
      <c r="S216"/>
      <c r="T216"/>
      <c r="U216"/>
      <c r="V216"/>
      <c r="W216"/>
      <c r="X216"/>
      <c r="Y216"/>
    </row>
    <row r="217" spans="1:39" ht="15" customHeight="1" x14ac:dyDescent="0.2">
      <c r="A217" s="868"/>
      <c r="B217" s="688"/>
      <c r="C217" s="874" t="s">
        <v>331</v>
      </c>
      <c r="D217" s="875"/>
      <c r="E217" s="105">
        <f>E216</f>
        <v>25</v>
      </c>
      <c r="F217" s="15">
        <f>F216+E217</f>
        <v>50</v>
      </c>
      <c r="G217" s="15">
        <f>G216+F217</f>
        <v>75</v>
      </c>
      <c r="H217" s="15">
        <f>H216+G217</f>
        <v>100</v>
      </c>
      <c r="I217" s="873"/>
      <c r="L217"/>
      <c r="M217"/>
      <c r="N217"/>
      <c r="O217"/>
      <c r="P217"/>
      <c r="Q217"/>
      <c r="R217"/>
      <c r="S217"/>
      <c r="T217"/>
      <c r="U217"/>
      <c r="V217"/>
      <c r="W217"/>
      <c r="X217"/>
      <c r="Y217"/>
    </row>
    <row r="218" spans="1:39" ht="15" customHeight="1" x14ac:dyDescent="0.2">
      <c r="A218" s="868"/>
      <c r="B218" s="566" t="s">
        <v>68</v>
      </c>
      <c r="C218" s="688" t="s">
        <v>412</v>
      </c>
      <c r="D218" s="871"/>
      <c r="E218" s="72">
        <f>E216*$D213</f>
        <v>450000</v>
      </c>
      <c r="F218" s="66">
        <f>F216*$D213</f>
        <v>450000</v>
      </c>
      <c r="G218" s="66">
        <f>G216*$D213</f>
        <v>450000</v>
      </c>
      <c r="H218" s="86">
        <f>H216*$D213</f>
        <v>450000</v>
      </c>
      <c r="I218" s="74">
        <f>SUM(E218:H218)</f>
        <v>1800000</v>
      </c>
    </row>
    <row r="219" spans="1:39" ht="15" customHeight="1" x14ac:dyDescent="0.2">
      <c r="A219" s="868"/>
      <c r="B219" s="566"/>
      <c r="C219" s="65" t="s">
        <v>413</v>
      </c>
      <c r="D219" s="87">
        <f>1-Parameters!$B$33</f>
        <v>0.19999999999999996</v>
      </c>
      <c r="E219" s="72">
        <f>E218*$D219</f>
        <v>89999.999999999985</v>
      </c>
      <c r="F219" s="66">
        <f>F218*$D219</f>
        <v>89999.999999999985</v>
      </c>
      <c r="G219" s="66">
        <f>G218*$D219</f>
        <v>89999.999999999985</v>
      </c>
      <c r="H219" s="86">
        <f>H218*$D219</f>
        <v>89999.999999999985</v>
      </c>
      <c r="I219" s="106">
        <f>SUM(E219:H219)</f>
        <v>359999.99999999994</v>
      </c>
      <c r="L219" s="60" t="s">
        <v>196</v>
      </c>
      <c r="M219" s="79">
        <f>P210+$D220</f>
        <v>40178</v>
      </c>
      <c r="N219" s="79">
        <f>Q210+$D220</f>
        <v>40268</v>
      </c>
      <c r="O219" s="79">
        <f>R210+$D220</f>
        <v>40359</v>
      </c>
      <c r="P219" s="79">
        <f>S210+$D220</f>
        <v>40451</v>
      </c>
      <c r="X219" s="69" t="s">
        <v>366</v>
      </c>
    </row>
    <row r="220" spans="1:39" ht="15" customHeight="1" x14ac:dyDescent="0.2">
      <c r="A220" s="868"/>
      <c r="B220" s="566"/>
      <c r="C220" s="5" t="s">
        <v>332</v>
      </c>
      <c r="D220" s="73">
        <f>Parameters!$B$36</f>
        <v>0</v>
      </c>
      <c r="E220" s="72">
        <f>SUM(L220:P220)+L249+T191</f>
        <v>89999.999999999985</v>
      </c>
      <c r="F220" s="66">
        <f>Q220+M249+U191</f>
        <v>89999.999999999985</v>
      </c>
      <c r="G220" s="66">
        <f>R220+N249+V191</f>
        <v>89999.999999999985</v>
      </c>
      <c r="H220" s="66">
        <f>S220+O249+W191</f>
        <v>89999.999999999985</v>
      </c>
      <c r="I220" s="74">
        <f>SUM(E220:H220)</f>
        <v>359999.99999999994</v>
      </c>
      <c r="L220" s="68">
        <f>IF($M219&lt;=L209,$E219,IF($N219&lt;=L209,$F219,IF($O219&lt;=L209,$G219,IF($P219&lt;=L209,$H219,))))</f>
        <v>0</v>
      </c>
      <c r="M220" s="68">
        <f t="shared" ref="M220:W220" si="94">IF(AND($M219&gt;L209,$M219&lt;=M209),$E219,IF(AND($N219&gt;L209,$N219&lt;=M209),$F219,IF(AND($O219&gt;L209,$O219&lt;=M209),$G219,IF(AND($P219&gt;L209,$P219&lt;=M209),$H219,))))</f>
        <v>0</v>
      </c>
      <c r="N220" s="68">
        <f t="shared" si="94"/>
        <v>0</v>
      </c>
      <c r="O220" s="68">
        <f t="shared" si="94"/>
        <v>0</v>
      </c>
      <c r="P220" s="68">
        <f t="shared" si="94"/>
        <v>89999.999999999985</v>
      </c>
      <c r="Q220" s="68">
        <f t="shared" si="94"/>
        <v>89999.999999999985</v>
      </c>
      <c r="R220" s="68">
        <f t="shared" si="94"/>
        <v>89999.999999999985</v>
      </c>
      <c r="S220" s="68">
        <f t="shared" si="94"/>
        <v>89999.999999999985</v>
      </c>
      <c r="T220" s="68">
        <f t="shared" si="94"/>
        <v>0</v>
      </c>
      <c r="U220" s="68">
        <f t="shared" si="94"/>
        <v>0</v>
      </c>
      <c r="V220" s="68">
        <f t="shared" si="94"/>
        <v>0</v>
      </c>
      <c r="W220" s="68">
        <f t="shared" si="94"/>
        <v>0</v>
      </c>
      <c r="X220" s="68">
        <f>SUM(L220:W220)</f>
        <v>359999.99999999994</v>
      </c>
    </row>
    <row r="221" spans="1:39" ht="15" customHeight="1" x14ac:dyDescent="0.2">
      <c r="A221" s="868"/>
      <c r="B221" s="566"/>
      <c r="C221" s="65" t="s">
        <v>194</v>
      </c>
      <c r="D221" s="87">
        <f>Parameters!$B$33</f>
        <v>0.8</v>
      </c>
      <c r="E221" s="72">
        <f>E218*$D221</f>
        <v>360000</v>
      </c>
      <c r="F221" s="72">
        <f>F218*$D221</f>
        <v>360000</v>
      </c>
      <c r="G221" s="72">
        <f>G218*$D221</f>
        <v>360000</v>
      </c>
      <c r="H221" s="72">
        <f>H218*$D221</f>
        <v>360000</v>
      </c>
      <c r="I221" s="74">
        <f>SUM(E221:H221)</f>
        <v>1440000</v>
      </c>
      <c r="L221" s="91"/>
      <c r="M221" s="91"/>
      <c r="N221" s="91"/>
      <c r="O221" s="91"/>
      <c r="P221" s="91"/>
      <c r="Q221" s="91"/>
      <c r="R221" s="91"/>
      <c r="S221" s="91"/>
      <c r="T221" s="91"/>
      <c r="U221" s="91"/>
      <c r="V221" s="91"/>
      <c r="W221" s="91"/>
      <c r="X221" s="91"/>
    </row>
    <row r="222" spans="1:39" ht="15" customHeight="1" x14ac:dyDescent="0.2">
      <c r="A222" s="868"/>
      <c r="B222" s="566"/>
      <c r="C222" s="874" t="s">
        <v>331</v>
      </c>
      <c r="D222" s="875"/>
      <c r="E222" s="81">
        <f>E221</f>
        <v>360000</v>
      </c>
      <c r="F222" s="81">
        <f>E222+F221</f>
        <v>720000</v>
      </c>
      <c r="G222" s="81">
        <f>F222+G221</f>
        <v>1080000</v>
      </c>
      <c r="H222" s="81">
        <f>G222+H221</f>
        <v>1440000</v>
      </c>
      <c r="I222" s="78">
        <f>H222</f>
        <v>1440000</v>
      </c>
      <c r="L222" s="91"/>
      <c r="M222" s="91"/>
      <c r="N222" s="91"/>
      <c r="O222" s="91"/>
      <c r="P222" s="91"/>
      <c r="Q222" s="91"/>
      <c r="R222" s="91"/>
      <c r="S222" s="91"/>
      <c r="T222" s="91"/>
      <c r="U222" s="91"/>
      <c r="V222" s="91"/>
      <c r="W222" s="91"/>
      <c r="X222" s="91"/>
    </row>
    <row r="223" spans="1:39" ht="15" customHeight="1" x14ac:dyDescent="0.2">
      <c r="A223" s="868"/>
      <c r="B223" s="566"/>
      <c r="C223" s="876" t="s">
        <v>390</v>
      </c>
      <c r="D223" s="877"/>
      <c r="E223" s="107">
        <f>L234+T176+Q205</f>
        <v>16063.339218322813</v>
      </c>
      <c r="F223" s="107">
        <f>M234+U176+R205</f>
        <v>48190.01765496844</v>
      </c>
      <c r="G223" s="107">
        <f>N234+V176+S205</f>
        <v>80316.696091614067</v>
      </c>
      <c r="H223" s="107">
        <f>O234+W176+T205</f>
        <v>112443.37452825969</v>
      </c>
      <c r="I223" s="74">
        <f>SUM(E223:H223)</f>
        <v>257013.42749316501</v>
      </c>
      <c r="L223" s="60" t="s">
        <v>196</v>
      </c>
      <c r="M223" s="79">
        <f>P210+$D224</f>
        <v>40208</v>
      </c>
      <c r="N223" s="79">
        <f>Q210+$D224</f>
        <v>40298</v>
      </c>
      <c r="O223" s="79">
        <f>R210+$D224</f>
        <v>40389</v>
      </c>
      <c r="P223" s="79">
        <f>S210+$D224</f>
        <v>40481</v>
      </c>
      <c r="X223" s="69" t="s">
        <v>366</v>
      </c>
    </row>
    <row r="224" spans="1:39" ht="15" customHeight="1" x14ac:dyDescent="0.2">
      <c r="A224" s="868"/>
      <c r="B224" s="566"/>
      <c r="C224" s="75" t="s">
        <v>332</v>
      </c>
      <c r="D224" s="76">
        <f>Parameters!$B$37</f>
        <v>30</v>
      </c>
      <c r="E224" s="112">
        <f>SUM(L224:P224)+L253</f>
        <v>16063.339218322813</v>
      </c>
      <c r="F224" s="71">
        <f>Q224+M253</f>
        <v>48190.01765496844</v>
      </c>
      <c r="G224" s="71">
        <f>R224+N253</f>
        <v>80316.696091614067</v>
      </c>
      <c r="H224" s="71">
        <f>S224+O253</f>
        <v>112443.37452825969</v>
      </c>
      <c r="I224" s="77">
        <f>SUM(E224:H224)</f>
        <v>257013.42749316501</v>
      </c>
      <c r="L224" s="68">
        <f>IF($M223&lt;=L209,$E223,IF($N223&lt;=L209,$F223,IF($O223&lt;=L209,$G223,IF($P223&lt;=L209,$H223,))))</f>
        <v>0</v>
      </c>
      <c r="M224" s="68">
        <f t="shared" ref="M224:W224" si="95">IF(AND($M223&gt;L209,$M223&lt;=M209),$E223,IF(AND($N223&gt;L209,$N223&lt;=M209),$F223,IF(AND($O223&gt;L209,$O223&lt;=M209),$G223,IF(AND($P223&gt;L209,$P223&lt;=M209),$H223,))))</f>
        <v>0</v>
      </c>
      <c r="N224" s="68">
        <f t="shared" si="95"/>
        <v>0</v>
      </c>
      <c r="O224" s="68">
        <f t="shared" si="95"/>
        <v>0</v>
      </c>
      <c r="P224" s="68">
        <f t="shared" si="95"/>
        <v>16063.339218322813</v>
      </c>
      <c r="Q224" s="68">
        <f t="shared" si="95"/>
        <v>48190.01765496844</v>
      </c>
      <c r="R224" s="68">
        <f t="shared" si="95"/>
        <v>80316.696091614067</v>
      </c>
      <c r="S224" s="68">
        <f t="shared" si="95"/>
        <v>112443.37452825969</v>
      </c>
      <c r="T224" s="68">
        <f t="shared" si="95"/>
        <v>0</v>
      </c>
      <c r="U224" s="68">
        <f t="shared" si="95"/>
        <v>0</v>
      </c>
      <c r="V224" s="68">
        <f t="shared" si="95"/>
        <v>0</v>
      </c>
      <c r="W224" s="68">
        <f t="shared" si="95"/>
        <v>0</v>
      </c>
      <c r="X224" s="68">
        <f>SUM(L224:W224)</f>
        <v>257013.42749316501</v>
      </c>
    </row>
    <row r="225" spans="1:39" ht="15" customHeight="1" x14ac:dyDescent="0.2">
      <c r="A225" s="868"/>
      <c r="B225" s="860" t="s">
        <v>410</v>
      </c>
      <c r="C225" s="860"/>
      <c r="D225" s="860"/>
      <c r="E225" s="860"/>
      <c r="F225" s="860"/>
      <c r="G225" s="860"/>
      <c r="H225" s="860"/>
      <c r="I225" s="861"/>
      <c r="L225" s="67">
        <f t="shared" ref="L225:AM225" si="96">P209</f>
        <v>40267</v>
      </c>
      <c r="M225" s="67">
        <f t="shared" si="96"/>
        <v>40358</v>
      </c>
      <c r="N225" s="67">
        <f t="shared" si="96"/>
        <v>40450</v>
      </c>
      <c r="O225" s="67">
        <f t="shared" si="96"/>
        <v>40542</v>
      </c>
      <c r="P225" s="67">
        <f t="shared" si="96"/>
        <v>40632</v>
      </c>
      <c r="Q225" s="67">
        <f t="shared" si="96"/>
        <v>40723</v>
      </c>
      <c r="R225" s="67">
        <f t="shared" si="96"/>
        <v>40815</v>
      </c>
      <c r="S225" s="67">
        <f t="shared" si="96"/>
        <v>40907</v>
      </c>
      <c r="T225" s="67">
        <f t="shared" si="96"/>
        <v>40998</v>
      </c>
      <c r="U225" s="67">
        <f t="shared" si="96"/>
        <v>41089</v>
      </c>
      <c r="V225" s="67">
        <f t="shared" si="96"/>
        <v>41181</v>
      </c>
      <c r="W225" s="67">
        <f t="shared" si="96"/>
        <v>41273</v>
      </c>
      <c r="X225" s="67">
        <f t="shared" si="96"/>
        <v>41363</v>
      </c>
      <c r="Y225" s="67">
        <f t="shared" si="96"/>
        <v>41454</v>
      </c>
      <c r="Z225" s="67">
        <f t="shared" si="96"/>
        <v>41546</v>
      </c>
      <c r="AA225" s="67">
        <f t="shared" si="96"/>
        <v>41638</v>
      </c>
      <c r="AB225" s="67">
        <f t="shared" si="96"/>
        <v>41728</v>
      </c>
      <c r="AC225" s="67">
        <f t="shared" si="96"/>
        <v>41819</v>
      </c>
      <c r="AD225" s="67">
        <f t="shared" si="96"/>
        <v>41911</v>
      </c>
      <c r="AE225" s="67">
        <f t="shared" si="96"/>
        <v>42003</v>
      </c>
      <c r="AF225" s="67">
        <f t="shared" si="96"/>
        <v>42093</v>
      </c>
      <c r="AG225" s="67">
        <f t="shared" si="96"/>
        <v>42184</v>
      </c>
      <c r="AH225" s="67">
        <f t="shared" si="96"/>
        <v>42276</v>
      </c>
      <c r="AI225" s="67">
        <f t="shared" si="96"/>
        <v>42368</v>
      </c>
      <c r="AJ225" s="67">
        <f t="shared" si="96"/>
        <v>0</v>
      </c>
      <c r="AK225" s="67">
        <f t="shared" si="96"/>
        <v>0</v>
      </c>
      <c r="AL225" s="67">
        <f t="shared" si="96"/>
        <v>0</v>
      </c>
      <c r="AM225" s="67">
        <f t="shared" si="96"/>
        <v>0</v>
      </c>
    </row>
    <row r="226" spans="1:39" ht="15" customHeight="1" x14ac:dyDescent="0.2">
      <c r="A226" s="868"/>
      <c r="B226" s="860"/>
      <c r="C226" s="860"/>
      <c r="D226" s="860"/>
      <c r="E226" s="860"/>
      <c r="F226" s="860"/>
      <c r="G226" s="860"/>
      <c r="H226" s="860"/>
      <c r="I226" s="861"/>
      <c r="K226" s="110">
        <f>(-PMT(Parameters!$B$31/12,Parameters!$B$32,$E221))*Parameters!$B$32</f>
        <v>385520.14123974752</v>
      </c>
      <c r="L226" s="108">
        <f>(-PMT(Parameters!$B$31/12,Parameters!$B$32,$E221))*Parameters!$K$32</f>
        <v>16063.339218322813</v>
      </c>
      <c r="M226" s="108">
        <f>MIN(((-PMT(Parameters!$B$31/12,Parameters!$B$32,$E221))*3),L227)</f>
        <v>32126.678436645627</v>
      </c>
      <c r="N226" s="108">
        <f>MIN(((-PMT(Parameters!$B$31/12,Parameters!$B$32,$E221))*3),M227)</f>
        <v>32126.678436645627</v>
      </c>
      <c r="O226" s="108">
        <f>MIN(((-PMT(Parameters!$B$31/12,Parameters!$B$32,$E221))*3),N227)</f>
        <v>32126.678436645627</v>
      </c>
      <c r="P226" s="108">
        <f>MIN(((-PMT(Parameters!$B$31/12,Parameters!$B$32,$E221))*3),O227)</f>
        <v>32126.678436645627</v>
      </c>
      <c r="Q226" s="108">
        <f>MIN(((-PMT(Parameters!$B$31/12,Parameters!$B$32,$E221))*3),P227)</f>
        <v>32126.678436645627</v>
      </c>
      <c r="R226" s="108">
        <f>MIN(((-PMT(Parameters!$B$31/12,Parameters!$B$32,$E221))*3),Q227)</f>
        <v>32126.678436645627</v>
      </c>
      <c r="S226" s="108">
        <f>MIN(((-PMT(Parameters!$B$31/12,Parameters!$B$32,$E221))*3),R227)</f>
        <v>32126.678436645627</v>
      </c>
      <c r="T226" s="108">
        <f>MIN(((-PMT(Parameters!$B$31/12,Parameters!$B$32,$E221))*3),S227)</f>
        <v>32126.678436645627</v>
      </c>
      <c r="U226" s="108">
        <f>MIN(((-PMT(Parameters!$B$31/12,Parameters!$B$32,$E221))*3),T227)</f>
        <v>32126.678436645627</v>
      </c>
      <c r="V226" s="108">
        <f>MIN(((-PMT(Parameters!$B$31/12,Parameters!$B$32,$E221))*3),U227)</f>
        <v>32126.678436645627</v>
      </c>
      <c r="W226" s="108">
        <f>MIN(((-PMT(Parameters!$B$31/12,Parameters!$B$32,$E221))*3),V227)</f>
        <v>32126.678436645627</v>
      </c>
      <c r="X226" s="108">
        <f>MIN(((-PMT(Parameters!$B$31/12,Parameters!$B$32,$E221))*3),W227)</f>
        <v>16063.33921832277</v>
      </c>
      <c r="Y226" s="108">
        <f>MIN(((-PMT(Parameters!$B$31/12,Parameters!$B$32,$E221))*3),X227)</f>
        <v>0</v>
      </c>
      <c r="Z226" s="108">
        <f>MIN(((-PMT(Parameters!$B$31/12,Parameters!$B$32,$E221))*3),Y227)</f>
        <v>0</v>
      </c>
      <c r="AA226" s="108">
        <f>MIN(((-PMT(Parameters!$B$31/12,Parameters!$B$32,$E221))*3),Z227)</f>
        <v>0</v>
      </c>
      <c r="AB226" s="108">
        <f>MIN(((-PMT(Parameters!$B$31/12,Parameters!$B$32,$E221))*3),AA227)</f>
        <v>0</v>
      </c>
      <c r="AC226" s="108">
        <f>MIN(((-PMT(Parameters!$B$31/12,Parameters!$B$32,$E221))*3),AB227)</f>
        <v>0</v>
      </c>
      <c r="AD226" s="108">
        <f>MIN(((-PMT(Parameters!$B$31/12,Parameters!$B$32,$E221))*3),AC227)</f>
        <v>0</v>
      </c>
      <c r="AE226" s="108">
        <f>MIN(((-PMT(Parameters!$B$31/12,Parameters!$B$32,$E221))*3),AD227)</f>
        <v>0</v>
      </c>
      <c r="AF226" s="108">
        <f>MIN(((-PMT(Parameters!$B$31/12,Parameters!$B$32,$E221))*3),AE227)</f>
        <v>0</v>
      </c>
      <c r="AG226" s="108">
        <f>MIN(((-PMT(Parameters!$B$31/12,Parameters!$B$32,$E221))*3),AF227)</f>
        <v>0</v>
      </c>
      <c r="AH226" s="108">
        <f>MIN(((-PMT(Parameters!$B$31/12,Parameters!$B$32,$E221))*3),AG227)</f>
        <v>0</v>
      </c>
      <c r="AI226" s="108">
        <f>MIN(((-PMT(Parameters!$B$31/12,Parameters!$B$32,$E221))*3),AH227)</f>
        <v>0</v>
      </c>
      <c r="AJ226" s="108">
        <f>MIN(((-PMT(Parameters!$B$31/12,Parameters!$B$32,$E221))*3),AI227)</f>
        <v>0</v>
      </c>
      <c r="AK226" s="108">
        <f>MIN(((-PMT(Parameters!$B$31/12,Parameters!$B$32,$E221))*3),AJ227)</f>
        <v>0</v>
      </c>
      <c r="AL226" s="108">
        <f>MIN(((-PMT(Parameters!$B$31/12,Parameters!$B$32,$E221))*3),AK227)</f>
        <v>0</v>
      </c>
      <c r="AM226" s="108">
        <f>MIN(((-PMT(Parameters!$B$31/12,Parameters!$B$32,$E221))*3),AL227)</f>
        <v>0</v>
      </c>
    </row>
    <row r="227" spans="1:39" ht="15" customHeight="1" x14ac:dyDescent="0.2">
      <c r="A227" s="868"/>
      <c r="B227" s="860"/>
      <c r="C227" s="860"/>
      <c r="D227" s="860"/>
      <c r="E227" s="860"/>
      <c r="F227" s="860"/>
      <c r="G227" s="860"/>
      <c r="H227" s="860"/>
      <c r="I227" s="861"/>
      <c r="L227" s="109">
        <f>K226-L226</f>
        <v>369456.80202142469</v>
      </c>
      <c r="M227" s="109">
        <f t="shared" ref="M227:AM227" si="97">L227-M226</f>
        <v>337330.1235847791</v>
      </c>
      <c r="N227" s="109">
        <f t="shared" si="97"/>
        <v>305203.44514813344</v>
      </c>
      <c r="O227" s="109">
        <f t="shared" si="97"/>
        <v>273076.76671148778</v>
      </c>
      <c r="P227" s="109">
        <f t="shared" si="97"/>
        <v>240950.08827484216</v>
      </c>
      <c r="Q227" s="109">
        <f t="shared" si="97"/>
        <v>208823.40983819653</v>
      </c>
      <c r="R227" s="109">
        <f t="shared" si="97"/>
        <v>176696.7314015509</v>
      </c>
      <c r="S227" s="109">
        <f t="shared" si="97"/>
        <v>144570.05296490528</v>
      </c>
      <c r="T227" s="109">
        <f t="shared" si="97"/>
        <v>112443.37452825965</v>
      </c>
      <c r="U227" s="109">
        <f t="shared" si="97"/>
        <v>80316.696091614023</v>
      </c>
      <c r="V227" s="109">
        <f t="shared" si="97"/>
        <v>48190.017654968397</v>
      </c>
      <c r="W227" s="109">
        <f t="shared" si="97"/>
        <v>16063.33921832277</v>
      </c>
      <c r="X227" s="109">
        <f t="shared" si="97"/>
        <v>0</v>
      </c>
      <c r="Y227" s="109">
        <f t="shared" si="97"/>
        <v>0</v>
      </c>
      <c r="Z227" s="109">
        <f t="shared" si="97"/>
        <v>0</v>
      </c>
      <c r="AA227" s="109">
        <f t="shared" si="97"/>
        <v>0</v>
      </c>
      <c r="AB227" s="109">
        <f t="shared" si="97"/>
        <v>0</v>
      </c>
      <c r="AC227" s="109">
        <f t="shared" si="97"/>
        <v>0</v>
      </c>
      <c r="AD227" s="109">
        <f t="shared" si="97"/>
        <v>0</v>
      </c>
      <c r="AE227" s="109">
        <f t="shared" si="97"/>
        <v>0</v>
      </c>
      <c r="AF227" s="109">
        <f t="shared" si="97"/>
        <v>0</v>
      </c>
      <c r="AG227" s="109">
        <f t="shared" si="97"/>
        <v>0</v>
      </c>
      <c r="AH227" s="109">
        <f t="shared" si="97"/>
        <v>0</v>
      </c>
      <c r="AI227" s="109">
        <f t="shared" si="97"/>
        <v>0</v>
      </c>
      <c r="AJ227" s="109">
        <f t="shared" si="97"/>
        <v>0</v>
      </c>
      <c r="AK227" s="109">
        <f t="shared" si="97"/>
        <v>0</v>
      </c>
      <c r="AL227" s="109">
        <f t="shared" si="97"/>
        <v>0</v>
      </c>
      <c r="AM227" s="109">
        <f t="shared" si="97"/>
        <v>0</v>
      </c>
    </row>
    <row r="228" spans="1:39" ht="15" customHeight="1" x14ac:dyDescent="0.2">
      <c r="A228" s="868"/>
      <c r="B228" s="860"/>
      <c r="C228" s="860"/>
      <c r="D228" s="860"/>
      <c r="E228" s="860"/>
      <c r="F228" s="860"/>
      <c r="G228" s="860"/>
      <c r="H228" s="860"/>
      <c r="I228" s="861"/>
      <c r="K228" s="110">
        <f>(-PMT(Parameters!$B$31/12,Parameters!$B$32,$F221))*Parameters!$B$32</f>
        <v>385520.14123974752</v>
      </c>
      <c r="L228" s="111"/>
      <c r="M228" s="108">
        <f>(-PMT(Parameters!$B$31/12,Parameters!$B$32,$F221))*Parameters!$K$32</f>
        <v>16063.339218322813</v>
      </c>
      <c r="N228" s="108">
        <f>MIN(((-PMT(Parameters!$B$31/12,Parameters!$B$32,$F221))*3),M229)</f>
        <v>32126.678436645627</v>
      </c>
      <c r="O228" s="108">
        <f>MIN(((-PMT(Parameters!$B$31/12,Parameters!$B$32,$F221))*3),N229)</f>
        <v>32126.678436645627</v>
      </c>
      <c r="P228" s="108">
        <f>MIN(((-PMT(Parameters!$B$31/12,Parameters!$B$32,$F221))*3),O229)</f>
        <v>32126.678436645627</v>
      </c>
      <c r="Q228" s="108">
        <f>MIN(((-PMT(Parameters!$B$31/12,Parameters!$B$32,$F221))*3),P229)</f>
        <v>32126.678436645627</v>
      </c>
      <c r="R228" s="108">
        <f>MIN(((-PMT(Parameters!$B$31/12,Parameters!$B$32,$F221))*3),Q229)</f>
        <v>32126.678436645627</v>
      </c>
      <c r="S228" s="108">
        <f>MIN(((-PMT(Parameters!$B$31/12,Parameters!$B$32,$F221))*3),R229)</f>
        <v>32126.678436645627</v>
      </c>
      <c r="T228" s="108">
        <f>MIN(((-PMT(Parameters!$B$31/12,Parameters!$B$32,$F221))*3),S229)</f>
        <v>32126.678436645627</v>
      </c>
      <c r="U228" s="108">
        <f>MIN(((-PMT(Parameters!$B$31/12,Parameters!$B$32,$F221))*3),T229)</f>
        <v>32126.678436645627</v>
      </c>
      <c r="V228" s="108">
        <f>MIN(((-PMT(Parameters!$B$31/12,Parameters!$B$32,$F221))*3),U229)</f>
        <v>32126.678436645627</v>
      </c>
      <c r="W228" s="108">
        <f>MIN(((-PMT(Parameters!$B$31/12,Parameters!$B$32,$F221))*3),V229)</f>
        <v>32126.678436645627</v>
      </c>
      <c r="X228" s="108">
        <f>MIN(((-PMT(Parameters!$B$31/12,Parameters!$B$32,$F221))*3),W229)</f>
        <v>32126.678436645627</v>
      </c>
      <c r="Y228" s="108">
        <f>MIN(((-PMT(Parameters!$B$31/12,Parameters!$B$32,$F221))*3),X229)</f>
        <v>16063.33921832277</v>
      </c>
      <c r="Z228" s="108">
        <f>MIN(((-PMT(Parameters!$B$31/12,Parameters!$B$32,$F221))*3),Y229)</f>
        <v>0</v>
      </c>
      <c r="AA228" s="108">
        <f>MIN(((-PMT(Parameters!$B$31/12,Parameters!$B$32,$F221))*3),Z229)</f>
        <v>0</v>
      </c>
      <c r="AB228" s="108">
        <f>MIN(((-PMT(Parameters!$B$31/12,Parameters!$B$32,$F221))*3),AA229)</f>
        <v>0</v>
      </c>
      <c r="AC228" s="108">
        <f>MIN(((-PMT(Parameters!$B$31/12,Parameters!$B$32,$F221))*3),AB229)</f>
        <v>0</v>
      </c>
      <c r="AD228" s="108">
        <f>MIN(((-PMT(Parameters!$B$31/12,Parameters!$B$32,$F221))*3),AC229)</f>
        <v>0</v>
      </c>
      <c r="AE228" s="108">
        <f>MIN(((-PMT(Parameters!$B$31/12,Parameters!$B$32,$F221))*3),AD229)</f>
        <v>0</v>
      </c>
      <c r="AF228" s="108">
        <f>MIN(((-PMT(Parameters!$B$31/12,Parameters!$B$32,$F221))*3),AE229)</f>
        <v>0</v>
      </c>
      <c r="AG228" s="108">
        <f>MIN(((-PMT(Parameters!$B$31/12,Parameters!$B$32,$F221))*3),AF229)</f>
        <v>0</v>
      </c>
      <c r="AH228" s="108">
        <f>MIN(((-PMT(Parameters!$B$31/12,Parameters!$B$32,$F221))*3),AG229)</f>
        <v>0</v>
      </c>
      <c r="AI228" s="108">
        <f>MIN(((-PMT(Parameters!$B$31/12,Parameters!$B$32,$F221))*3),AH229)</f>
        <v>0</v>
      </c>
      <c r="AJ228" s="108">
        <f>MIN(((-PMT(Parameters!$B$31/12,Parameters!$B$32,$F221))*3),AI229)</f>
        <v>0</v>
      </c>
      <c r="AK228" s="108">
        <f>MIN(((-PMT(Parameters!$B$31/12,Parameters!$B$32,$F221))*3),AJ229)</f>
        <v>0</v>
      </c>
      <c r="AL228" s="108">
        <f>MIN(((-PMT(Parameters!$B$31/12,Parameters!$B$32,$F221))*3),AK229)</f>
        <v>0</v>
      </c>
      <c r="AM228" s="108">
        <f>MIN(((-PMT(Parameters!$B$31/12,Parameters!$B$32,$F221))*3),AL229)</f>
        <v>0</v>
      </c>
    </row>
    <row r="229" spans="1:39" ht="15" customHeight="1" x14ac:dyDescent="0.2">
      <c r="A229" s="868"/>
      <c r="B229" s="860"/>
      <c r="C229" s="860"/>
      <c r="D229" s="860"/>
      <c r="E229" s="860"/>
      <c r="F229" s="860"/>
      <c r="G229" s="860"/>
      <c r="H229" s="860"/>
      <c r="I229" s="861"/>
      <c r="L229" s="109">
        <f>K228</f>
        <v>385520.14123974752</v>
      </c>
      <c r="M229" s="109">
        <f t="shared" ref="M229:AM229" si="98">L229-M228</f>
        <v>369456.80202142469</v>
      </c>
      <c r="N229" s="109">
        <f t="shared" si="98"/>
        <v>337330.1235847791</v>
      </c>
      <c r="O229" s="109">
        <f t="shared" si="98"/>
        <v>305203.44514813344</v>
      </c>
      <c r="P229" s="109">
        <f t="shared" si="98"/>
        <v>273076.76671148778</v>
      </c>
      <c r="Q229" s="109">
        <f t="shared" si="98"/>
        <v>240950.08827484216</v>
      </c>
      <c r="R229" s="109">
        <f t="shared" si="98"/>
        <v>208823.40983819653</v>
      </c>
      <c r="S229" s="109">
        <f t="shared" si="98"/>
        <v>176696.7314015509</v>
      </c>
      <c r="T229" s="109">
        <f t="shared" si="98"/>
        <v>144570.05296490528</v>
      </c>
      <c r="U229" s="109">
        <f t="shared" si="98"/>
        <v>112443.37452825965</v>
      </c>
      <c r="V229" s="109">
        <f t="shared" si="98"/>
        <v>80316.696091614023</v>
      </c>
      <c r="W229" s="109">
        <f t="shared" si="98"/>
        <v>48190.017654968397</v>
      </c>
      <c r="X229" s="109">
        <f t="shared" si="98"/>
        <v>16063.33921832277</v>
      </c>
      <c r="Y229" s="109">
        <f t="shared" si="98"/>
        <v>0</v>
      </c>
      <c r="Z229" s="109">
        <f t="shared" si="98"/>
        <v>0</v>
      </c>
      <c r="AA229" s="109">
        <f t="shared" si="98"/>
        <v>0</v>
      </c>
      <c r="AB229" s="109">
        <f t="shared" si="98"/>
        <v>0</v>
      </c>
      <c r="AC229" s="109">
        <f t="shared" si="98"/>
        <v>0</v>
      </c>
      <c r="AD229" s="109">
        <f t="shared" si="98"/>
        <v>0</v>
      </c>
      <c r="AE229" s="109">
        <f t="shared" si="98"/>
        <v>0</v>
      </c>
      <c r="AF229" s="109">
        <f t="shared" si="98"/>
        <v>0</v>
      </c>
      <c r="AG229" s="109">
        <f t="shared" si="98"/>
        <v>0</v>
      </c>
      <c r="AH229" s="109">
        <f t="shared" si="98"/>
        <v>0</v>
      </c>
      <c r="AI229" s="109">
        <f t="shared" si="98"/>
        <v>0</v>
      </c>
      <c r="AJ229" s="109">
        <f t="shared" si="98"/>
        <v>0</v>
      </c>
      <c r="AK229" s="109">
        <f t="shared" si="98"/>
        <v>0</v>
      </c>
      <c r="AL229" s="109">
        <f t="shared" si="98"/>
        <v>0</v>
      </c>
      <c r="AM229" s="109">
        <f t="shared" si="98"/>
        <v>0</v>
      </c>
    </row>
    <row r="230" spans="1:39" ht="15" customHeight="1" x14ac:dyDescent="0.2">
      <c r="A230" s="868"/>
      <c r="B230" s="860"/>
      <c r="C230" s="860"/>
      <c r="D230" s="860"/>
      <c r="E230" s="860"/>
      <c r="F230" s="860"/>
      <c r="G230" s="860"/>
      <c r="H230" s="860"/>
      <c r="I230" s="861"/>
      <c r="K230" s="110">
        <f>(-PMT(Parameters!$B$31/12,Parameters!$B$32,$G221))*Parameters!$B$32</f>
        <v>385520.14123974752</v>
      </c>
      <c r="L230" s="111"/>
      <c r="M230" s="111"/>
      <c r="N230" s="108">
        <f>(-PMT(Parameters!$B$31/12,Parameters!$B$32,$G221))*Parameters!$K$32</f>
        <v>16063.339218322813</v>
      </c>
      <c r="O230" s="108">
        <f>MIN(((-PMT(Parameters!$B$31/12,Parameters!$B$32,$G221))*3),N231)</f>
        <v>32126.678436645627</v>
      </c>
      <c r="P230" s="108">
        <f>MIN(((-PMT(Parameters!$B$31/12,Parameters!$B$32,$G221))*3),O231)</f>
        <v>32126.678436645627</v>
      </c>
      <c r="Q230" s="108">
        <f>MIN(((-PMT(Parameters!$B$31/12,Parameters!$B$32,$G221))*3),P231)</f>
        <v>32126.678436645627</v>
      </c>
      <c r="R230" s="108">
        <f>MIN(((-PMT(Parameters!$B$31/12,Parameters!$B$32,$G221))*3),Q231)</f>
        <v>32126.678436645627</v>
      </c>
      <c r="S230" s="108">
        <f>MIN(((-PMT(Parameters!$B$31/12,Parameters!$B$32,$G221))*3),R231)</f>
        <v>32126.678436645627</v>
      </c>
      <c r="T230" s="108">
        <f>MIN(((-PMT(Parameters!$B$31/12,Parameters!$B$32,$G221))*3),S231)</f>
        <v>32126.678436645627</v>
      </c>
      <c r="U230" s="108">
        <f>MIN(((-PMT(Parameters!$B$31/12,Parameters!$B$32,$G221))*3),T231)</f>
        <v>32126.678436645627</v>
      </c>
      <c r="V230" s="108">
        <f>MIN(((-PMT(Parameters!$B$31/12,Parameters!$B$32,$G221))*3),U231)</f>
        <v>32126.678436645627</v>
      </c>
      <c r="W230" s="108">
        <f>MIN(((-PMT(Parameters!$B$31/12,Parameters!$B$32,$G221))*3),V231)</f>
        <v>32126.678436645627</v>
      </c>
      <c r="X230" s="108">
        <f>MIN(((-PMT(Parameters!$B$31/12,Parameters!$B$32,$G221))*3),W231)</f>
        <v>32126.678436645627</v>
      </c>
      <c r="Y230" s="108">
        <f>MIN(((-PMT(Parameters!$B$31/12,Parameters!$B$32,$G221))*3),X231)</f>
        <v>32126.678436645627</v>
      </c>
      <c r="Z230" s="108">
        <f>MIN(((-PMT(Parameters!$B$31/12,Parameters!$B$32,$G221))*3),Y231)</f>
        <v>16063.33921832277</v>
      </c>
      <c r="AA230" s="108">
        <f>MIN(((-PMT(Parameters!$B$31/12,Parameters!$B$32,$G221))*3),Z231)</f>
        <v>0</v>
      </c>
      <c r="AB230" s="108">
        <f>MIN(((-PMT(Parameters!$B$31/12,Parameters!$B$32,$G221))*3),AA231)</f>
        <v>0</v>
      </c>
      <c r="AC230" s="108">
        <f>MIN(((-PMT(Parameters!$B$31/12,Parameters!$B$32,$G221))*3),AB231)</f>
        <v>0</v>
      </c>
      <c r="AD230" s="108">
        <f>MIN(((-PMT(Parameters!$B$31/12,Parameters!$B$32,$G221))*3),AC231)</f>
        <v>0</v>
      </c>
      <c r="AE230" s="108">
        <f>MIN(((-PMT(Parameters!$B$31/12,Parameters!$B$32,$G221))*3),AD231)</f>
        <v>0</v>
      </c>
      <c r="AF230" s="108">
        <f>MIN(((-PMT(Parameters!$B$31/12,Parameters!$B$32,$G221))*3),AE231)</f>
        <v>0</v>
      </c>
      <c r="AG230" s="108">
        <f>MIN(((-PMT(Parameters!$B$31/12,Parameters!$B$32,$G221))*3),AF231)</f>
        <v>0</v>
      </c>
      <c r="AH230" s="108">
        <f>MIN(((-PMT(Parameters!$B$31/12,Parameters!$B$32,$G221))*3),AG231)</f>
        <v>0</v>
      </c>
      <c r="AI230" s="108">
        <f>MIN(((-PMT(Parameters!$B$31/12,Parameters!$B$32,$G221))*3),AH231)</f>
        <v>0</v>
      </c>
      <c r="AJ230" s="108">
        <f>MIN(((-PMT(Parameters!$B$31/12,Parameters!$B$32,$G221))*3),AI231)</f>
        <v>0</v>
      </c>
      <c r="AK230" s="108">
        <f>MIN(((-PMT(Parameters!$B$31/12,Parameters!$B$32,$G221))*3),AJ231)</f>
        <v>0</v>
      </c>
      <c r="AL230" s="108">
        <f>MIN(((-PMT(Parameters!$B$31/12,Parameters!$B$32,$G221))*3),AK231)</f>
        <v>0</v>
      </c>
      <c r="AM230" s="108">
        <f>MIN(((-PMT(Parameters!$B$31/12,Parameters!$B$32,$G221))*3),AL231)</f>
        <v>0</v>
      </c>
    </row>
    <row r="231" spans="1:39" ht="15" customHeight="1" x14ac:dyDescent="0.2">
      <c r="A231" s="868"/>
      <c r="B231" s="860"/>
      <c r="C231" s="860"/>
      <c r="D231" s="860"/>
      <c r="E231" s="860"/>
      <c r="F231" s="860"/>
      <c r="G231" s="860"/>
      <c r="H231" s="860"/>
      <c r="I231" s="861"/>
      <c r="L231" s="109">
        <f>K230</f>
        <v>385520.14123974752</v>
      </c>
      <c r="M231" s="109">
        <f>L231</f>
        <v>385520.14123974752</v>
      </c>
      <c r="N231" s="109">
        <f t="shared" ref="N231:AM231" si="99">M231-N230</f>
        <v>369456.80202142469</v>
      </c>
      <c r="O231" s="109">
        <f t="shared" si="99"/>
        <v>337330.1235847791</v>
      </c>
      <c r="P231" s="109">
        <f t="shared" si="99"/>
        <v>305203.44514813344</v>
      </c>
      <c r="Q231" s="109">
        <f t="shared" si="99"/>
        <v>273076.76671148778</v>
      </c>
      <c r="R231" s="109">
        <f t="shared" si="99"/>
        <v>240950.08827484216</v>
      </c>
      <c r="S231" s="109">
        <f t="shared" si="99"/>
        <v>208823.40983819653</v>
      </c>
      <c r="T231" s="109">
        <f t="shared" si="99"/>
        <v>176696.7314015509</v>
      </c>
      <c r="U231" s="109">
        <f t="shared" si="99"/>
        <v>144570.05296490528</v>
      </c>
      <c r="V231" s="109">
        <f t="shared" si="99"/>
        <v>112443.37452825965</v>
      </c>
      <c r="W231" s="109">
        <f t="shared" si="99"/>
        <v>80316.696091614023</v>
      </c>
      <c r="X231" s="109">
        <f t="shared" si="99"/>
        <v>48190.017654968397</v>
      </c>
      <c r="Y231" s="109">
        <f t="shared" si="99"/>
        <v>16063.33921832277</v>
      </c>
      <c r="Z231" s="109">
        <f t="shared" si="99"/>
        <v>0</v>
      </c>
      <c r="AA231" s="109">
        <f t="shared" si="99"/>
        <v>0</v>
      </c>
      <c r="AB231" s="109">
        <f t="shared" si="99"/>
        <v>0</v>
      </c>
      <c r="AC231" s="109">
        <f t="shared" si="99"/>
        <v>0</v>
      </c>
      <c r="AD231" s="109">
        <f t="shared" si="99"/>
        <v>0</v>
      </c>
      <c r="AE231" s="109">
        <f t="shared" si="99"/>
        <v>0</v>
      </c>
      <c r="AF231" s="109">
        <f t="shared" si="99"/>
        <v>0</v>
      </c>
      <c r="AG231" s="109">
        <f t="shared" si="99"/>
        <v>0</v>
      </c>
      <c r="AH231" s="109">
        <f t="shared" si="99"/>
        <v>0</v>
      </c>
      <c r="AI231" s="109">
        <f t="shared" si="99"/>
        <v>0</v>
      </c>
      <c r="AJ231" s="109">
        <f t="shared" si="99"/>
        <v>0</v>
      </c>
      <c r="AK231" s="109">
        <f t="shared" si="99"/>
        <v>0</v>
      </c>
      <c r="AL231" s="109">
        <f t="shared" si="99"/>
        <v>0</v>
      </c>
      <c r="AM231" s="109">
        <f t="shared" si="99"/>
        <v>0</v>
      </c>
    </row>
    <row r="232" spans="1:39" ht="15" customHeight="1" x14ac:dyDescent="0.2">
      <c r="A232" s="868"/>
      <c r="B232" s="860"/>
      <c r="C232" s="860"/>
      <c r="D232" s="860"/>
      <c r="E232" s="860"/>
      <c r="F232" s="860"/>
      <c r="G232" s="860"/>
      <c r="H232" s="860"/>
      <c r="I232" s="861"/>
      <c r="K232" s="110">
        <f>(-PMT(Parameters!$B$31/12,Parameters!$B$32,$H221))*Parameters!$B$32</f>
        <v>385520.14123974752</v>
      </c>
      <c r="L232" s="111"/>
      <c r="M232" s="111"/>
      <c r="N232" s="111"/>
      <c r="O232" s="108">
        <f>(-PMT(Parameters!$B$31/12,Parameters!$B$32,$H221))*Parameters!$K$32</f>
        <v>16063.339218322813</v>
      </c>
      <c r="P232" s="108">
        <f>MIN(((-PMT(Parameters!$B$31/12,Parameters!$B$32,$H221))*3),O233)</f>
        <v>32126.678436645627</v>
      </c>
      <c r="Q232" s="108">
        <f>MIN(((-PMT(Parameters!$B$31/12,Parameters!$B$32,$H221))*3),P233)</f>
        <v>32126.678436645627</v>
      </c>
      <c r="R232" s="108">
        <f>MIN(((-PMT(Parameters!$B$31/12,Parameters!$B$32,$H221))*3),Q233)</f>
        <v>32126.678436645627</v>
      </c>
      <c r="S232" s="108">
        <f>MIN(((-PMT(Parameters!$B$31/12,Parameters!$B$32,$H221))*3),R233)</f>
        <v>32126.678436645627</v>
      </c>
      <c r="T232" s="108">
        <f>MIN(((-PMT(Parameters!$B$31/12,Parameters!$B$32,$H221))*3),S233)</f>
        <v>32126.678436645627</v>
      </c>
      <c r="U232" s="108">
        <f>MIN(((-PMT(Parameters!$B$31/12,Parameters!$B$32,$H221))*3),T233)</f>
        <v>32126.678436645627</v>
      </c>
      <c r="V232" s="108">
        <f>MIN(((-PMT(Parameters!$B$31/12,Parameters!$B$32,$H221))*3),U233)</f>
        <v>32126.678436645627</v>
      </c>
      <c r="W232" s="108">
        <f>MIN(((-PMT(Parameters!$B$31/12,Parameters!$B$32,$H221))*3),V233)</f>
        <v>32126.678436645627</v>
      </c>
      <c r="X232" s="108">
        <f>MIN(((-PMT(Parameters!$B$31/12,Parameters!$B$32,$H221))*3),W233)</f>
        <v>32126.678436645627</v>
      </c>
      <c r="Y232" s="108">
        <f>MIN(((-PMT(Parameters!$B$31/12,Parameters!$B$32,$H221))*3),X233)</f>
        <v>32126.678436645627</v>
      </c>
      <c r="Z232" s="108">
        <f>MIN(((-PMT(Parameters!$B$31/12,Parameters!$B$32,$H221))*3),Y233)</f>
        <v>32126.678436645627</v>
      </c>
      <c r="AA232" s="108">
        <f>MIN(((-PMT(Parameters!$B$31/12,Parameters!$B$32,$H221))*3),Z233)</f>
        <v>16063.33921832277</v>
      </c>
      <c r="AB232" s="108">
        <f>MIN(((-PMT(Parameters!$B$31/12,Parameters!$B$32,$H221))*3),AA233)</f>
        <v>0</v>
      </c>
      <c r="AC232" s="108">
        <f>MIN(((-PMT(Parameters!$B$31/12,Parameters!$B$32,$H221))*3),AB233)</f>
        <v>0</v>
      </c>
      <c r="AD232" s="108">
        <f>MIN(((-PMT(Parameters!$B$31/12,Parameters!$B$32,$H221))*3),AC233)</f>
        <v>0</v>
      </c>
      <c r="AE232" s="108">
        <f>MIN(((-PMT(Parameters!$B$31/12,Parameters!$B$32,$H221))*3),AD233)</f>
        <v>0</v>
      </c>
      <c r="AF232" s="108">
        <f>MIN(((-PMT(Parameters!$B$31/12,Parameters!$B$32,$H221))*3),AE233)</f>
        <v>0</v>
      </c>
      <c r="AG232" s="108">
        <f>MIN(((-PMT(Parameters!$B$31/12,Parameters!$B$32,$H221))*3),AF233)</f>
        <v>0</v>
      </c>
      <c r="AH232" s="108">
        <f>MIN(((-PMT(Parameters!$B$31/12,Parameters!$B$32,$H221))*3),AG233)</f>
        <v>0</v>
      </c>
      <c r="AI232" s="108">
        <f>MIN(((-PMT(Parameters!$B$31/12,Parameters!$B$32,$H221))*3),AH233)</f>
        <v>0</v>
      </c>
      <c r="AJ232" s="108">
        <f>MIN(((-PMT(Parameters!$B$31/12,Parameters!$B$32,$H221))*3),AI233)</f>
        <v>0</v>
      </c>
      <c r="AK232" s="108">
        <f>MIN(((-PMT(Parameters!$B$31/12,Parameters!$B$32,$H221))*3),AJ233)</f>
        <v>0</v>
      </c>
      <c r="AL232" s="108">
        <f>MIN(((-PMT(Parameters!$B$31/12,Parameters!$B$32,$H221))*3),AK233)</f>
        <v>0</v>
      </c>
      <c r="AM232" s="108">
        <f>MIN(((-PMT(Parameters!$B$31/12,Parameters!$B$32,$H221))*3),AL233)</f>
        <v>0</v>
      </c>
    </row>
    <row r="233" spans="1:39" ht="15" customHeight="1" x14ac:dyDescent="0.2">
      <c r="A233" s="868"/>
      <c r="B233" s="860"/>
      <c r="C233" s="860"/>
      <c r="D233" s="860"/>
      <c r="E233" s="860"/>
      <c r="F233" s="860"/>
      <c r="G233" s="860"/>
      <c r="H233" s="860"/>
      <c r="I233" s="861"/>
      <c r="L233" s="109">
        <f>K232</f>
        <v>385520.14123974752</v>
      </c>
      <c r="M233" s="109">
        <f>L233</f>
        <v>385520.14123974752</v>
      </c>
      <c r="N233" s="109">
        <f t="shared" ref="N233:AM233" si="100">M233-N232</f>
        <v>385520.14123974752</v>
      </c>
      <c r="O233" s="109">
        <f t="shared" si="100"/>
        <v>369456.80202142469</v>
      </c>
      <c r="P233" s="109">
        <f t="shared" si="100"/>
        <v>337330.1235847791</v>
      </c>
      <c r="Q233" s="109">
        <f t="shared" si="100"/>
        <v>305203.44514813344</v>
      </c>
      <c r="R233" s="109">
        <f t="shared" si="100"/>
        <v>273076.76671148778</v>
      </c>
      <c r="S233" s="109">
        <f t="shared" si="100"/>
        <v>240950.08827484216</v>
      </c>
      <c r="T233" s="109">
        <f t="shared" si="100"/>
        <v>208823.40983819653</v>
      </c>
      <c r="U233" s="109">
        <f t="shared" si="100"/>
        <v>176696.7314015509</v>
      </c>
      <c r="V233" s="109">
        <f t="shared" si="100"/>
        <v>144570.05296490528</v>
      </c>
      <c r="W233" s="109">
        <f t="shared" si="100"/>
        <v>112443.37452825965</v>
      </c>
      <c r="X233" s="109">
        <f t="shared" si="100"/>
        <v>80316.696091614023</v>
      </c>
      <c r="Y233" s="109">
        <f t="shared" si="100"/>
        <v>48190.017654968397</v>
      </c>
      <c r="Z233" s="109">
        <f t="shared" si="100"/>
        <v>16063.33921832277</v>
      </c>
      <c r="AA233" s="109">
        <f t="shared" si="100"/>
        <v>0</v>
      </c>
      <c r="AB233" s="109">
        <f t="shared" si="100"/>
        <v>0</v>
      </c>
      <c r="AC233" s="109">
        <f t="shared" si="100"/>
        <v>0</v>
      </c>
      <c r="AD233" s="109">
        <f t="shared" si="100"/>
        <v>0</v>
      </c>
      <c r="AE233" s="109">
        <f t="shared" si="100"/>
        <v>0</v>
      </c>
      <c r="AF233" s="109">
        <f t="shared" si="100"/>
        <v>0</v>
      </c>
      <c r="AG233" s="109">
        <f t="shared" si="100"/>
        <v>0</v>
      </c>
      <c r="AH233" s="109">
        <f t="shared" si="100"/>
        <v>0</v>
      </c>
      <c r="AI233" s="109">
        <f t="shared" si="100"/>
        <v>0</v>
      </c>
      <c r="AJ233" s="109">
        <f t="shared" si="100"/>
        <v>0</v>
      </c>
      <c r="AK233" s="109">
        <f t="shared" si="100"/>
        <v>0</v>
      </c>
      <c r="AL233" s="109">
        <f t="shared" si="100"/>
        <v>0</v>
      </c>
      <c r="AM233" s="109">
        <f t="shared" si="100"/>
        <v>0</v>
      </c>
    </row>
    <row r="234" spans="1:39" ht="15" customHeight="1" x14ac:dyDescent="0.2">
      <c r="A234" s="868"/>
      <c r="B234" s="860"/>
      <c r="C234" s="860"/>
      <c r="D234" s="860"/>
      <c r="E234" s="860"/>
      <c r="F234" s="860"/>
      <c r="G234" s="860"/>
      <c r="H234" s="860"/>
      <c r="I234" s="861"/>
      <c r="L234" s="109">
        <f>L226+L228+L230+L232</f>
        <v>16063.339218322813</v>
      </c>
      <c r="M234" s="109">
        <f t="shared" ref="M234:AM234" si="101">M226+M228+M230+M232</f>
        <v>48190.01765496844</v>
      </c>
      <c r="N234" s="109">
        <f t="shared" si="101"/>
        <v>80316.696091614067</v>
      </c>
      <c r="O234" s="109">
        <f t="shared" si="101"/>
        <v>112443.37452825969</v>
      </c>
      <c r="P234" s="109">
        <f t="shared" si="101"/>
        <v>128506.71374658251</v>
      </c>
      <c r="Q234" s="109">
        <f t="shared" si="101"/>
        <v>128506.71374658251</v>
      </c>
      <c r="R234" s="109">
        <f t="shared" si="101"/>
        <v>128506.71374658251</v>
      </c>
      <c r="S234" s="109">
        <f t="shared" si="101"/>
        <v>128506.71374658251</v>
      </c>
      <c r="T234" s="109">
        <f t="shared" si="101"/>
        <v>128506.71374658251</v>
      </c>
      <c r="U234" s="109">
        <f t="shared" si="101"/>
        <v>128506.71374658251</v>
      </c>
      <c r="V234" s="109">
        <f t="shared" si="101"/>
        <v>128506.71374658251</v>
      </c>
      <c r="W234" s="109">
        <f t="shared" si="101"/>
        <v>128506.71374658251</v>
      </c>
      <c r="X234" s="109">
        <f t="shared" si="101"/>
        <v>112443.37452825965</v>
      </c>
      <c r="Y234" s="109">
        <f t="shared" si="101"/>
        <v>80316.696091614023</v>
      </c>
      <c r="Z234" s="109">
        <f t="shared" si="101"/>
        <v>48190.017654968397</v>
      </c>
      <c r="AA234" s="109">
        <f t="shared" si="101"/>
        <v>16063.33921832277</v>
      </c>
      <c r="AB234" s="109">
        <f t="shared" si="101"/>
        <v>0</v>
      </c>
      <c r="AC234" s="109">
        <f t="shared" si="101"/>
        <v>0</v>
      </c>
      <c r="AD234" s="109">
        <f t="shared" si="101"/>
        <v>0</v>
      </c>
      <c r="AE234" s="109">
        <f t="shared" si="101"/>
        <v>0</v>
      </c>
      <c r="AF234" s="109">
        <f t="shared" si="101"/>
        <v>0</v>
      </c>
      <c r="AG234" s="109">
        <f t="shared" si="101"/>
        <v>0</v>
      </c>
      <c r="AH234" s="109">
        <f t="shared" si="101"/>
        <v>0</v>
      </c>
      <c r="AI234" s="109">
        <f t="shared" si="101"/>
        <v>0</v>
      </c>
      <c r="AJ234" s="109">
        <f t="shared" si="101"/>
        <v>0</v>
      </c>
      <c r="AK234" s="109">
        <f t="shared" si="101"/>
        <v>0</v>
      </c>
      <c r="AL234" s="109">
        <f t="shared" si="101"/>
        <v>0</v>
      </c>
      <c r="AM234" s="109">
        <f t="shared" si="101"/>
        <v>0</v>
      </c>
    </row>
    <row r="235" spans="1:39" ht="15" customHeight="1" thickBot="1" x14ac:dyDescent="0.25">
      <c r="A235" s="869"/>
      <c r="B235" s="862"/>
      <c r="C235" s="862"/>
      <c r="D235" s="862"/>
      <c r="E235" s="862"/>
      <c r="F235" s="862"/>
      <c r="G235" s="862"/>
      <c r="H235" s="862"/>
      <c r="I235" s="863"/>
      <c r="L235"/>
      <c r="M235"/>
      <c r="N235"/>
      <c r="O235"/>
      <c r="P235"/>
      <c r="Q235"/>
      <c r="R235"/>
      <c r="S235"/>
      <c r="T235"/>
      <c r="U235"/>
      <c r="V235"/>
      <c r="W235"/>
      <c r="X235"/>
      <c r="Y235"/>
      <c r="Z235"/>
      <c r="AA235"/>
      <c r="AB235"/>
      <c r="AC235"/>
      <c r="AD235"/>
      <c r="AE235"/>
      <c r="AF235"/>
      <c r="AG235"/>
      <c r="AH235"/>
      <c r="AI235"/>
      <c r="AJ235"/>
      <c r="AK235"/>
      <c r="AL235"/>
      <c r="AM235"/>
    </row>
    <row r="236" spans="1:39" ht="13.2" thickBot="1" x14ac:dyDescent="0.25"/>
    <row r="237" spans="1:39" ht="16.05" customHeight="1" x14ac:dyDescent="0.2">
      <c r="A237" s="889">
        <v>2015</v>
      </c>
      <c r="B237" s="890"/>
      <c r="C237" s="893" t="s">
        <v>198</v>
      </c>
      <c r="D237" s="894"/>
      <c r="E237" s="864" t="s">
        <v>406</v>
      </c>
      <c r="F237" s="883" t="s">
        <v>407</v>
      </c>
      <c r="G237" s="883" t="s">
        <v>408</v>
      </c>
      <c r="H237" s="885" t="s">
        <v>409</v>
      </c>
      <c r="I237" s="887" t="s">
        <v>498</v>
      </c>
      <c r="L237" s="85">
        <f>X150</f>
        <v>40178</v>
      </c>
      <c r="M237" s="85">
        <f t="shared" ref="M237:AM237" si="102">L238+1</f>
        <v>40268</v>
      </c>
      <c r="N237" s="85">
        <f t="shared" si="102"/>
        <v>40359</v>
      </c>
      <c r="O237" s="85">
        <f t="shared" si="102"/>
        <v>40451</v>
      </c>
      <c r="P237" s="85">
        <f t="shared" si="102"/>
        <v>40543</v>
      </c>
      <c r="Q237" s="85">
        <f t="shared" si="102"/>
        <v>40633</v>
      </c>
      <c r="R237" s="85">
        <f t="shared" si="102"/>
        <v>40724</v>
      </c>
      <c r="S237" s="85">
        <f t="shared" si="102"/>
        <v>40816</v>
      </c>
      <c r="T237" s="85">
        <f t="shared" si="102"/>
        <v>40908</v>
      </c>
      <c r="U237" s="85">
        <f t="shared" si="102"/>
        <v>40999</v>
      </c>
      <c r="V237" s="85">
        <f t="shared" si="102"/>
        <v>41090</v>
      </c>
      <c r="W237" s="85">
        <f t="shared" si="102"/>
        <v>41182</v>
      </c>
      <c r="X237" s="85">
        <f t="shared" si="102"/>
        <v>41274</v>
      </c>
      <c r="Y237" s="85">
        <f t="shared" si="102"/>
        <v>41364</v>
      </c>
      <c r="Z237" s="85">
        <f t="shared" si="102"/>
        <v>41455</v>
      </c>
      <c r="AA237" s="85">
        <f t="shared" si="102"/>
        <v>41547</v>
      </c>
      <c r="AB237" s="85">
        <f t="shared" si="102"/>
        <v>41639</v>
      </c>
      <c r="AC237" s="85">
        <f t="shared" si="102"/>
        <v>41729</v>
      </c>
      <c r="AD237" s="85">
        <f t="shared" si="102"/>
        <v>41820</v>
      </c>
      <c r="AE237" s="85">
        <f t="shared" si="102"/>
        <v>41912</v>
      </c>
      <c r="AF237" s="85">
        <f t="shared" si="102"/>
        <v>42004</v>
      </c>
      <c r="AG237" s="85">
        <f t="shared" si="102"/>
        <v>42094</v>
      </c>
      <c r="AH237" s="85">
        <f t="shared" si="102"/>
        <v>42185</v>
      </c>
      <c r="AI237" s="85">
        <f t="shared" si="102"/>
        <v>42277</v>
      </c>
      <c r="AJ237" s="85">
        <f t="shared" si="102"/>
        <v>42369</v>
      </c>
      <c r="AK237" s="85">
        <f t="shared" si="102"/>
        <v>42460</v>
      </c>
      <c r="AL237" s="85">
        <f t="shared" si="102"/>
        <v>42551</v>
      </c>
      <c r="AM237" s="85">
        <f t="shared" si="102"/>
        <v>42643</v>
      </c>
    </row>
    <row r="238" spans="1:39" ht="16.05" customHeight="1" thickBot="1" x14ac:dyDescent="0.25">
      <c r="A238" s="891"/>
      <c r="B238" s="892"/>
      <c r="C238" s="895"/>
      <c r="D238" s="896"/>
      <c r="E238" s="865"/>
      <c r="F238" s="884"/>
      <c r="G238" s="884"/>
      <c r="H238" s="886"/>
      <c r="I238" s="888"/>
      <c r="L238" s="85">
        <f>X151</f>
        <v>40267</v>
      </c>
      <c r="M238" s="85">
        <f t="shared" ref="M238:AM238" si="103">Y151</f>
        <v>40358</v>
      </c>
      <c r="N238" s="85">
        <f t="shared" si="103"/>
        <v>40450</v>
      </c>
      <c r="O238" s="85">
        <f t="shared" si="103"/>
        <v>40542</v>
      </c>
      <c r="P238" s="85">
        <f t="shared" si="103"/>
        <v>40632</v>
      </c>
      <c r="Q238" s="85">
        <f t="shared" si="103"/>
        <v>40723</v>
      </c>
      <c r="R238" s="85">
        <f t="shared" si="103"/>
        <v>40815</v>
      </c>
      <c r="S238" s="85">
        <f t="shared" si="103"/>
        <v>40907</v>
      </c>
      <c r="T238" s="85">
        <f t="shared" si="103"/>
        <v>40998</v>
      </c>
      <c r="U238" s="85">
        <f t="shared" si="103"/>
        <v>41089</v>
      </c>
      <c r="V238" s="85">
        <f t="shared" si="103"/>
        <v>41181</v>
      </c>
      <c r="W238" s="85">
        <f t="shared" si="103"/>
        <v>41273</v>
      </c>
      <c r="X238" s="85">
        <f t="shared" si="103"/>
        <v>41363</v>
      </c>
      <c r="Y238" s="85">
        <f t="shared" si="103"/>
        <v>41454</v>
      </c>
      <c r="Z238" s="85">
        <f t="shared" si="103"/>
        <v>41546</v>
      </c>
      <c r="AA238" s="85">
        <f t="shared" si="103"/>
        <v>41638</v>
      </c>
      <c r="AB238" s="85">
        <f t="shared" si="103"/>
        <v>41728</v>
      </c>
      <c r="AC238" s="85">
        <f t="shared" si="103"/>
        <v>41819</v>
      </c>
      <c r="AD238" s="85">
        <f t="shared" si="103"/>
        <v>41911</v>
      </c>
      <c r="AE238" s="85">
        <f t="shared" si="103"/>
        <v>42003</v>
      </c>
      <c r="AF238" s="85">
        <f t="shared" si="103"/>
        <v>42093</v>
      </c>
      <c r="AG238" s="85">
        <f t="shared" si="103"/>
        <v>42184</v>
      </c>
      <c r="AH238" s="85">
        <f t="shared" si="103"/>
        <v>42276</v>
      </c>
      <c r="AI238" s="85">
        <f t="shared" si="103"/>
        <v>42368</v>
      </c>
      <c r="AJ238" s="85">
        <f t="shared" si="103"/>
        <v>42459</v>
      </c>
      <c r="AK238" s="85">
        <f t="shared" si="103"/>
        <v>42550</v>
      </c>
      <c r="AL238" s="85">
        <f t="shared" si="103"/>
        <v>42642</v>
      </c>
      <c r="AM238" s="85">
        <f t="shared" si="103"/>
        <v>42734</v>
      </c>
    </row>
    <row r="239" spans="1:39" ht="15" customHeight="1" x14ac:dyDescent="0.2">
      <c r="A239" s="878" t="s">
        <v>318</v>
      </c>
      <c r="B239" s="870" t="s">
        <v>347</v>
      </c>
      <c r="C239" s="95" t="s">
        <v>375</v>
      </c>
      <c r="D239" s="94">
        <f>1-Parameters!N$7</f>
        <v>0</v>
      </c>
      <c r="E239" s="96">
        <f>ROUND(Calculations!S4*$D239,0)</f>
        <v>0</v>
      </c>
      <c r="F239" s="96">
        <f>ROUND(Calculations!T4*$D239,0)</f>
        <v>0</v>
      </c>
      <c r="G239" s="96">
        <f>ROUND(Calculations!U4*$D239,0)</f>
        <v>0</v>
      </c>
      <c r="H239" s="96">
        <f>ROUND(Calculations!V4*$D239,0)</f>
        <v>0</v>
      </c>
      <c r="I239" s="103">
        <f>SUM(E239:H239)</f>
        <v>0</v>
      </c>
      <c r="L239" s="88"/>
      <c r="M239" s="88"/>
      <c r="N239" s="88"/>
      <c r="O239" s="88"/>
      <c r="P239" s="85">
        <f>P237</f>
        <v>40543</v>
      </c>
      <c r="Q239" s="85">
        <f>Q237</f>
        <v>40633</v>
      </c>
      <c r="R239" s="85">
        <f>R237</f>
        <v>40724</v>
      </c>
      <c r="S239" s="85">
        <f>S237</f>
        <v>40816</v>
      </c>
      <c r="T239" s="88"/>
      <c r="U239" s="88"/>
      <c r="V239" s="88"/>
      <c r="W239" s="88"/>
      <c r="Y239"/>
    </row>
    <row r="240" spans="1:39" ht="15" customHeight="1" x14ac:dyDescent="0.2">
      <c r="A240" s="880"/>
      <c r="B240" s="688"/>
      <c r="C240" s="688" t="s">
        <v>139</v>
      </c>
      <c r="D240" s="871"/>
      <c r="E240" s="92">
        <f>SUM(E239:E239)</f>
        <v>0</v>
      </c>
      <c r="F240" s="92">
        <f>SUM(F239:F239)</f>
        <v>0</v>
      </c>
      <c r="G240" s="92">
        <f>SUM(G239:G239)</f>
        <v>0</v>
      </c>
      <c r="H240" s="92">
        <f>SUM(H239:H239)</f>
        <v>0</v>
      </c>
      <c r="I240" s="872">
        <f>H241</f>
        <v>0</v>
      </c>
      <c r="L240" s="93">
        <f>IF($M242&lt;=L238,$E240,IF($N242&lt;=L238,$F240,IF($O242&lt;=L238,$G240,IF($P242&lt;=L238,$H240,))))</f>
        <v>0</v>
      </c>
      <c r="M240" s="93">
        <f t="shared" ref="M240:W240" si="104">IF(AND($M242&gt;L238,$M242&lt;=M238),$E240,IF(AND($N242&gt;L238,$N242&lt;=M238),$F240,IF(AND($O242&gt;L238,$O242&lt;=M238),$G240,IF(AND($P242&gt;L238,$P242&lt;=M238),$H240,))))</f>
        <v>0</v>
      </c>
      <c r="N240" s="93">
        <f t="shared" si="104"/>
        <v>0</v>
      </c>
      <c r="O240" s="93">
        <f t="shared" si="104"/>
        <v>0</v>
      </c>
      <c r="P240" s="93">
        <f t="shared" si="104"/>
        <v>0</v>
      </c>
      <c r="Q240" s="93">
        <f t="shared" si="104"/>
        <v>0</v>
      </c>
      <c r="R240" s="93">
        <f t="shared" si="104"/>
        <v>0</v>
      </c>
      <c r="S240" s="93">
        <f t="shared" si="104"/>
        <v>0</v>
      </c>
      <c r="T240" s="93">
        <f t="shared" si="104"/>
        <v>0</v>
      </c>
      <c r="U240" s="93">
        <f t="shared" si="104"/>
        <v>0</v>
      </c>
      <c r="V240" s="93">
        <f t="shared" si="104"/>
        <v>0</v>
      </c>
      <c r="W240" s="93">
        <f t="shared" si="104"/>
        <v>0</v>
      </c>
      <c r="X240" s="93">
        <f>SUM(L240:W240)</f>
        <v>0</v>
      </c>
      <c r="Y240"/>
    </row>
    <row r="241" spans="1:39" ht="15" customHeight="1" x14ac:dyDescent="0.2">
      <c r="A241" s="880"/>
      <c r="B241" s="688"/>
      <c r="C241" s="874" t="s">
        <v>331</v>
      </c>
      <c r="D241" s="875"/>
      <c r="E241" s="105">
        <f>E240</f>
        <v>0</v>
      </c>
      <c r="F241" s="15">
        <f>E241+F240</f>
        <v>0</v>
      </c>
      <c r="G241" s="15">
        <f>F241+G240</f>
        <v>0</v>
      </c>
      <c r="H241" s="15">
        <f>G241+H240</f>
        <v>0</v>
      </c>
      <c r="I241" s="873"/>
    </row>
    <row r="242" spans="1:39" ht="15" customHeight="1" x14ac:dyDescent="0.2">
      <c r="A242" s="880"/>
      <c r="B242" s="688" t="s">
        <v>411</v>
      </c>
      <c r="C242" s="65" t="s">
        <v>405</v>
      </c>
      <c r="D242" s="104">
        <f>Parameters!$E$21</f>
        <v>17000</v>
      </c>
      <c r="E242" s="72">
        <f>E240*$D242</f>
        <v>0</v>
      </c>
      <c r="F242" s="72">
        <f>F240*$D242</f>
        <v>0</v>
      </c>
      <c r="G242" s="72">
        <f>G240*$D242</f>
        <v>0</v>
      </c>
      <c r="H242" s="72">
        <f>H240*$D242</f>
        <v>0</v>
      </c>
      <c r="I242" s="106">
        <f>SUM(E242:H242)</f>
        <v>0</v>
      </c>
      <c r="L242" s="60" t="s">
        <v>196</v>
      </c>
      <c r="M242" s="79">
        <f>P239+$D243</f>
        <v>40543</v>
      </c>
      <c r="N242" s="79">
        <f>Q239+$D243</f>
        <v>40633</v>
      </c>
      <c r="O242" s="79">
        <f>R239+$D243</f>
        <v>40724</v>
      </c>
      <c r="P242" s="79">
        <f>S239+$D243</f>
        <v>40816</v>
      </c>
      <c r="X242" s="69" t="s">
        <v>366</v>
      </c>
    </row>
    <row r="243" spans="1:39" ht="15" customHeight="1" thickBot="1" x14ac:dyDescent="0.25">
      <c r="A243" s="881"/>
      <c r="B243" s="882"/>
      <c r="C243" s="70" t="s">
        <v>332</v>
      </c>
      <c r="D243" s="84">
        <f>Parameters!$B$36</f>
        <v>0</v>
      </c>
      <c r="E243" s="72">
        <f>SUM(L243:P243)+L272+T214</f>
        <v>0</v>
      </c>
      <c r="F243" s="66">
        <f>Q243+M272+U214</f>
        <v>0</v>
      </c>
      <c r="G243" s="66">
        <f>R243+N272+V214</f>
        <v>0</v>
      </c>
      <c r="H243" s="66">
        <f>S243+O272+W214</f>
        <v>0</v>
      </c>
      <c r="I243" s="89">
        <f>SUM(E243:H243)</f>
        <v>0</v>
      </c>
      <c r="L243" s="68">
        <f>IF($M242&lt;=L238,$E242,IF($N242&lt;=L238,$F242,IF($O242&lt;=L238,$G242,IF($P242&lt;=L238,$H242,))))</f>
        <v>0</v>
      </c>
      <c r="M243" s="68">
        <f t="shared" ref="M243:W243" si="105">IF(AND($M242&gt;L238,$M242&lt;=M238),$E242,IF(AND($N242&gt;L238,$N242&lt;=M238),$F242,IF(AND($O242&gt;L238,$O242&lt;=M238),$G242,IF(AND($P242&gt;L238,$P242&lt;=M238),$H242,))))</f>
        <v>0</v>
      </c>
      <c r="N243" s="68">
        <f t="shared" si="105"/>
        <v>0</v>
      </c>
      <c r="O243" s="68">
        <f t="shared" si="105"/>
        <v>0</v>
      </c>
      <c r="P243" s="68">
        <f t="shared" si="105"/>
        <v>0</v>
      </c>
      <c r="Q243" s="68">
        <f t="shared" si="105"/>
        <v>0</v>
      </c>
      <c r="R243" s="68">
        <f t="shared" si="105"/>
        <v>0</v>
      </c>
      <c r="S243" s="68">
        <f t="shared" si="105"/>
        <v>0</v>
      </c>
      <c r="T243" s="68">
        <f t="shared" si="105"/>
        <v>0</v>
      </c>
      <c r="U243" s="68">
        <f t="shared" si="105"/>
        <v>0</v>
      </c>
      <c r="V243" s="68">
        <f t="shared" si="105"/>
        <v>0</v>
      </c>
      <c r="W243" s="68">
        <f t="shared" si="105"/>
        <v>0</v>
      </c>
      <c r="X243" s="68">
        <f>SUM(L243:W243)</f>
        <v>0</v>
      </c>
    </row>
    <row r="244" spans="1:39" ht="15" customHeight="1" x14ac:dyDescent="0.2">
      <c r="A244" s="866" t="s">
        <v>206</v>
      </c>
      <c r="B244" s="870" t="s">
        <v>317</v>
      </c>
      <c r="C244" s="95" t="str">
        <f>C239</f>
        <v>N. Amer</v>
      </c>
      <c r="D244" s="94">
        <f>1-D239</f>
        <v>1</v>
      </c>
      <c r="E244" s="96">
        <f>Calculations!S4-E239</f>
        <v>42</v>
      </c>
      <c r="F244" s="97">
        <f>Calculations!T4-F239</f>
        <v>42</v>
      </c>
      <c r="G244" s="97">
        <f>Calculations!U4-G239</f>
        <v>42</v>
      </c>
      <c r="H244" s="96">
        <f>Calculations!V4-H239</f>
        <v>44</v>
      </c>
      <c r="I244" s="103">
        <f>SUM(E244:H244)</f>
        <v>170</v>
      </c>
    </row>
    <row r="245" spans="1:39" ht="15" customHeight="1" x14ac:dyDescent="0.2">
      <c r="A245" s="868"/>
      <c r="B245" s="688"/>
      <c r="C245" s="688" t="s">
        <v>139</v>
      </c>
      <c r="D245" s="871"/>
      <c r="E245" s="92">
        <f>SUM(E244:E244)</f>
        <v>42</v>
      </c>
      <c r="F245" s="10">
        <f>SUM(F244:F244)</f>
        <v>42</v>
      </c>
      <c r="G245" s="10">
        <f>SUM(G244:G244)</f>
        <v>42</v>
      </c>
      <c r="H245" s="101">
        <f>SUM(H244:H244)</f>
        <v>44</v>
      </c>
      <c r="I245" s="872">
        <f>H246</f>
        <v>170</v>
      </c>
      <c r="L245"/>
      <c r="M245"/>
      <c r="N245"/>
      <c r="O245"/>
      <c r="P245"/>
      <c r="Q245"/>
      <c r="R245"/>
      <c r="S245"/>
      <c r="T245"/>
      <c r="U245"/>
      <c r="V245"/>
      <c r="W245"/>
      <c r="X245"/>
      <c r="Y245"/>
    </row>
    <row r="246" spans="1:39" ht="15" customHeight="1" x14ac:dyDescent="0.2">
      <c r="A246" s="868"/>
      <c r="B246" s="688"/>
      <c r="C246" s="874" t="s">
        <v>331</v>
      </c>
      <c r="D246" s="875"/>
      <c r="E246" s="105">
        <f>E245</f>
        <v>42</v>
      </c>
      <c r="F246" s="15">
        <f>F245+E246</f>
        <v>84</v>
      </c>
      <c r="G246" s="15">
        <f>G245+F246</f>
        <v>126</v>
      </c>
      <c r="H246" s="15">
        <f>H245+G246</f>
        <v>170</v>
      </c>
      <c r="I246" s="873"/>
      <c r="L246"/>
      <c r="M246"/>
      <c r="N246"/>
      <c r="O246"/>
      <c r="P246"/>
      <c r="Q246"/>
      <c r="R246"/>
      <c r="S246"/>
      <c r="T246"/>
      <c r="U246"/>
      <c r="V246"/>
      <c r="W246"/>
      <c r="X246"/>
      <c r="Y246"/>
    </row>
    <row r="247" spans="1:39" ht="15" customHeight="1" x14ac:dyDescent="0.2">
      <c r="A247" s="868"/>
      <c r="B247" s="566" t="s">
        <v>68</v>
      </c>
      <c r="C247" s="688" t="s">
        <v>412</v>
      </c>
      <c r="D247" s="871"/>
      <c r="E247" s="72">
        <f>E245*$D242</f>
        <v>714000</v>
      </c>
      <c r="F247" s="66">
        <f>F245*$D242</f>
        <v>714000</v>
      </c>
      <c r="G247" s="66">
        <f>G245*$D242</f>
        <v>714000</v>
      </c>
      <c r="H247" s="86">
        <f>H245*$D242</f>
        <v>748000</v>
      </c>
      <c r="I247" s="74">
        <f>SUM(E247:H247)</f>
        <v>2890000</v>
      </c>
    </row>
    <row r="248" spans="1:39" ht="15" customHeight="1" x14ac:dyDescent="0.2">
      <c r="A248" s="868"/>
      <c r="B248" s="566"/>
      <c r="C248" s="65" t="s">
        <v>413</v>
      </c>
      <c r="D248" s="87">
        <f>1-Parameters!$B$33</f>
        <v>0.19999999999999996</v>
      </c>
      <c r="E248" s="72">
        <f>E247*$D248</f>
        <v>142799.99999999997</v>
      </c>
      <c r="F248" s="66">
        <f>F247*$D248</f>
        <v>142799.99999999997</v>
      </c>
      <c r="G248" s="66">
        <f>G247*$D248</f>
        <v>142799.99999999997</v>
      </c>
      <c r="H248" s="86">
        <f>H247*$D248</f>
        <v>149599.99999999997</v>
      </c>
      <c r="I248" s="106">
        <f>SUM(E248:H248)</f>
        <v>577999.99999999988</v>
      </c>
      <c r="L248" s="60" t="s">
        <v>196</v>
      </c>
      <c r="M248" s="79">
        <f>P239+$D249</f>
        <v>40543</v>
      </c>
      <c r="N248" s="79">
        <f>Q239+$D249</f>
        <v>40633</v>
      </c>
      <c r="O248" s="79">
        <f>R239+$D249</f>
        <v>40724</v>
      </c>
      <c r="P248" s="79">
        <f>S239+$D249</f>
        <v>40816</v>
      </c>
      <c r="X248" s="69" t="s">
        <v>366</v>
      </c>
    </row>
    <row r="249" spans="1:39" ht="15" customHeight="1" x14ac:dyDescent="0.2">
      <c r="A249" s="868"/>
      <c r="B249" s="566"/>
      <c r="C249" s="5" t="s">
        <v>332</v>
      </c>
      <c r="D249" s="73">
        <f>Parameters!$B$36</f>
        <v>0</v>
      </c>
      <c r="E249" s="72">
        <f>SUM(L249:P249)+L278+T220</f>
        <v>142799.99999999997</v>
      </c>
      <c r="F249" s="66">
        <f>Q249+M278+U220</f>
        <v>142799.99999999997</v>
      </c>
      <c r="G249" s="66">
        <f>R249+N278+V220</f>
        <v>142799.99999999997</v>
      </c>
      <c r="H249" s="66">
        <f>S249+O278+W220</f>
        <v>149599.99999999997</v>
      </c>
      <c r="I249" s="74">
        <f>SUM(E249:H249)</f>
        <v>577999.99999999988</v>
      </c>
      <c r="L249" s="68">
        <f>IF($M248&lt;=L238,$E248,IF($N248&lt;=L238,$F248,IF($O248&lt;=L238,$G248,IF($P248&lt;=L238,$H248,))))</f>
        <v>0</v>
      </c>
      <c r="M249" s="68">
        <f t="shared" ref="M249:W249" si="106">IF(AND($M248&gt;L238,$M248&lt;=M238),$E248,IF(AND($N248&gt;L238,$N248&lt;=M238),$F248,IF(AND($O248&gt;L238,$O248&lt;=M238),$G248,IF(AND($P248&gt;L238,$P248&lt;=M238),$H248,))))</f>
        <v>0</v>
      </c>
      <c r="N249" s="68">
        <f t="shared" si="106"/>
        <v>0</v>
      </c>
      <c r="O249" s="68">
        <f t="shared" si="106"/>
        <v>0</v>
      </c>
      <c r="P249" s="68">
        <f t="shared" si="106"/>
        <v>142799.99999999997</v>
      </c>
      <c r="Q249" s="68">
        <f t="shared" si="106"/>
        <v>142799.99999999997</v>
      </c>
      <c r="R249" s="68">
        <f t="shared" si="106"/>
        <v>142799.99999999997</v>
      </c>
      <c r="S249" s="68">
        <f t="shared" si="106"/>
        <v>149599.99999999997</v>
      </c>
      <c r="T249" s="68">
        <f t="shared" si="106"/>
        <v>0</v>
      </c>
      <c r="U249" s="68">
        <f t="shared" si="106"/>
        <v>0</v>
      </c>
      <c r="V249" s="68">
        <f t="shared" si="106"/>
        <v>0</v>
      </c>
      <c r="W249" s="68">
        <f t="shared" si="106"/>
        <v>0</v>
      </c>
      <c r="X249" s="68">
        <f>SUM(L249:W249)</f>
        <v>577999.99999999988</v>
      </c>
    </row>
    <row r="250" spans="1:39" ht="15" customHeight="1" x14ac:dyDescent="0.2">
      <c r="A250" s="868"/>
      <c r="B250" s="566"/>
      <c r="C250" s="65" t="s">
        <v>194</v>
      </c>
      <c r="D250" s="87">
        <f>Parameters!$B$33</f>
        <v>0.8</v>
      </c>
      <c r="E250" s="72">
        <f>E247*$D250</f>
        <v>571200</v>
      </c>
      <c r="F250" s="72">
        <f>F247*$D250</f>
        <v>571200</v>
      </c>
      <c r="G250" s="72">
        <f>G247*$D250</f>
        <v>571200</v>
      </c>
      <c r="H250" s="72">
        <f>H247*$D250</f>
        <v>598400</v>
      </c>
      <c r="I250" s="74">
        <f>SUM(E250:H250)</f>
        <v>2312000</v>
      </c>
      <c r="L250" s="91"/>
      <c r="M250" s="91"/>
      <c r="N250" s="91"/>
      <c r="O250" s="91"/>
      <c r="P250" s="91"/>
      <c r="Q250" s="91"/>
      <c r="R250" s="91"/>
      <c r="S250" s="91"/>
      <c r="T250" s="91"/>
      <c r="U250" s="91"/>
      <c r="V250" s="91"/>
      <c r="W250" s="91"/>
      <c r="X250" s="91"/>
    </row>
    <row r="251" spans="1:39" ht="15" customHeight="1" x14ac:dyDescent="0.2">
      <c r="A251" s="868"/>
      <c r="B251" s="566"/>
      <c r="C251" s="874" t="s">
        <v>331</v>
      </c>
      <c r="D251" s="875"/>
      <c r="E251" s="81">
        <f>E250</f>
        <v>571200</v>
      </c>
      <c r="F251" s="81">
        <f>E251+F250</f>
        <v>1142400</v>
      </c>
      <c r="G251" s="81">
        <f>F251+G250</f>
        <v>1713600</v>
      </c>
      <c r="H251" s="81">
        <f>G251+H250</f>
        <v>2312000</v>
      </c>
      <c r="I251" s="78">
        <f>H251</f>
        <v>2312000</v>
      </c>
      <c r="L251" s="91"/>
      <c r="M251" s="91"/>
      <c r="N251" s="91"/>
      <c r="O251" s="91"/>
      <c r="P251" s="91"/>
      <c r="Q251" s="91"/>
      <c r="R251" s="91"/>
      <c r="S251" s="91"/>
      <c r="T251" s="91"/>
      <c r="U251" s="91"/>
      <c r="V251" s="91"/>
      <c r="W251" s="91"/>
      <c r="X251" s="91"/>
    </row>
    <row r="252" spans="1:39" ht="15" customHeight="1" x14ac:dyDescent="0.2">
      <c r="A252" s="868"/>
      <c r="B252" s="566"/>
      <c r="C252" s="876" t="s">
        <v>390</v>
      </c>
      <c r="D252" s="877"/>
      <c r="E252" s="107">
        <f>L263+P234+T205+X176</f>
        <v>153993.87863965469</v>
      </c>
      <c r="F252" s="107">
        <f>M263+Q234+U205+Y176</f>
        <v>204968.20842579909</v>
      </c>
      <c r="G252" s="107">
        <f>N263+R234+V205+Z176</f>
        <v>255942.53821194349</v>
      </c>
      <c r="H252" s="107">
        <f>O263+S234+W205+AA176</f>
        <v>308130.54251680558</v>
      </c>
      <c r="I252" s="74">
        <f>SUM(E252:H252)</f>
        <v>923035.1677942028</v>
      </c>
      <c r="L252" s="60" t="s">
        <v>196</v>
      </c>
      <c r="M252" s="79">
        <f>P239+$D253</f>
        <v>40573</v>
      </c>
      <c r="N252" s="79">
        <f>Q239+$D253</f>
        <v>40663</v>
      </c>
      <c r="O252" s="79">
        <f>R239+$D253</f>
        <v>40754</v>
      </c>
      <c r="P252" s="79">
        <f>S239+$D253</f>
        <v>40846</v>
      </c>
      <c r="X252" s="69" t="s">
        <v>366</v>
      </c>
    </row>
    <row r="253" spans="1:39" ht="15" customHeight="1" x14ac:dyDescent="0.2">
      <c r="A253" s="868"/>
      <c r="B253" s="566"/>
      <c r="C253" s="75" t="s">
        <v>332</v>
      </c>
      <c r="D253" s="76">
        <f>Parameters!$B$37</f>
        <v>30</v>
      </c>
      <c r="E253" s="112">
        <f>SUM(L253:P253)+L282</f>
        <v>153993.87863965469</v>
      </c>
      <c r="F253" s="71">
        <f>Q253+M282</f>
        <v>204968.20842579909</v>
      </c>
      <c r="G253" s="71">
        <f>R253+N282</f>
        <v>255942.53821194349</v>
      </c>
      <c r="H253" s="71">
        <f>S253+O282</f>
        <v>308130.54251680558</v>
      </c>
      <c r="I253" s="77">
        <f>SUM(E253:H253)</f>
        <v>923035.1677942028</v>
      </c>
      <c r="L253" s="68">
        <f>IF($M252&lt;=L238,$E252,IF($N252&lt;=L238,$F252,IF($O252&lt;=L238,$G252,IF($P252&lt;=L238,$H252,))))</f>
        <v>0</v>
      </c>
      <c r="M253" s="68">
        <f t="shared" ref="M253:W253" si="107">IF(AND($M252&gt;L238,$M252&lt;=M238),$E252,IF(AND($N252&gt;L238,$N252&lt;=M238),$F252,IF(AND($O252&gt;L238,$O252&lt;=M238),$G252,IF(AND($P252&gt;L238,$P252&lt;=M238),$H252,))))</f>
        <v>0</v>
      </c>
      <c r="N253" s="68">
        <f t="shared" si="107"/>
        <v>0</v>
      </c>
      <c r="O253" s="68">
        <f t="shared" si="107"/>
        <v>0</v>
      </c>
      <c r="P253" s="68">
        <f t="shared" si="107"/>
        <v>153993.87863965469</v>
      </c>
      <c r="Q253" s="68">
        <f t="shared" si="107"/>
        <v>204968.20842579909</v>
      </c>
      <c r="R253" s="68">
        <f t="shared" si="107"/>
        <v>255942.53821194349</v>
      </c>
      <c r="S253" s="68">
        <f t="shared" si="107"/>
        <v>308130.54251680558</v>
      </c>
      <c r="T253" s="68">
        <f t="shared" si="107"/>
        <v>0</v>
      </c>
      <c r="U253" s="68">
        <f t="shared" si="107"/>
        <v>0</v>
      </c>
      <c r="V253" s="68">
        <f t="shared" si="107"/>
        <v>0</v>
      </c>
      <c r="W253" s="68">
        <f t="shared" si="107"/>
        <v>0</v>
      </c>
      <c r="X253" s="68">
        <f>SUM(L253:W253)</f>
        <v>923035.1677942028</v>
      </c>
    </row>
    <row r="254" spans="1:39" ht="15" customHeight="1" x14ac:dyDescent="0.2">
      <c r="A254" s="868"/>
      <c r="B254" s="860" t="s">
        <v>410</v>
      </c>
      <c r="C254" s="860"/>
      <c r="D254" s="860"/>
      <c r="E254" s="860"/>
      <c r="F254" s="860"/>
      <c r="G254" s="860"/>
      <c r="H254" s="860"/>
      <c r="I254" s="861"/>
      <c r="L254" s="67">
        <f t="shared" ref="L254:AM254" si="108">P238</f>
        <v>40632</v>
      </c>
      <c r="M254" s="67">
        <f t="shared" si="108"/>
        <v>40723</v>
      </c>
      <c r="N254" s="67">
        <f t="shared" si="108"/>
        <v>40815</v>
      </c>
      <c r="O254" s="67">
        <f t="shared" si="108"/>
        <v>40907</v>
      </c>
      <c r="P254" s="67">
        <f t="shared" si="108"/>
        <v>40998</v>
      </c>
      <c r="Q254" s="67">
        <f t="shared" si="108"/>
        <v>41089</v>
      </c>
      <c r="R254" s="67">
        <f t="shared" si="108"/>
        <v>41181</v>
      </c>
      <c r="S254" s="67">
        <f t="shared" si="108"/>
        <v>41273</v>
      </c>
      <c r="T254" s="67">
        <f t="shared" si="108"/>
        <v>41363</v>
      </c>
      <c r="U254" s="67">
        <f t="shared" si="108"/>
        <v>41454</v>
      </c>
      <c r="V254" s="67">
        <f t="shared" si="108"/>
        <v>41546</v>
      </c>
      <c r="W254" s="67">
        <f t="shared" si="108"/>
        <v>41638</v>
      </c>
      <c r="X254" s="67">
        <f t="shared" si="108"/>
        <v>41728</v>
      </c>
      <c r="Y254" s="67">
        <f t="shared" si="108"/>
        <v>41819</v>
      </c>
      <c r="Z254" s="67">
        <f t="shared" si="108"/>
        <v>41911</v>
      </c>
      <c r="AA254" s="67">
        <f t="shared" si="108"/>
        <v>42003</v>
      </c>
      <c r="AB254" s="67">
        <f t="shared" si="108"/>
        <v>42093</v>
      </c>
      <c r="AC254" s="67">
        <f t="shared" si="108"/>
        <v>42184</v>
      </c>
      <c r="AD254" s="67">
        <f t="shared" si="108"/>
        <v>42276</v>
      </c>
      <c r="AE254" s="67">
        <f t="shared" si="108"/>
        <v>42368</v>
      </c>
      <c r="AF254" s="67">
        <f t="shared" si="108"/>
        <v>42459</v>
      </c>
      <c r="AG254" s="67">
        <f t="shared" si="108"/>
        <v>42550</v>
      </c>
      <c r="AH254" s="67">
        <f t="shared" si="108"/>
        <v>42642</v>
      </c>
      <c r="AI254" s="67">
        <f t="shared" si="108"/>
        <v>42734</v>
      </c>
      <c r="AJ254" s="67">
        <f t="shared" si="108"/>
        <v>0</v>
      </c>
      <c r="AK254" s="67">
        <f t="shared" si="108"/>
        <v>0</v>
      </c>
      <c r="AL254" s="67">
        <f t="shared" si="108"/>
        <v>0</v>
      </c>
      <c r="AM254" s="67">
        <f t="shared" si="108"/>
        <v>0</v>
      </c>
    </row>
    <row r="255" spans="1:39" ht="15" customHeight="1" x14ac:dyDescent="0.2">
      <c r="A255" s="868"/>
      <c r="B255" s="860"/>
      <c r="C255" s="860"/>
      <c r="D255" s="860"/>
      <c r="E255" s="860"/>
      <c r="F255" s="860"/>
      <c r="G255" s="860"/>
      <c r="H255" s="860"/>
      <c r="I255" s="861"/>
      <c r="K255" s="110">
        <f>(-PMT(Parameters!$B$31/12,Parameters!$B$32,$E250))*Parameters!$B$32</f>
        <v>611691.95743373269</v>
      </c>
      <c r="L255" s="108">
        <f>(-PMT(Parameters!$B$31/12,Parameters!$B$32,$E250))*Parameters!$K$32</f>
        <v>25487.164893072197</v>
      </c>
      <c r="M255" s="108">
        <f>MIN(((-PMT(Parameters!$B$31/12,Parameters!$B$32,$E250))*3),L256)</f>
        <v>50974.329786144393</v>
      </c>
      <c r="N255" s="108">
        <f>MIN(((-PMT(Parameters!$B$31/12,Parameters!$B$32,$E250))*3),M256)</f>
        <v>50974.329786144393</v>
      </c>
      <c r="O255" s="108">
        <f>MIN(((-PMT(Parameters!$B$31/12,Parameters!$B$32,$E250))*3),N256)</f>
        <v>50974.329786144393</v>
      </c>
      <c r="P255" s="108">
        <f>MIN(((-PMT(Parameters!$B$31/12,Parameters!$B$32,$E250))*3),O256)</f>
        <v>50974.329786144393</v>
      </c>
      <c r="Q255" s="108">
        <f>MIN(((-PMT(Parameters!$B$31/12,Parameters!$B$32,$E250))*3),P256)</f>
        <v>50974.329786144393</v>
      </c>
      <c r="R255" s="108">
        <f>MIN(((-PMT(Parameters!$B$31/12,Parameters!$B$32,$E250))*3),Q256)</f>
        <v>50974.329786144393</v>
      </c>
      <c r="S255" s="108">
        <f>MIN(((-PMT(Parameters!$B$31/12,Parameters!$B$32,$E250))*3),R256)</f>
        <v>50974.329786144393</v>
      </c>
      <c r="T255" s="108">
        <f>MIN(((-PMT(Parameters!$B$31/12,Parameters!$B$32,$E250))*3),S256)</f>
        <v>50974.329786144393</v>
      </c>
      <c r="U255" s="108">
        <f>MIN(((-PMT(Parameters!$B$31/12,Parameters!$B$32,$E250))*3),T256)</f>
        <v>50974.329786144393</v>
      </c>
      <c r="V255" s="108">
        <f>MIN(((-PMT(Parameters!$B$31/12,Parameters!$B$32,$E250))*3),U256)</f>
        <v>50974.329786144393</v>
      </c>
      <c r="W255" s="108">
        <f>MIN(((-PMT(Parameters!$B$31/12,Parameters!$B$32,$E250))*3),V256)</f>
        <v>50974.329786144393</v>
      </c>
      <c r="X255" s="108">
        <f>MIN(((-PMT(Parameters!$B$31/12,Parameters!$B$32,$E250))*3),W256)</f>
        <v>25487.164893072193</v>
      </c>
      <c r="Y255" s="108">
        <f>MIN(((-PMT(Parameters!$B$31/12,Parameters!$B$32,$E250))*3),X256)</f>
        <v>0</v>
      </c>
      <c r="Z255" s="108">
        <f>MIN(((-PMT(Parameters!$B$31/12,Parameters!$B$32,$E250))*3),Y256)</f>
        <v>0</v>
      </c>
      <c r="AA255" s="108">
        <f>MIN(((-PMT(Parameters!$B$31/12,Parameters!$B$32,$E250))*3),Z256)</f>
        <v>0</v>
      </c>
      <c r="AB255" s="108">
        <f>MIN(((-PMT(Parameters!$B$31/12,Parameters!$B$32,$E250))*3),AA256)</f>
        <v>0</v>
      </c>
      <c r="AC255" s="108">
        <f>MIN(((-PMT(Parameters!$B$31/12,Parameters!$B$32,$E250))*3),AB256)</f>
        <v>0</v>
      </c>
      <c r="AD255" s="108">
        <f>MIN(((-PMT(Parameters!$B$31/12,Parameters!$B$32,$E250))*3),AC256)</f>
        <v>0</v>
      </c>
      <c r="AE255" s="108">
        <f>MIN(((-PMT(Parameters!$B$31/12,Parameters!$B$32,$E250))*3),AD256)</f>
        <v>0</v>
      </c>
      <c r="AF255" s="108">
        <f>MIN(((-PMT(Parameters!$B$31/12,Parameters!$B$32,$E250))*3),AE256)</f>
        <v>0</v>
      </c>
      <c r="AG255" s="108">
        <f>MIN(((-PMT(Parameters!$B$31/12,Parameters!$B$32,$E250))*3),AF256)</f>
        <v>0</v>
      </c>
      <c r="AH255" s="108">
        <f>MIN(((-PMT(Parameters!$B$31/12,Parameters!$B$32,$E250))*3),AG256)</f>
        <v>0</v>
      </c>
      <c r="AI255" s="108">
        <f>MIN(((-PMT(Parameters!$B$31/12,Parameters!$B$32,$E250))*3),AH256)</f>
        <v>0</v>
      </c>
      <c r="AJ255" s="108">
        <f>MIN(((-PMT(Parameters!$B$31/12,Parameters!$B$32,$E250))*3),AI256)</f>
        <v>0</v>
      </c>
      <c r="AK255" s="108">
        <f>MIN(((-PMT(Parameters!$B$31/12,Parameters!$B$32,$E250))*3),AJ256)</f>
        <v>0</v>
      </c>
      <c r="AL255" s="108">
        <f>MIN(((-PMT(Parameters!$B$31/12,Parameters!$B$32,$E250))*3),AK256)</f>
        <v>0</v>
      </c>
      <c r="AM255" s="108">
        <f>MIN(((-PMT(Parameters!$B$31/12,Parameters!$B$32,$E250))*3),AL256)</f>
        <v>0</v>
      </c>
    </row>
    <row r="256" spans="1:39" ht="15" customHeight="1" x14ac:dyDescent="0.2">
      <c r="A256" s="868"/>
      <c r="B256" s="860"/>
      <c r="C256" s="860"/>
      <c r="D256" s="860"/>
      <c r="E256" s="860"/>
      <c r="F256" s="860"/>
      <c r="G256" s="860"/>
      <c r="H256" s="860"/>
      <c r="I256" s="861"/>
      <c r="L256" s="109">
        <f>K255-L255</f>
        <v>586204.79254066048</v>
      </c>
      <c r="M256" s="109">
        <f t="shared" ref="M256:AM256" si="109">L256-M255</f>
        <v>535230.46275451605</v>
      </c>
      <c r="N256" s="109">
        <f t="shared" si="109"/>
        <v>484256.13296837168</v>
      </c>
      <c r="O256" s="109">
        <f t="shared" si="109"/>
        <v>433281.8031822273</v>
      </c>
      <c r="P256" s="109">
        <f t="shared" si="109"/>
        <v>382307.47339608293</v>
      </c>
      <c r="Q256" s="109">
        <f t="shared" si="109"/>
        <v>331333.14360993856</v>
      </c>
      <c r="R256" s="109">
        <f t="shared" si="109"/>
        <v>280358.81382379419</v>
      </c>
      <c r="S256" s="109">
        <f t="shared" si="109"/>
        <v>229384.48403764979</v>
      </c>
      <c r="T256" s="109">
        <f t="shared" si="109"/>
        <v>178410.15425150539</v>
      </c>
      <c r="U256" s="109">
        <f t="shared" si="109"/>
        <v>127435.82446536099</v>
      </c>
      <c r="V256" s="109">
        <f t="shared" si="109"/>
        <v>76461.494679216587</v>
      </c>
      <c r="W256" s="109">
        <f t="shared" si="109"/>
        <v>25487.164893072193</v>
      </c>
      <c r="X256" s="109">
        <f t="shared" si="109"/>
        <v>0</v>
      </c>
      <c r="Y256" s="109">
        <f t="shared" si="109"/>
        <v>0</v>
      </c>
      <c r="Z256" s="109">
        <f t="shared" si="109"/>
        <v>0</v>
      </c>
      <c r="AA256" s="109">
        <f t="shared" si="109"/>
        <v>0</v>
      </c>
      <c r="AB256" s="109">
        <f t="shared" si="109"/>
        <v>0</v>
      </c>
      <c r="AC256" s="109">
        <f t="shared" si="109"/>
        <v>0</v>
      </c>
      <c r="AD256" s="109">
        <f t="shared" si="109"/>
        <v>0</v>
      </c>
      <c r="AE256" s="109">
        <f t="shared" si="109"/>
        <v>0</v>
      </c>
      <c r="AF256" s="109">
        <f t="shared" si="109"/>
        <v>0</v>
      </c>
      <c r="AG256" s="109">
        <f t="shared" si="109"/>
        <v>0</v>
      </c>
      <c r="AH256" s="109">
        <f t="shared" si="109"/>
        <v>0</v>
      </c>
      <c r="AI256" s="109">
        <f t="shared" si="109"/>
        <v>0</v>
      </c>
      <c r="AJ256" s="109">
        <f t="shared" si="109"/>
        <v>0</v>
      </c>
      <c r="AK256" s="109">
        <f t="shared" si="109"/>
        <v>0</v>
      </c>
      <c r="AL256" s="109">
        <f t="shared" si="109"/>
        <v>0</v>
      </c>
      <c r="AM256" s="109">
        <f t="shared" si="109"/>
        <v>0</v>
      </c>
    </row>
    <row r="257" spans="1:39" ht="15" customHeight="1" x14ac:dyDescent="0.2">
      <c r="A257" s="868"/>
      <c r="B257" s="860"/>
      <c r="C257" s="860"/>
      <c r="D257" s="860"/>
      <c r="E257" s="860"/>
      <c r="F257" s="860"/>
      <c r="G257" s="860"/>
      <c r="H257" s="860"/>
      <c r="I257" s="861"/>
      <c r="K257" s="110">
        <f>(-PMT(Parameters!$B$31/12,Parameters!$B$32,$F250))*Parameters!$B$32</f>
        <v>611691.95743373269</v>
      </c>
      <c r="L257" s="111"/>
      <c r="M257" s="108">
        <f>(-PMT(Parameters!$B$31/12,Parameters!$B$32,$F250))*Parameters!$K$32</f>
        <v>25487.164893072197</v>
      </c>
      <c r="N257" s="108">
        <f>MIN(((-PMT(Parameters!$B$31/12,Parameters!$B$32,$F250))*3),M258)</f>
        <v>50974.329786144393</v>
      </c>
      <c r="O257" s="108">
        <f>MIN(((-PMT(Parameters!$B$31/12,Parameters!$B$32,$F250))*3),N258)</f>
        <v>50974.329786144393</v>
      </c>
      <c r="P257" s="108">
        <f>MIN(((-PMT(Parameters!$B$31/12,Parameters!$B$32,$F250))*3),O258)</f>
        <v>50974.329786144393</v>
      </c>
      <c r="Q257" s="108">
        <f>MIN(((-PMT(Parameters!$B$31/12,Parameters!$B$32,$F250))*3),P258)</f>
        <v>50974.329786144393</v>
      </c>
      <c r="R257" s="108">
        <f>MIN(((-PMT(Parameters!$B$31/12,Parameters!$B$32,$F250))*3),Q258)</f>
        <v>50974.329786144393</v>
      </c>
      <c r="S257" s="108">
        <f>MIN(((-PMT(Parameters!$B$31/12,Parameters!$B$32,$F250))*3),R258)</f>
        <v>50974.329786144393</v>
      </c>
      <c r="T257" s="108">
        <f>MIN(((-PMT(Parameters!$B$31/12,Parameters!$B$32,$F250))*3),S258)</f>
        <v>50974.329786144393</v>
      </c>
      <c r="U257" s="108">
        <f>MIN(((-PMT(Parameters!$B$31/12,Parameters!$B$32,$F250))*3),T258)</f>
        <v>50974.329786144393</v>
      </c>
      <c r="V257" s="108">
        <f>MIN(((-PMT(Parameters!$B$31/12,Parameters!$B$32,$F250))*3),U258)</f>
        <v>50974.329786144393</v>
      </c>
      <c r="W257" s="108">
        <f>MIN(((-PMT(Parameters!$B$31/12,Parameters!$B$32,$F250))*3),V258)</f>
        <v>50974.329786144393</v>
      </c>
      <c r="X257" s="108">
        <f>MIN(((-PMT(Parameters!$B$31/12,Parameters!$B$32,$F250))*3),W258)</f>
        <v>50974.329786144393</v>
      </c>
      <c r="Y257" s="108">
        <f>MIN(((-PMT(Parameters!$B$31/12,Parameters!$B$32,$F250))*3),X258)</f>
        <v>25487.164893072193</v>
      </c>
      <c r="Z257" s="108">
        <f>MIN(((-PMT(Parameters!$B$31/12,Parameters!$B$32,$F250))*3),Y258)</f>
        <v>0</v>
      </c>
      <c r="AA257" s="108">
        <f>MIN(((-PMT(Parameters!$B$31/12,Parameters!$B$32,$F250))*3),Z258)</f>
        <v>0</v>
      </c>
      <c r="AB257" s="108">
        <f>MIN(((-PMT(Parameters!$B$31/12,Parameters!$B$32,$F250))*3),AA258)</f>
        <v>0</v>
      </c>
      <c r="AC257" s="108">
        <f>MIN(((-PMT(Parameters!$B$31/12,Parameters!$B$32,$F250))*3),AB258)</f>
        <v>0</v>
      </c>
      <c r="AD257" s="108">
        <f>MIN(((-PMT(Parameters!$B$31/12,Parameters!$B$32,$F250))*3),AC258)</f>
        <v>0</v>
      </c>
      <c r="AE257" s="108">
        <f>MIN(((-PMT(Parameters!$B$31/12,Parameters!$B$32,$F250))*3),AD258)</f>
        <v>0</v>
      </c>
      <c r="AF257" s="108">
        <f>MIN(((-PMT(Parameters!$B$31/12,Parameters!$B$32,$F250))*3),AE258)</f>
        <v>0</v>
      </c>
      <c r="AG257" s="108">
        <f>MIN(((-PMT(Parameters!$B$31/12,Parameters!$B$32,$F250))*3),AF258)</f>
        <v>0</v>
      </c>
      <c r="AH257" s="108">
        <f>MIN(((-PMT(Parameters!$B$31/12,Parameters!$B$32,$F250))*3),AG258)</f>
        <v>0</v>
      </c>
      <c r="AI257" s="108">
        <f>MIN(((-PMT(Parameters!$B$31/12,Parameters!$B$32,$F250))*3),AH258)</f>
        <v>0</v>
      </c>
      <c r="AJ257" s="108">
        <f>MIN(((-PMT(Parameters!$B$31/12,Parameters!$B$32,$F250))*3),AI258)</f>
        <v>0</v>
      </c>
      <c r="AK257" s="108">
        <f>MIN(((-PMT(Parameters!$B$31/12,Parameters!$B$32,$F250))*3),AJ258)</f>
        <v>0</v>
      </c>
      <c r="AL257" s="108">
        <f>MIN(((-PMT(Parameters!$B$31/12,Parameters!$B$32,$F250))*3),AK258)</f>
        <v>0</v>
      </c>
      <c r="AM257" s="108">
        <f>MIN(((-PMT(Parameters!$B$31/12,Parameters!$B$32,$F250))*3),AL258)</f>
        <v>0</v>
      </c>
    </row>
    <row r="258" spans="1:39" ht="15" customHeight="1" x14ac:dyDescent="0.2">
      <c r="A258" s="868"/>
      <c r="B258" s="860"/>
      <c r="C258" s="860"/>
      <c r="D258" s="860"/>
      <c r="E258" s="860"/>
      <c r="F258" s="860"/>
      <c r="G258" s="860"/>
      <c r="H258" s="860"/>
      <c r="I258" s="861"/>
      <c r="L258" s="109">
        <f>K257</f>
        <v>611691.95743373269</v>
      </c>
      <c r="M258" s="109">
        <f t="shared" ref="M258:AM258" si="110">L258-M257</f>
        <v>586204.79254066048</v>
      </c>
      <c r="N258" s="109">
        <f t="shared" si="110"/>
        <v>535230.46275451605</v>
      </c>
      <c r="O258" s="109">
        <f t="shared" si="110"/>
        <v>484256.13296837168</v>
      </c>
      <c r="P258" s="109">
        <f t="shared" si="110"/>
        <v>433281.8031822273</v>
      </c>
      <c r="Q258" s="109">
        <f t="shared" si="110"/>
        <v>382307.47339608293</v>
      </c>
      <c r="R258" s="109">
        <f t="shared" si="110"/>
        <v>331333.14360993856</v>
      </c>
      <c r="S258" s="109">
        <f t="shared" si="110"/>
        <v>280358.81382379419</v>
      </c>
      <c r="T258" s="109">
        <f t="shared" si="110"/>
        <v>229384.48403764979</v>
      </c>
      <c r="U258" s="109">
        <f t="shared" si="110"/>
        <v>178410.15425150539</v>
      </c>
      <c r="V258" s="109">
        <f t="shared" si="110"/>
        <v>127435.82446536099</v>
      </c>
      <c r="W258" s="109">
        <f t="shared" si="110"/>
        <v>76461.494679216587</v>
      </c>
      <c r="X258" s="109">
        <f t="shared" si="110"/>
        <v>25487.164893072193</v>
      </c>
      <c r="Y258" s="109">
        <f t="shared" si="110"/>
        <v>0</v>
      </c>
      <c r="Z258" s="109">
        <f t="shared" si="110"/>
        <v>0</v>
      </c>
      <c r="AA258" s="109">
        <f t="shared" si="110"/>
        <v>0</v>
      </c>
      <c r="AB258" s="109">
        <f t="shared" si="110"/>
        <v>0</v>
      </c>
      <c r="AC258" s="109">
        <f t="shared" si="110"/>
        <v>0</v>
      </c>
      <c r="AD258" s="109">
        <f t="shared" si="110"/>
        <v>0</v>
      </c>
      <c r="AE258" s="109">
        <f t="shared" si="110"/>
        <v>0</v>
      </c>
      <c r="AF258" s="109">
        <f t="shared" si="110"/>
        <v>0</v>
      </c>
      <c r="AG258" s="109">
        <f t="shared" si="110"/>
        <v>0</v>
      </c>
      <c r="AH258" s="109">
        <f t="shared" si="110"/>
        <v>0</v>
      </c>
      <c r="AI258" s="109">
        <f t="shared" si="110"/>
        <v>0</v>
      </c>
      <c r="AJ258" s="109">
        <f t="shared" si="110"/>
        <v>0</v>
      </c>
      <c r="AK258" s="109">
        <f t="shared" si="110"/>
        <v>0</v>
      </c>
      <c r="AL258" s="109">
        <f t="shared" si="110"/>
        <v>0</v>
      </c>
      <c r="AM258" s="109">
        <f t="shared" si="110"/>
        <v>0</v>
      </c>
    </row>
    <row r="259" spans="1:39" ht="15" customHeight="1" x14ac:dyDescent="0.2">
      <c r="A259" s="868"/>
      <c r="B259" s="860"/>
      <c r="C259" s="860"/>
      <c r="D259" s="860"/>
      <c r="E259" s="860"/>
      <c r="F259" s="860"/>
      <c r="G259" s="860"/>
      <c r="H259" s="860"/>
      <c r="I259" s="861"/>
      <c r="K259" s="110">
        <f>(-PMT(Parameters!$B$31/12,Parameters!$B$32,$G250))*Parameters!$B$32</f>
        <v>611691.95743373269</v>
      </c>
      <c r="L259" s="111"/>
      <c r="M259" s="111"/>
      <c r="N259" s="108">
        <f>(-PMT(Parameters!$B$31/12,Parameters!$B$32,$G250))*Parameters!$K$32</f>
        <v>25487.164893072197</v>
      </c>
      <c r="O259" s="108">
        <f>MIN(((-PMT(Parameters!$B$31/12,Parameters!$B$32,$G250))*3),N260)</f>
        <v>50974.329786144393</v>
      </c>
      <c r="P259" s="108">
        <f>MIN(((-PMT(Parameters!$B$31/12,Parameters!$B$32,$G250))*3),O260)</f>
        <v>50974.329786144393</v>
      </c>
      <c r="Q259" s="108">
        <f>MIN(((-PMT(Parameters!$B$31/12,Parameters!$B$32,$G250))*3),P260)</f>
        <v>50974.329786144393</v>
      </c>
      <c r="R259" s="108">
        <f>MIN(((-PMT(Parameters!$B$31/12,Parameters!$B$32,$G250))*3),Q260)</f>
        <v>50974.329786144393</v>
      </c>
      <c r="S259" s="108">
        <f>MIN(((-PMT(Parameters!$B$31/12,Parameters!$B$32,$G250))*3),R260)</f>
        <v>50974.329786144393</v>
      </c>
      <c r="T259" s="108">
        <f>MIN(((-PMT(Parameters!$B$31/12,Parameters!$B$32,$G250))*3),S260)</f>
        <v>50974.329786144393</v>
      </c>
      <c r="U259" s="108">
        <f>MIN(((-PMT(Parameters!$B$31/12,Parameters!$B$32,$G250))*3),T260)</f>
        <v>50974.329786144393</v>
      </c>
      <c r="V259" s="108">
        <f>MIN(((-PMT(Parameters!$B$31/12,Parameters!$B$32,$G250))*3),U260)</f>
        <v>50974.329786144393</v>
      </c>
      <c r="W259" s="108">
        <f>MIN(((-PMT(Parameters!$B$31/12,Parameters!$B$32,$G250))*3),V260)</f>
        <v>50974.329786144393</v>
      </c>
      <c r="X259" s="108">
        <f>MIN(((-PMT(Parameters!$B$31/12,Parameters!$B$32,$G250))*3),W260)</f>
        <v>50974.329786144393</v>
      </c>
      <c r="Y259" s="108">
        <f>MIN(((-PMT(Parameters!$B$31/12,Parameters!$B$32,$G250))*3),X260)</f>
        <v>50974.329786144393</v>
      </c>
      <c r="Z259" s="108">
        <f>MIN(((-PMT(Parameters!$B$31/12,Parameters!$B$32,$G250))*3),Y260)</f>
        <v>25487.164893072193</v>
      </c>
      <c r="AA259" s="108">
        <f>MIN(((-PMT(Parameters!$B$31/12,Parameters!$B$32,$G250))*3),Z260)</f>
        <v>0</v>
      </c>
      <c r="AB259" s="108">
        <f>MIN(((-PMT(Parameters!$B$31/12,Parameters!$B$32,$G250))*3),AA260)</f>
        <v>0</v>
      </c>
      <c r="AC259" s="108">
        <f>MIN(((-PMT(Parameters!$B$31/12,Parameters!$B$32,$G250))*3),AB260)</f>
        <v>0</v>
      </c>
      <c r="AD259" s="108">
        <f>MIN(((-PMT(Parameters!$B$31/12,Parameters!$B$32,$G250))*3),AC260)</f>
        <v>0</v>
      </c>
      <c r="AE259" s="108">
        <f>MIN(((-PMT(Parameters!$B$31/12,Parameters!$B$32,$G250))*3),AD260)</f>
        <v>0</v>
      </c>
      <c r="AF259" s="108">
        <f>MIN(((-PMT(Parameters!$B$31/12,Parameters!$B$32,$G250))*3),AE260)</f>
        <v>0</v>
      </c>
      <c r="AG259" s="108">
        <f>MIN(((-PMT(Parameters!$B$31/12,Parameters!$B$32,$G250))*3),AF260)</f>
        <v>0</v>
      </c>
      <c r="AH259" s="108">
        <f>MIN(((-PMT(Parameters!$B$31/12,Parameters!$B$32,$G250))*3),AG260)</f>
        <v>0</v>
      </c>
      <c r="AI259" s="108">
        <f>MIN(((-PMT(Parameters!$B$31/12,Parameters!$B$32,$G250))*3),AH260)</f>
        <v>0</v>
      </c>
      <c r="AJ259" s="108">
        <f>MIN(((-PMT(Parameters!$B$31/12,Parameters!$B$32,$G250))*3),AI260)</f>
        <v>0</v>
      </c>
      <c r="AK259" s="108">
        <f>MIN(((-PMT(Parameters!$B$31/12,Parameters!$B$32,$G250))*3),AJ260)</f>
        <v>0</v>
      </c>
      <c r="AL259" s="108">
        <f>MIN(((-PMT(Parameters!$B$31/12,Parameters!$B$32,$G250))*3),AK260)</f>
        <v>0</v>
      </c>
      <c r="AM259" s="108">
        <f>MIN(((-PMT(Parameters!$B$31/12,Parameters!$B$32,$G250))*3),AL260)</f>
        <v>0</v>
      </c>
    </row>
    <row r="260" spans="1:39" ht="15" customHeight="1" x14ac:dyDescent="0.2">
      <c r="A260" s="868"/>
      <c r="B260" s="860"/>
      <c r="C260" s="860"/>
      <c r="D260" s="860"/>
      <c r="E260" s="860"/>
      <c r="F260" s="860"/>
      <c r="G260" s="860"/>
      <c r="H260" s="860"/>
      <c r="I260" s="861"/>
      <c r="L260" s="109">
        <f>K259</f>
        <v>611691.95743373269</v>
      </c>
      <c r="M260" s="109">
        <f>L260</f>
        <v>611691.95743373269</v>
      </c>
      <c r="N260" s="109">
        <f t="shared" ref="N260:AM260" si="111">M260-N259</f>
        <v>586204.79254066048</v>
      </c>
      <c r="O260" s="109">
        <f t="shared" si="111"/>
        <v>535230.46275451605</v>
      </c>
      <c r="P260" s="109">
        <f t="shared" si="111"/>
        <v>484256.13296837168</v>
      </c>
      <c r="Q260" s="109">
        <f t="shared" si="111"/>
        <v>433281.8031822273</v>
      </c>
      <c r="R260" s="109">
        <f t="shared" si="111"/>
        <v>382307.47339608293</v>
      </c>
      <c r="S260" s="109">
        <f t="shared" si="111"/>
        <v>331333.14360993856</v>
      </c>
      <c r="T260" s="109">
        <f t="shared" si="111"/>
        <v>280358.81382379419</v>
      </c>
      <c r="U260" s="109">
        <f t="shared" si="111"/>
        <v>229384.48403764979</v>
      </c>
      <c r="V260" s="109">
        <f t="shared" si="111"/>
        <v>178410.15425150539</v>
      </c>
      <c r="W260" s="109">
        <f t="shared" si="111"/>
        <v>127435.82446536099</v>
      </c>
      <c r="X260" s="109">
        <f t="shared" si="111"/>
        <v>76461.494679216587</v>
      </c>
      <c r="Y260" s="109">
        <f t="shared" si="111"/>
        <v>25487.164893072193</v>
      </c>
      <c r="Z260" s="109">
        <f t="shared" si="111"/>
        <v>0</v>
      </c>
      <c r="AA260" s="109">
        <f t="shared" si="111"/>
        <v>0</v>
      </c>
      <c r="AB260" s="109">
        <f t="shared" si="111"/>
        <v>0</v>
      </c>
      <c r="AC260" s="109">
        <f t="shared" si="111"/>
        <v>0</v>
      </c>
      <c r="AD260" s="109">
        <f t="shared" si="111"/>
        <v>0</v>
      </c>
      <c r="AE260" s="109">
        <f t="shared" si="111"/>
        <v>0</v>
      </c>
      <c r="AF260" s="109">
        <f t="shared" si="111"/>
        <v>0</v>
      </c>
      <c r="AG260" s="109">
        <f t="shared" si="111"/>
        <v>0</v>
      </c>
      <c r="AH260" s="109">
        <f t="shared" si="111"/>
        <v>0</v>
      </c>
      <c r="AI260" s="109">
        <f t="shared" si="111"/>
        <v>0</v>
      </c>
      <c r="AJ260" s="109">
        <f t="shared" si="111"/>
        <v>0</v>
      </c>
      <c r="AK260" s="109">
        <f t="shared" si="111"/>
        <v>0</v>
      </c>
      <c r="AL260" s="109">
        <f t="shared" si="111"/>
        <v>0</v>
      </c>
      <c r="AM260" s="109">
        <f t="shared" si="111"/>
        <v>0</v>
      </c>
    </row>
    <row r="261" spans="1:39" ht="15" customHeight="1" x14ac:dyDescent="0.2">
      <c r="A261" s="868"/>
      <c r="B261" s="860"/>
      <c r="C261" s="860"/>
      <c r="D261" s="860"/>
      <c r="E261" s="860"/>
      <c r="F261" s="860"/>
      <c r="G261" s="860"/>
      <c r="H261" s="860"/>
      <c r="I261" s="861"/>
      <c r="K261" s="110">
        <f>(-PMT(Parameters!$B$31/12,Parameters!$B$32,$H250))*Parameters!$B$32</f>
        <v>640820.14588295808</v>
      </c>
      <c r="L261" s="111"/>
      <c r="M261" s="111"/>
      <c r="N261" s="111"/>
      <c r="O261" s="108">
        <f>(-PMT(Parameters!$B$31/12,Parameters!$B$32,$H250))*Parameters!$K$32</f>
        <v>26700.839411789922</v>
      </c>
      <c r="P261" s="108">
        <f>MIN(((-PMT(Parameters!$B$31/12,Parameters!$B$32,$H250))*3),O262)</f>
        <v>53401.678823579845</v>
      </c>
      <c r="Q261" s="108">
        <f>MIN(((-PMT(Parameters!$B$31/12,Parameters!$B$32,$H250))*3),P262)</f>
        <v>53401.678823579845</v>
      </c>
      <c r="R261" s="108">
        <f>MIN(((-PMT(Parameters!$B$31/12,Parameters!$B$32,$H250))*3),Q262)</f>
        <v>53401.678823579845</v>
      </c>
      <c r="S261" s="108">
        <f>MIN(((-PMT(Parameters!$B$31/12,Parameters!$B$32,$H250))*3),R262)</f>
        <v>53401.678823579845</v>
      </c>
      <c r="T261" s="108">
        <f>MIN(((-PMT(Parameters!$B$31/12,Parameters!$B$32,$H250))*3),S262)</f>
        <v>53401.678823579845</v>
      </c>
      <c r="U261" s="108">
        <f>MIN(((-PMT(Parameters!$B$31/12,Parameters!$B$32,$H250))*3),T262)</f>
        <v>53401.678823579845</v>
      </c>
      <c r="V261" s="108">
        <f>MIN(((-PMT(Parameters!$B$31/12,Parameters!$B$32,$H250))*3),U262)</f>
        <v>53401.678823579845</v>
      </c>
      <c r="W261" s="108">
        <f>MIN(((-PMT(Parameters!$B$31/12,Parameters!$B$32,$H250))*3),V262)</f>
        <v>53401.678823579845</v>
      </c>
      <c r="X261" s="108">
        <f>MIN(((-PMT(Parameters!$B$31/12,Parameters!$B$32,$H250))*3),W262)</f>
        <v>53401.678823579845</v>
      </c>
      <c r="Y261" s="108">
        <f>MIN(((-PMT(Parameters!$B$31/12,Parameters!$B$32,$H250))*3),X262)</f>
        <v>53401.678823579845</v>
      </c>
      <c r="Z261" s="108">
        <f>MIN(((-PMT(Parameters!$B$31/12,Parameters!$B$32,$H250))*3),Y262)</f>
        <v>53401.678823579845</v>
      </c>
      <c r="AA261" s="108">
        <f>MIN(((-PMT(Parameters!$B$31/12,Parameters!$B$32,$H250))*3),Z262)</f>
        <v>26700.839411789813</v>
      </c>
      <c r="AB261" s="108">
        <f>MIN(((-PMT(Parameters!$B$31/12,Parameters!$B$32,$H250))*3),AA262)</f>
        <v>0</v>
      </c>
      <c r="AC261" s="108">
        <f>MIN(((-PMT(Parameters!$B$31/12,Parameters!$B$32,$H250))*3),AB262)</f>
        <v>0</v>
      </c>
      <c r="AD261" s="108">
        <f>MIN(((-PMT(Parameters!$B$31/12,Parameters!$B$32,$H250))*3),AC262)</f>
        <v>0</v>
      </c>
      <c r="AE261" s="108">
        <f>MIN(((-PMT(Parameters!$B$31/12,Parameters!$B$32,$H250))*3),AD262)</f>
        <v>0</v>
      </c>
      <c r="AF261" s="108">
        <f>MIN(((-PMT(Parameters!$B$31/12,Parameters!$B$32,$H250))*3),AE262)</f>
        <v>0</v>
      </c>
      <c r="AG261" s="108">
        <f>MIN(((-PMT(Parameters!$B$31/12,Parameters!$B$32,$H250))*3),AF262)</f>
        <v>0</v>
      </c>
      <c r="AH261" s="108">
        <f>MIN(((-PMT(Parameters!$B$31/12,Parameters!$B$32,$H250))*3),AG262)</f>
        <v>0</v>
      </c>
      <c r="AI261" s="108">
        <f>MIN(((-PMT(Parameters!$B$31/12,Parameters!$B$32,$H250))*3),AH262)</f>
        <v>0</v>
      </c>
      <c r="AJ261" s="108">
        <f>MIN(((-PMT(Parameters!$B$31/12,Parameters!$B$32,$H250))*3),AI262)</f>
        <v>0</v>
      </c>
      <c r="AK261" s="108">
        <f>MIN(((-PMT(Parameters!$B$31/12,Parameters!$B$32,$H250))*3),AJ262)</f>
        <v>0</v>
      </c>
      <c r="AL261" s="108">
        <f>MIN(((-PMT(Parameters!$B$31/12,Parameters!$B$32,$H250))*3),AK262)</f>
        <v>0</v>
      </c>
      <c r="AM261" s="108">
        <f>MIN(((-PMT(Parameters!$B$31/12,Parameters!$B$32,$H250))*3),AL262)</f>
        <v>0</v>
      </c>
    </row>
    <row r="262" spans="1:39" ht="15" customHeight="1" x14ac:dyDescent="0.2">
      <c r="A262" s="868"/>
      <c r="B262" s="860"/>
      <c r="C262" s="860"/>
      <c r="D262" s="860"/>
      <c r="E262" s="860"/>
      <c r="F262" s="860"/>
      <c r="G262" s="860"/>
      <c r="H262" s="860"/>
      <c r="I262" s="861"/>
      <c r="L262" s="109">
        <f>K261</f>
        <v>640820.14588295808</v>
      </c>
      <c r="M262" s="109">
        <f>L262</f>
        <v>640820.14588295808</v>
      </c>
      <c r="N262" s="109">
        <f t="shared" ref="N262:AM262" si="112">M262-N261</f>
        <v>640820.14588295808</v>
      </c>
      <c r="O262" s="109">
        <f t="shared" si="112"/>
        <v>614119.30647116818</v>
      </c>
      <c r="P262" s="109">
        <f t="shared" si="112"/>
        <v>560717.62764758838</v>
      </c>
      <c r="Q262" s="109">
        <f t="shared" si="112"/>
        <v>507315.94882400852</v>
      </c>
      <c r="R262" s="109">
        <f t="shared" si="112"/>
        <v>453914.27000042866</v>
      </c>
      <c r="S262" s="109">
        <f t="shared" si="112"/>
        <v>400512.5911768488</v>
      </c>
      <c r="T262" s="109">
        <f t="shared" si="112"/>
        <v>347110.91235326894</v>
      </c>
      <c r="U262" s="109">
        <f t="shared" si="112"/>
        <v>293709.23352968908</v>
      </c>
      <c r="V262" s="109">
        <f t="shared" si="112"/>
        <v>240307.55470610922</v>
      </c>
      <c r="W262" s="109">
        <f t="shared" si="112"/>
        <v>186905.87588252936</v>
      </c>
      <c r="X262" s="109">
        <f t="shared" si="112"/>
        <v>133504.1970589495</v>
      </c>
      <c r="Y262" s="109">
        <f t="shared" si="112"/>
        <v>80102.518235369658</v>
      </c>
      <c r="Z262" s="109">
        <f t="shared" si="112"/>
        <v>26700.839411789813</v>
      </c>
      <c r="AA262" s="109">
        <f t="shared" si="112"/>
        <v>0</v>
      </c>
      <c r="AB262" s="109">
        <f t="shared" si="112"/>
        <v>0</v>
      </c>
      <c r="AC262" s="109">
        <f t="shared" si="112"/>
        <v>0</v>
      </c>
      <c r="AD262" s="109">
        <f t="shared" si="112"/>
        <v>0</v>
      </c>
      <c r="AE262" s="109">
        <f t="shared" si="112"/>
        <v>0</v>
      </c>
      <c r="AF262" s="109">
        <f t="shared" si="112"/>
        <v>0</v>
      </c>
      <c r="AG262" s="109">
        <f t="shared" si="112"/>
        <v>0</v>
      </c>
      <c r="AH262" s="109">
        <f t="shared" si="112"/>
        <v>0</v>
      </c>
      <c r="AI262" s="109">
        <f t="shared" si="112"/>
        <v>0</v>
      </c>
      <c r="AJ262" s="109">
        <f t="shared" si="112"/>
        <v>0</v>
      </c>
      <c r="AK262" s="109">
        <f t="shared" si="112"/>
        <v>0</v>
      </c>
      <c r="AL262" s="109">
        <f t="shared" si="112"/>
        <v>0</v>
      </c>
      <c r="AM262" s="109">
        <f t="shared" si="112"/>
        <v>0</v>
      </c>
    </row>
    <row r="263" spans="1:39" ht="15" customHeight="1" x14ac:dyDescent="0.2">
      <c r="A263" s="868"/>
      <c r="B263" s="860"/>
      <c r="C263" s="860"/>
      <c r="D263" s="860"/>
      <c r="E263" s="860"/>
      <c r="F263" s="860"/>
      <c r="G263" s="860"/>
      <c r="H263" s="860"/>
      <c r="I263" s="861"/>
      <c r="L263" s="109">
        <f>L255+L257+L259+L261</f>
        <v>25487.164893072197</v>
      </c>
      <c r="M263" s="109">
        <f t="shared" ref="M263:AM263" si="113">M255+M257+M259+M261</f>
        <v>76461.494679216587</v>
      </c>
      <c r="N263" s="109">
        <f t="shared" si="113"/>
        <v>127435.82446536099</v>
      </c>
      <c r="O263" s="109">
        <f t="shared" si="113"/>
        <v>179623.8287702231</v>
      </c>
      <c r="P263" s="109">
        <f t="shared" si="113"/>
        <v>206324.66818201303</v>
      </c>
      <c r="Q263" s="109">
        <f t="shared" si="113"/>
        <v>206324.66818201303</v>
      </c>
      <c r="R263" s="109">
        <f t="shared" si="113"/>
        <v>206324.66818201303</v>
      </c>
      <c r="S263" s="109">
        <f t="shared" si="113"/>
        <v>206324.66818201303</v>
      </c>
      <c r="T263" s="109">
        <f t="shared" si="113"/>
        <v>206324.66818201303</v>
      </c>
      <c r="U263" s="109">
        <f t="shared" si="113"/>
        <v>206324.66818201303</v>
      </c>
      <c r="V263" s="109">
        <f t="shared" si="113"/>
        <v>206324.66818201303</v>
      </c>
      <c r="W263" s="109">
        <f t="shared" si="113"/>
        <v>206324.66818201303</v>
      </c>
      <c r="X263" s="109">
        <f t="shared" si="113"/>
        <v>180837.50328894082</v>
      </c>
      <c r="Y263" s="109">
        <f t="shared" si="113"/>
        <v>129863.17350279643</v>
      </c>
      <c r="Z263" s="109">
        <f t="shared" si="113"/>
        <v>78888.843716652045</v>
      </c>
      <c r="AA263" s="109">
        <f t="shared" si="113"/>
        <v>26700.839411789813</v>
      </c>
      <c r="AB263" s="109">
        <f t="shared" si="113"/>
        <v>0</v>
      </c>
      <c r="AC263" s="109">
        <f t="shared" si="113"/>
        <v>0</v>
      </c>
      <c r="AD263" s="109">
        <f t="shared" si="113"/>
        <v>0</v>
      </c>
      <c r="AE263" s="109">
        <f t="shared" si="113"/>
        <v>0</v>
      </c>
      <c r="AF263" s="109">
        <f t="shared" si="113"/>
        <v>0</v>
      </c>
      <c r="AG263" s="109">
        <f t="shared" si="113"/>
        <v>0</v>
      </c>
      <c r="AH263" s="109">
        <f t="shared" si="113"/>
        <v>0</v>
      </c>
      <c r="AI263" s="109">
        <f t="shared" si="113"/>
        <v>0</v>
      </c>
      <c r="AJ263" s="109">
        <f t="shared" si="113"/>
        <v>0</v>
      </c>
      <c r="AK263" s="109">
        <f t="shared" si="113"/>
        <v>0</v>
      </c>
      <c r="AL263" s="109">
        <f t="shared" si="113"/>
        <v>0</v>
      </c>
      <c r="AM263" s="109">
        <f t="shared" si="113"/>
        <v>0</v>
      </c>
    </row>
    <row r="264" spans="1:39" ht="15" customHeight="1" thickBot="1" x14ac:dyDescent="0.25">
      <c r="A264" s="869"/>
      <c r="B264" s="862"/>
      <c r="C264" s="862"/>
      <c r="D264" s="862"/>
      <c r="E264" s="862"/>
      <c r="F264" s="862"/>
      <c r="G264" s="862"/>
      <c r="H264" s="862"/>
      <c r="I264" s="863"/>
      <c r="L264"/>
      <c r="M264"/>
      <c r="N264"/>
      <c r="O264"/>
      <c r="P264"/>
      <c r="Q264"/>
      <c r="R264"/>
      <c r="S264"/>
      <c r="T264"/>
      <c r="U264"/>
      <c r="V264"/>
      <c r="W264"/>
      <c r="X264"/>
      <c r="Y264"/>
      <c r="Z264"/>
      <c r="AA264"/>
      <c r="AB264"/>
      <c r="AC264"/>
      <c r="AD264"/>
      <c r="AE264"/>
      <c r="AF264"/>
      <c r="AG264"/>
      <c r="AH264"/>
      <c r="AI264"/>
      <c r="AJ264"/>
      <c r="AK264"/>
      <c r="AL264"/>
      <c r="AM264"/>
    </row>
    <row r="265" spans="1:39" ht="13.2" thickBot="1" x14ac:dyDescent="0.25"/>
    <row r="266" spans="1:39" ht="16.05" customHeight="1" x14ac:dyDescent="0.2">
      <c r="A266" s="889">
        <v>2016</v>
      </c>
      <c r="B266" s="890"/>
      <c r="C266" s="893" t="s">
        <v>198</v>
      </c>
      <c r="D266" s="894"/>
      <c r="E266" s="864" t="s">
        <v>406</v>
      </c>
      <c r="F266" s="883" t="s">
        <v>407</v>
      </c>
      <c r="G266" s="883" t="s">
        <v>408</v>
      </c>
      <c r="H266" s="885" t="s">
        <v>409</v>
      </c>
      <c r="I266" s="887" t="s">
        <v>498</v>
      </c>
      <c r="L266" s="85">
        <f>AB150</f>
        <v>40543</v>
      </c>
      <c r="M266" s="85">
        <f t="shared" ref="M266:AM266" si="114">L267+1</f>
        <v>40633</v>
      </c>
      <c r="N266" s="85">
        <f t="shared" si="114"/>
        <v>40724</v>
      </c>
      <c r="O266" s="85">
        <f t="shared" si="114"/>
        <v>40816</v>
      </c>
      <c r="P266" s="85">
        <f t="shared" si="114"/>
        <v>40908</v>
      </c>
      <c r="Q266" s="85">
        <f t="shared" si="114"/>
        <v>40999</v>
      </c>
      <c r="R266" s="85">
        <f t="shared" si="114"/>
        <v>41090</v>
      </c>
      <c r="S266" s="85">
        <f t="shared" si="114"/>
        <v>41182</v>
      </c>
      <c r="T266" s="85">
        <f t="shared" si="114"/>
        <v>41274</v>
      </c>
      <c r="U266" s="85">
        <f t="shared" si="114"/>
        <v>41364</v>
      </c>
      <c r="V266" s="85">
        <f t="shared" si="114"/>
        <v>41455</v>
      </c>
      <c r="W266" s="85">
        <f t="shared" si="114"/>
        <v>41547</v>
      </c>
      <c r="X266" s="85">
        <f t="shared" si="114"/>
        <v>41639</v>
      </c>
      <c r="Y266" s="85">
        <f t="shared" si="114"/>
        <v>41729</v>
      </c>
      <c r="Z266" s="85">
        <f t="shared" si="114"/>
        <v>41820</v>
      </c>
      <c r="AA266" s="85">
        <f t="shared" si="114"/>
        <v>41912</v>
      </c>
      <c r="AB266" s="85">
        <f t="shared" si="114"/>
        <v>42004</v>
      </c>
      <c r="AC266" s="85">
        <f t="shared" si="114"/>
        <v>42094</v>
      </c>
      <c r="AD266" s="85">
        <f t="shared" si="114"/>
        <v>42185</v>
      </c>
      <c r="AE266" s="85">
        <f t="shared" si="114"/>
        <v>42277</v>
      </c>
      <c r="AF266" s="85">
        <f t="shared" si="114"/>
        <v>42369</v>
      </c>
      <c r="AG266" s="85">
        <f t="shared" si="114"/>
        <v>42460</v>
      </c>
      <c r="AH266" s="85">
        <f t="shared" si="114"/>
        <v>42551</v>
      </c>
      <c r="AI266" s="85">
        <f t="shared" si="114"/>
        <v>42643</v>
      </c>
      <c r="AJ266" s="85">
        <f t="shared" si="114"/>
        <v>42735</v>
      </c>
      <c r="AK266" s="85">
        <f t="shared" si="114"/>
        <v>42825</v>
      </c>
      <c r="AL266" s="85">
        <f t="shared" si="114"/>
        <v>42916</v>
      </c>
      <c r="AM266" s="85">
        <f t="shared" si="114"/>
        <v>43008</v>
      </c>
    </row>
    <row r="267" spans="1:39" ht="16.05" customHeight="1" thickBot="1" x14ac:dyDescent="0.25">
      <c r="A267" s="891"/>
      <c r="B267" s="892"/>
      <c r="C267" s="895"/>
      <c r="D267" s="896"/>
      <c r="E267" s="865"/>
      <c r="F267" s="884"/>
      <c r="G267" s="884"/>
      <c r="H267" s="886"/>
      <c r="I267" s="888"/>
      <c r="L267" s="85">
        <f>AB151</f>
        <v>40632</v>
      </c>
      <c r="M267" s="85">
        <f t="shared" ref="M267:AM267" si="115">AC151</f>
        <v>40723</v>
      </c>
      <c r="N267" s="85">
        <f t="shared" si="115"/>
        <v>40815</v>
      </c>
      <c r="O267" s="85">
        <f t="shared" si="115"/>
        <v>40907</v>
      </c>
      <c r="P267" s="85">
        <f t="shared" si="115"/>
        <v>40998</v>
      </c>
      <c r="Q267" s="85">
        <f t="shared" si="115"/>
        <v>41089</v>
      </c>
      <c r="R267" s="85">
        <f t="shared" si="115"/>
        <v>41181</v>
      </c>
      <c r="S267" s="85">
        <f t="shared" si="115"/>
        <v>41273</v>
      </c>
      <c r="T267" s="85">
        <f t="shared" si="115"/>
        <v>41363</v>
      </c>
      <c r="U267" s="85">
        <f t="shared" si="115"/>
        <v>41454</v>
      </c>
      <c r="V267" s="85">
        <f t="shared" si="115"/>
        <v>41546</v>
      </c>
      <c r="W267" s="85">
        <f t="shared" si="115"/>
        <v>41638</v>
      </c>
      <c r="X267" s="85">
        <f t="shared" si="115"/>
        <v>41728</v>
      </c>
      <c r="Y267" s="85">
        <f t="shared" si="115"/>
        <v>41819</v>
      </c>
      <c r="Z267" s="85">
        <f t="shared" si="115"/>
        <v>41911</v>
      </c>
      <c r="AA267" s="85">
        <f t="shared" si="115"/>
        <v>42003</v>
      </c>
      <c r="AB267" s="85">
        <f t="shared" si="115"/>
        <v>42093</v>
      </c>
      <c r="AC267" s="85">
        <f t="shared" si="115"/>
        <v>42184</v>
      </c>
      <c r="AD267" s="85">
        <f t="shared" si="115"/>
        <v>42276</v>
      </c>
      <c r="AE267" s="85">
        <f t="shared" si="115"/>
        <v>42368</v>
      </c>
      <c r="AF267" s="85">
        <f t="shared" si="115"/>
        <v>42459</v>
      </c>
      <c r="AG267" s="85">
        <f t="shared" si="115"/>
        <v>42550</v>
      </c>
      <c r="AH267" s="85">
        <f t="shared" si="115"/>
        <v>42642</v>
      </c>
      <c r="AI267" s="85">
        <f t="shared" si="115"/>
        <v>42734</v>
      </c>
      <c r="AJ267" s="85">
        <f t="shared" si="115"/>
        <v>42824</v>
      </c>
      <c r="AK267" s="85">
        <f t="shared" si="115"/>
        <v>42915</v>
      </c>
      <c r="AL267" s="85">
        <f t="shared" si="115"/>
        <v>43007</v>
      </c>
      <c r="AM267" s="85">
        <f t="shared" si="115"/>
        <v>43099</v>
      </c>
    </row>
    <row r="268" spans="1:39" ht="15" customHeight="1" x14ac:dyDescent="0.2">
      <c r="A268" s="878" t="s">
        <v>318</v>
      </c>
      <c r="B268" s="870" t="s">
        <v>347</v>
      </c>
      <c r="C268" s="95" t="s">
        <v>375</v>
      </c>
      <c r="D268" s="94">
        <f>1-Parameters!N$7</f>
        <v>0</v>
      </c>
      <c r="E268" s="96">
        <f>ROUND(Calculations!X4*$D268,0)</f>
        <v>0</v>
      </c>
      <c r="F268" s="96">
        <f>ROUND(Calculations!Y4*$D268,0)</f>
        <v>0</v>
      </c>
      <c r="G268" s="96">
        <f>ROUND(Calculations!Z4*$D268,0)</f>
        <v>0</v>
      </c>
      <c r="H268" s="96">
        <f>ROUND(Calculations!AA4*$D268,0)</f>
        <v>0</v>
      </c>
      <c r="I268" s="103">
        <f>SUM(E268:H268)</f>
        <v>0</v>
      </c>
      <c r="L268" s="88"/>
      <c r="M268" s="88"/>
      <c r="N268" s="88"/>
      <c r="O268" s="88"/>
      <c r="P268" s="85">
        <f>P266</f>
        <v>40908</v>
      </c>
      <c r="Q268" s="85">
        <f>Q266</f>
        <v>40999</v>
      </c>
      <c r="R268" s="85">
        <f>R266</f>
        <v>41090</v>
      </c>
      <c r="S268" s="85">
        <f>S266</f>
        <v>41182</v>
      </c>
      <c r="T268" s="88"/>
      <c r="U268" s="88"/>
      <c r="V268" s="88"/>
      <c r="W268" s="88"/>
      <c r="Y268"/>
    </row>
    <row r="269" spans="1:39" ht="15" customHeight="1" x14ac:dyDescent="0.2">
      <c r="A269" s="880"/>
      <c r="B269" s="688"/>
      <c r="C269" s="688" t="s">
        <v>139</v>
      </c>
      <c r="D269" s="871"/>
      <c r="E269" s="92">
        <f>SUM(E268:E268)</f>
        <v>0</v>
      </c>
      <c r="F269" s="92">
        <f>SUM(F268:F268)</f>
        <v>0</v>
      </c>
      <c r="G269" s="92">
        <f>SUM(G268:G268)</f>
        <v>0</v>
      </c>
      <c r="H269" s="92">
        <f>SUM(H268:H268)</f>
        <v>0</v>
      </c>
      <c r="I269" s="872">
        <f>H270</f>
        <v>0</v>
      </c>
      <c r="L269" s="93">
        <f>IF($M271&lt;=L267,$E269,IF($N271&lt;=L267,$F269,IF($O271&lt;=L267,$G269,IF($P271&lt;=L267,$H269,))))</f>
        <v>0</v>
      </c>
      <c r="M269" s="93">
        <f t="shared" ref="M269:W269" si="116">IF(AND($M271&gt;L267,$M271&lt;=M267),$E269,IF(AND($N271&gt;L267,$N271&lt;=M267),$F269,IF(AND($O271&gt;L267,$O271&lt;=M267),$G269,IF(AND($P271&gt;L267,$P271&lt;=M267),$H269,))))</f>
        <v>0</v>
      </c>
      <c r="N269" s="93">
        <f t="shared" si="116"/>
        <v>0</v>
      </c>
      <c r="O269" s="93">
        <f t="shared" si="116"/>
        <v>0</v>
      </c>
      <c r="P269" s="93">
        <f t="shared" si="116"/>
        <v>0</v>
      </c>
      <c r="Q269" s="93">
        <f t="shared" si="116"/>
        <v>0</v>
      </c>
      <c r="R269" s="93">
        <f t="shared" si="116"/>
        <v>0</v>
      </c>
      <c r="S269" s="93">
        <f t="shared" si="116"/>
        <v>0</v>
      </c>
      <c r="T269" s="93">
        <f t="shared" si="116"/>
        <v>0</v>
      </c>
      <c r="U269" s="93">
        <f t="shared" si="116"/>
        <v>0</v>
      </c>
      <c r="V269" s="93">
        <f t="shared" si="116"/>
        <v>0</v>
      </c>
      <c r="W269" s="93">
        <f t="shared" si="116"/>
        <v>0</v>
      </c>
      <c r="X269" s="93">
        <f>SUM(L269:W269)</f>
        <v>0</v>
      </c>
      <c r="Y269"/>
    </row>
    <row r="270" spans="1:39" ht="15" customHeight="1" x14ac:dyDescent="0.2">
      <c r="A270" s="880"/>
      <c r="B270" s="688"/>
      <c r="C270" s="874" t="s">
        <v>331</v>
      </c>
      <c r="D270" s="875"/>
      <c r="E270" s="105">
        <f>E269</f>
        <v>0</v>
      </c>
      <c r="F270" s="15">
        <f>E270+F269</f>
        <v>0</v>
      </c>
      <c r="G270" s="15">
        <f>F270+G269</f>
        <v>0</v>
      </c>
      <c r="H270" s="15">
        <f>G270+H269</f>
        <v>0</v>
      </c>
      <c r="I270" s="873"/>
    </row>
    <row r="271" spans="1:39" ht="15" customHeight="1" x14ac:dyDescent="0.2">
      <c r="A271" s="880"/>
      <c r="B271" s="688" t="s">
        <v>411</v>
      </c>
      <c r="C271" s="65" t="s">
        <v>405</v>
      </c>
      <c r="D271" s="104">
        <f>Parameters!$F$21</f>
        <v>17000</v>
      </c>
      <c r="E271" s="72">
        <f>E269*$D271</f>
        <v>0</v>
      </c>
      <c r="F271" s="72">
        <f>F269*$D271</f>
        <v>0</v>
      </c>
      <c r="G271" s="72">
        <f>G269*$D271</f>
        <v>0</v>
      </c>
      <c r="H271" s="72">
        <f>H269*$D271</f>
        <v>0</v>
      </c>
      <c r="I271" s="106">
        <f>SUM(E271:H271)</f>
        <v>0</v>
      </c>
      <c r="L271" s="60" t="s">
        <v>196</v>
      </c>
      <c r="M271" s="79">
        <f>P268+$D272</f>
        <v>40908</v>
      </c>
      <c r="N271" s="79">
        <f>Q268+$D272</f>
        <v>40999</v>
      </c>
      <c r="O271" s="79">
        <f>R268+$D272</f>
        <v>41090</v>
      </c>
      <c r="P271" s="79">
        <f>S268+$D272</f>
        <v>41182</v>
      </c>
      <c r="X271" s="69" t="s">
        <v>366</v>
      </c>
    </row>
    <row r="272" spans="1:39" ht="15" customHeight="1" thickBot="1" x14ac:dyDescent="0.25">
      <c r="A272" s="881"/>
      <c r="B272" s="882"/>
      <c r="C272" s="70" t="s">
        <v>332</v>
      </c>
      <c r="D272" s="84">
        <f>Parameters!$B$36</f>
        <v>0</v>
      </c>
      <c r="E272" s="72">
        <f>SUM(L272:P272)+T243</f>
        <v>0</v>
      </c>
      <c r="F272" s="66">
        <f>Q272+U243</f>
        <v>0</v>
      </c>
      <c r="G272" s="66">
        <f>R272+V243</f>
        <v>0</v>
      </c>
      <c r="H272" s="66">
        <f>S272+W243</f>
        <v>0</v>
      </c>
      <c r="I272" s="89">
        <f>SUM(E272:H272)</f>
        <v>0</v>
      </c>
      <c r="L272" s="68">
        <f>IF($M271&lt;=L267,$E271,IF($N271&lt;=L267,$F271,IF($O271&lt;=L267,$G271,IF($P271&lt;=L267,$H271,))))</f>
        <v>0</v>
      </c>
      <c r="M272" s="68">
        <f t="shared" ref="M272:W272" si="117">IF(AND($M271&gt;L267,$M271&lt;=M267),$E271,IF(AND($N271&gt;L267,$N271&lt;=M267),$F271,IF(AND($O271&gt;L267,$O271&lt;=M267),$G271,IF(AND($P271&gt;L267,$P271&lt;=M267),$H271,))))</f>
        <v>0</v>
      </c>
      <c r="N272" s="68">
        <f t="shared" si="117"/>
        <v>0</v>
      </c>
      <c r="O272" s="68">
        <f t="shared" si="117"/>
        <v>0</v>
      </c>
      <c r="P272" s="68">
        <f t="shared" si="117"/>
        <v>0</v>
      </c>
      <c r="Q272" s="68">
        <f t="shared" si="117"/>
        <v>0</v>
      </c>
      <c r="R272" s="68">
        <f t="shared" si="117"/>
        <v>0</v>
      </c>
      <c r="S272" s="68">
        <f t="shared" si="117"/>
        <v>0</v>
      </c>
      <c r="T272" s="68">
        <f t="shared" si="117"/>
        <v>0</v>
      </c>
      <c r="U272" s="68">
        <f t="shared" si="117"/>
        <v>0</v>
      </c>
      <c r="V272" s="68">
        <f t="shared" si="117"/>
        <v>0</v>
      </c>
      <c r="W272" s="68">
        <f t="shared" si="117"/>
        <v>0</v>
      </c>
      <c r="X272" s="68">
        <f>SUM(L272:W272)</f>
        <v>0</v>
      </c>
    </row>
    <row r="273" spans="1:39" ht="15" customHeight="1" x14ac:dyDescent="0.2">
      <c r="A273" s="866" t="s">
        <v>206</v>
      </c>
      <c r="B273" s="870" t="s">
        <v>317</v>
      </c>
      <c r="C273" s="95" t="str">
        <f>C268</f>
        <v>N. Amer</v>
      </c>
      <c r="D273" s="94">
        <f>1-D268</f>
        <v>1</v>
      </c>
      <c r="E273" s="96">
        <f>Calculations!X4-E268</f>
        <v>70</v>
      </c>
      <c r="F273" s="97">
        <f>Calculations!Y4-F268</f>
        <v>70</v>
      </c>
      <c r="G273" s="97">
        <f>Calculations!Z4-G268</f>
        <v>70</v>
      </c>
      <c r="H273" s="96">
        <f>Calculations!AA4-H268</f>
        <v>70</v>
      </c>
      <c r="I273" s="103">
        <f>SUM(E273:H273)</f>
        <v>280</v>
      </c>
    </row>
    <row r="274" spans="1:39" ht="15" customHeight="1" x14ac:dyDescent="0.2">
      <c r="A274" s="868"/>
      <c r="B274" s="688"/>
      <c r="C274" s="688" t="s">
        <v>139</v>
      </c>
      <c r="D274" s="871"/>
      <c r="E274" s="92">
        <f>SUM(E273:E273)</f>
        <v>70</v>
      </c>
      <c r="F274" s="10">
        <f>SUM(F273:F273)</f>
        <v>70</v>
      </c>
      <c r="G274" s="10">
        <f>SUM(G273:G273)</f>
        <v>70</v>
      </c>
      <c r="H274" s="101">
        <f>SUM(H273:H273)</f>
        <v>70</v>
      </c>
      <c r="I274" s="872">
        <f>H275</f>
        <v>280</v>
      </c>
      <c r="L274"/>
      <c r="M274"/>
      <c r="N274"/>
      <c r="O274"/>
      <c r="P274"/>
      <c r="Q274"/>
      <c r="R274"/>
      <c r="S274"/>
      <c r="T274"/>
      <c r="U274"/>
      <c r="V274"/>
      <c r="W274"/>
      <c r="X274"/>
      <c r="Y274"/>
    </row>
    <row r="275" spans="1:39" ht="15" customHeight="1" x14ac:dyDescent="0.2">
      <c r="A275" s="868"/>
      <c r="B275" s="688"/>
      <c r="C275" s="874" t="s">
        <v>331</v>
      </c>
      <c r="D275" s="875"/>
      <c r="E275" s="105">
        <f>E274</f>
        <v>70</v>
      </c>
      <c r="F275" s="15">
        <f>F274+E275</f>
        <v>140</v>
      </c>
      <c r="G275" s="15">
        <f>G274+F275</f>
        <v>210</v>
      </c>
      <c r="H275" s="15">
        <f>H274+G275</f>
        <v>280</v>
      </c>
      <c r="I275" s="873"/>
      <c r="L275"/>
      <c r="M275"/>
      <c r="N275"/>
      <c r="O275"/>
      <c r="P275"/>
      <c r="Q275"/>
      <c r="R275"/>
      <c r="S275"/>
      <c r="T275"/>
      <c r="U275"/>
      <c r="V275"/>
      <c r="W275"/>
      <c r="X275"/>
      <c r="Y275"/>
    </row>
    <row r="276" spans="1:39" ht="15" customHeight="1" x14ac:dyDescent="0.2">
      <c r="A276" s="868"/>
      <c r="B276" s="566" t="s">
        <v>68</v>
      </c>
      <c r="C276" s="688" t="s">
        <v>412</v>
      </c>
      <c r="D276" s="871"/>
      <c r="E276" s="72">
        <f>E274*$D271</f>
        <v>1190000</v>
      </c>
      <c r="F276" s="66">
        <f>F274*$D271</f>
        <v>1190000</v>
      </c>
      <c r="G276" s="66">
        <f>G274*$D271</f>
        <v>1190000</v>
      </c>
      <c r="H276" s="86">
        <f>H274*$D271</f>
        <v>1190000</v>
      </c>
      <c r="I276" s="74">
        <f>SUM(E276:H276)</f>
        <v>4760000</v>
      </c>
    </row>
    <row r="277" spans="1:39" ht="15" customHeight="1" x14ac:dyDescent="0.2">
      <c r="A277" s="868"/>
      <c r="B277" s="566"/>
      <c r="C277" s="65" t="s">
        <v>413</v>
      </c>
      <c r="D277" s="87">
        <f>1-Parameters!$B$33</f>
        <v>0.19999999999999996</v>
      </c>
      <c r="E277" s="72">
        <f>E276*$D277</f>
        <v>237999.99999999994</v>
      </c>
      <c r="F277" s="66">
        <f>F276*$D277</f>
        <v>237999.99999999994</v>
      </c>
      <c r="G277" s="66">
        <f>G276*$D277</f>
        <v>237999.99999999994</v>
      </c>
      <c r="H277" s="86">
        <f>H276*$D277</f>
        <v>237999.99999999994</v>
      </c>
      <c r="I277" s="106">
        <f>SUM(E277:H277)</f>
        <v>951999.99999999977</v>
      </c>
      <c r="L277" s="60" t="s">
        <v>196</v>
      </c>
      <c r="M277" s="79">
        <f>P268+$D278</f>
        <v>40908</v>
      </c>
      <c r="N277" s="79">
        <f>Q268+$D278</f>
        <v>40999</v>
      </c>
      <c r="O277" s="79">
        <f>R268+$D278</f>
        <v>41090</v>
      </c>
      <c r="P277" s="79">
        <f>S268+$D278</f>
        <v>41182</v>
      </c>
      <c r="X277" s="69" t="s">
        <v>366</v>
      </c>
    </row>
    <row r="278" spans="1:39" ht="15" customHeight="1" x14ac:dyDescent="0.2">
      <c r="A278" s="868"/>
      <c r="B278" s="566"/>
      <c r="C278" s="5" t="s">
        <v>332</v>
      </c>
      <c r="D278" s="73">
        <f>Parameters!$B$36</f>
        <v>0</v>
      </c>
      <c r="E278" s="72">
        <f>SUM(L278:P278)+T249</f>
        <v>237999.99999999994</v>
      </c>
      <c r="F278" s="66">
        <f>Q278+U249</f>
        <v>237999.99999999994</v>
      </c>
      <c r="G278" s="66">
        <f>R278+V249</f>
        <v>237999.99999999994</v>
      </c>
      <c r="H278" s="66">
        <f>S278+W249</f>
        <v>237999.99999999994</v>
      </c>
      <c r="I278" s="74">
        <f>SUM(E278:H278)</f>
        <v>951999.99999999977</v>
      </c>
      <c r="L278" s="68">
        <f>IF($M277&lt;=L267,$E277,IF($N277&lt;=L267,$F277,IF($O277&lt;=L267,$G277,IF($P277&lt;=L267,$H277,))))</f>
        <v>0</v>
      </c>
      <c r="M278" s="68">
        <f t="shared" ref="M278:W278" si="118">IF(AND($M277&gt;L267,$M277&lt;=M267),$E277,IF(AND($N277&gt;L267,$N277&lt;=M267),$F277,IF(AND($O277&gt;L267,$O277&lt;=M267),$G277,IF(AND($P277&gt;L267,$P277&lt;=M267),$H277,))))</f>
        <v>0</v>
      </c>
      <c r="N278" s="68">
        <f t="shared" si="118"/>
        <v>0</v>
      </c>
      <c r="O278" s="68">
        <f t="shared" si="118"/>
        <v>0</v>
      </c>
      <c r="P278" s="68">
        <f t="shared" si="118"/>
        <v>237999.99999999994</v>
      </c>
      <c r="Q278" s="68">
        <f t="shared" si="118"/>
        <v>237999.99999999994</v>
      </c>
      <c r="R278" s="68">
        <f t="shared" si="118"/>
        <v>237999.99999999994</v>
      </c>
      <c r="S278" s="68">
        <f t="shared" si="118"/>
        <v>237999.99999999994</v>
      </c>
      <c r="T278" s="68">
        <f t="shared" si="118"/>
        <v>0</v>
      </c>
      <c r="U278" s="68">
        <f t="shared" si="118"/>
        <v>0</v>
      </c>
      <c r="V278" s="68">
        <f t="shared" si="118"/>
        <v>0</v>
      </c>
      <c r="W278" s="68">
        <f t="shared" si="118"/>
        <v>0</v>
      </c>
      <c r="X278" s="68">
        <f>SUM(L278:W278)</f>
        <v>951999.99999999977</v>
      </c>
    </row>
    <row r="279" spans="1:39" ht="15" customHeight="1" x14ac:dyDescent="0.2">
      <c r="A279" s="868"/>
      <c r="B279" s="566"/>
      <c r="C279" s="65" t="s">
        <v>194</v>
      </c>
      <c r="D279" s="87">
        <f>Parameters!$B$33</f>
        <v>0.8</v>
      </c>
      <c r="E279" s="72">
        <f>E276*$D279</f>
        <v>952000</v>
      </c>
      <c r="F279" s="72">
        <f>F276*$D279</f>
        <v>952000</v>
      </c>
      <c r="G279" s="72">
        <f>G276*$D279</f>
        <v>952000</v>
      </c>
      <c r="H279" s="72">
        <f>H276*$D279</f>
        <v>952000</v>
      </c>
      <c r="I279" s="74">
        <f>SUM(E279:H279)</f>
        <v>3808000</v>
      </c>
      <c r="L279" s="91"/>
      <c r="M279" s="91"/>
      <c r="N279" s="91"/>
      <c r="O279" s="91"/>
      <c r="P279" s="91"/>
      <c r="Q279" s="91"/>
      <c r="R279" s="91"/>
      <c r="S279" s="91"/>
      <c r="T279" s="91"/>
      <c r="U279" s="91"/>
      <c r="V279" s="91"/>
      <c r="W279" s="91"/>
      <c r="X279" s="91"/>
    </row>
    <row r="280" spans="1:39" ht="15" customHeight="1" x14ac:dyDescent="0.2">
      <c r="A280" s="868"/>
      <c r="B280" s="566"/>
      <c r="C280" s="874" t="s">
        <v>331</v>
      </c>
      <c r="D280" s="875"/>
      <c r="E280" s="81">
        <f>E279</f>
        <v>952000</v>
      </c>
      <c r="F280" s="81">
        <f>E280+F279</f>
        <v>1904000</v>
      </c>
      <c r="G280" s="81">
        <f>F280+G279</f>
        <v>2856000</v>
      </c>
      <c r="H280" s="81">
        <f>G280+H279</f>
        <v>3808000</v>
      </c>
      <c r="I280" s="78">
        <f>H280</f>
        <v>3808000</v>
      </c>
      <c r="L280" s="91"/>
      <c r="M280" s="91"/>
      <c r="N280" s="91"/>
      <c r="O280" s="91"/>
      <c r="P280" s="91"/>
      <c r="Q280" s="91"/>
      <c r="R280" s="91"/>
      <c r="S280" s="91"/>
      <c r="T280" s="91"/>
      <c r="U280" s="91"/>
      <c r="V280" s="91"/>
      <c r="W280" s="91"/>
      <c r="X280" s="91"/>
    </row>
    <row r="281" spans="1:39" ht="15" customHeight="1" x14ac:dyDescent="0.2">
      <c r="A281" s="868"/>
      <c r="B281" s="566"/>
      <c r="C281" s="876" t="s">
        <v>390</v>
      </c>
      <c r="D281" s="877"/>
      <c r="E281" s="107">
        <f>L292+P263+T234+X205+AB176</f>
        <v>377309.99008371588</v>
      </c>
      <c r="F281" s="107">
        <f>M292+Q263+U234+Y205+AC176</f>
        <v>462267.20639395656</v>
      </c>
      <c r="G281" s="107">
        <f>N292+R263+V234+Z205+AD176</f>
        <v>547224.42270419723</v>
      </c>
      <c r="H281" s="107">
        <f>O292+S263+W234+AA205+AE176</f>
        <v>632181.63901443779</v>
      </c>
      <c r="I281" s="74">
        <f>SUM(E281:H281)</f>
        <v>2018983.2581963073</v>
      </c>
      <c r="L281" s="60" t="s">
        <v>196</v>
      </c>
      <c r="M281" s="79">
        <f>P268+$D282</f>
        <v>40938</v>
      </c>
      <c r="N281" s="79">
        <f>Q268+$D282</f>
        <v>41029</v>
      </c>
      <c r="O281" s="79">
        <f>R268+$D282</f>
        <v>41120</v>
      </c>
      <c r="P281" s="79">
        <f>S268+$D282</f>
        <v>41212</v>
      </c>
      <c r="X281" s="69" t="s">
        <v>366</v>
      </c>
    </row>
    <row r="282" spans="1:39" ht="15" customHeight="1" x14ac:dyDescent="0.2">
      <c r="A282" s="868"/>
      <c r="B282" s="566"/>
      <c r="C282" s="75" t="s">
        <v>332</v>
      </c>
      <c r="D282" s="76">
        <f>Parameters!$B$37</f>
        <v>30</v>
      </c>
      <c r="E282" s="112">
        <f>SUM(L282:P282)</f>
        <v>377309.99008371588</v>
      </c>
      <c r="F282" s="71">
        <f>Q282</f>
        <v>462267.20639395656</v>
      </c>
      <c r="G282" s="71">
        <f>R282</f>
        <v>547224.42270419723</v>
      </c>
      <c r="H282" s="71">
        <f>S282</f>
        <v>632181.63901443779</v>
      </c>
      <c r="I282" s="77">
        <f>SUM(E282:H282)</f>
        <v>2018983.2581963073</v>
      </c>
      <c r="L282" s="68">
        <f>IF($M281&lt;=L267,$E281,IF($N281&lt;=L267,$F281,IF($O281&lt;=L267,$G281,IF($P281&lt;=L267,$H281,))))</f>
        <v>0</v>
      </c>
      <c r="M282" s="68">
        <f t="shared" ref="M282:W282" si="119">IF(AND($M281&gt;L267,$M281&lt;=M267),$E281,IF(AND($N281&gt;L267,$N281&lt;=M267),$F281,IF(AND($O281&gt;L267,$O281&lt;=M267),$G281,IF(AND($P281&gt;L267,$P281&lt;=M267),$H281,))))</f>
        <v>0</v>
      </c>
      <c r="N282" s="68">
        <f t="shared" si="119"/>
        <v>0</v>
      </c>
      <c r="O282" s="68">
        <f t="shared" si="119"/>
        <v>0</v>
      </c>
      <c r="P282" s="68">
        <f t="shared" si="119"/>
        <v>377309.99008371588</v>
      </c>
      <c r="Q282" s="68">
        <f t="shared" si="119"/>
        <v>462267.20639395656</v>
      </c>
      <c r="R282" s="68">
        <f t="shared" si="119"/>
        <v>547224.42270419723</v>
      </c>
      <c r="S282" s="68">
        <f t="shared" si="119"/>
        <v>632181.63901443779</v>
      </c>
      <c r="T282" s="68">
        <f t="shared" si="119"/>
        <v>0</v>
      </c>
      <c r="U282" s="68">
        <f t="shared" si="119"/>
        <v>0</v>
      </c>
      <c r="V282" s="68">
        <f t="shared" si="119"/>
        <v>0</v>
      </c>
      <c r="W282" s="68">
        <f t="shared" si="119"/>
        <v>0</v>
      </c>
      <c r="X282" s="68">
        <f>SUM(L282:W282)</f>
        <v>2018983.2581963073</v>
      </c>
    </row>
    <row r="283" spans="1:39" ht="15" customHeight="1" x14ac:dyDescent="0.2">
      <c r="A283" s="868"/>
      <c r="B283" s="860" t="s">
        <v>410</v>
      </c>
      <c r="C283" s="860"/>
      <c r="D283" s="860"/>
      <c r="E283" s="860"/>
      <c r="F283" s="860"/>
      <c r="G283" s="860"/>
      <c r="H283" s="860"/>
      <c r="I283" s="861"/>
      <c r="L283" s="67">
        <f t="shared" ref="L283:AM283" si="120">P267</f>
        <v>40998</v>
      </c>
      <c r="M283" s="67">
        <f t="shared" si="120"/>
        <v>41089</v>
      </c>
      <c r="N283" s="67">
        <f t="shared" si="120"/>
        <v>41181</v>
      </c>
      <c r="O283" s="67">
        <f t="shared" si="120"/>
        <v>41273</v>
      </c>
      <c r="P283" s="67">
        <f t="shared" si="120"/>
        <v>41363</v>
      </c>
      <c r="Q283" s="67">
        <f t="shared" si="120"/>
        <v>41454</v>
      </c>
      <c r="R283" s="67">
        <f t="shared" si="120"/>
        <v>41546</v>
      </c>
      <c r="S283" s="67">
        <f t="shared" si="120"/>
        <v>41638</v>
      </c>
      <c r="T283" s="67">
        <f t="shared" si="120"/>
        <v>41728</v>
      </c>
      <c r="U283" s="67">
        <f t="shared" si="120"/>
        <v>41819</v>
      </c>
      <c r="V283" s="67">
        <f t="shared" si="120"/>
        <v>41911</v>
      </c>
      <c r="W283" s="67">
        <f t="shared" si="120"/>
        <v>42003</v>
      </c>
      <c r="X283" s="67">
        <f t="shared" si="120"/>
        <v>42093</v>
      </c>
      <c r="Y283" s="67">
        <f t="shared" si="120"/>
        <v>42184</v>
      </c>
      <c r="Z283" s="67">
        <f t="shared" si="120"/>
        <v>42276</v>
      </c>
      <c r="AA283" s="67">
        <f t="shared" si="120"/>
        <v>42368</v>
      </c>
      <c r="AB283" s="67">
        <f t="shared" si="120"/>
        <v>42459</v>
      </c>
      <c r="AC283" s="67">
        <f t="shared" si="120"/>
        <v>42550</v>
      </c>
      <c r="AD283" s="67">
        <f t="shared" si="120"/>
        <v>42642</v>
      </c>
      <c r="AE283" s="67">
        <f t="shared" si="120"/>
        <v>42734</v>
      </c>
      <c r="AF283" s="67">
        <f t="shared" si="120"/>
        <v>42824</v>
      </c>
      <c r="AG283" s="67">
        <f t="shared" si="120"/>
        <v>42915</v>
      </c>
      <c r="AH283" s="67">
        <f t="shared" si="120"/>
        <v>43007</v>
      </c>
      <c r="AI283" s="67">
        <f t="shared" si="120"/>
        <v>43099</v>
      </c>
      <c r="AJ283" s="67">
        <f t="shared" si="120"/>
        <v>0</v>
      </c>
      <c r="AK283" s="67">
        <f t="shared" si="120"/>
        <v>0</v>
      </c>
      <c r="AL283" s="67">
        <f t="shared" si="120"/>
        <v>0</v>
      </c>
      <c r="AM283" s="67">
        <f t="shared" si="120"/>
        <v>0</v>
      </c>
    </row>
    <row r="284" spans="1:39" ht="15" customHeight="1" x14ac:dyDescent="0.2">
      <c r="A284" s="868"/>
      <c r="B284" s="860"/>
      <c r="C284" s="860"/>
      <c r="D284" s="860"/>
      <c r="E284" s="860"/>
      <c r="F284" s="860"/>
      <c r="G284" s="860"/>
      <c r="H284" s="860"/>
      <c r="I284" s="861"/>
      <c r="K284" s="110">
        <f>(-PMT(Parameters!$B$31/12,Parameters!$B$32,$E279))*Parameters!$B$32</f>
        <v>1019486.5957228879</v>
      </c>
      <c r="L284" s="108">
        <f>(-PMT(Parameters!$B$31/12,Parameters!$B$32,$E279))*Parameters!$K$32</f>
        <v>42478.608155120332</v>
      </c>
      <c r="M284" s="108">
        <f>MIN(((-PMT(Parameters!$B$31/12,Parameters!$B$32,$E279))*3),L285)</f>
        <v>84957.216310240663</v>
      </c>
      <c r="N284" s="108">
        <f>MIN(((-PMT(Parameters!$B$31/12,Parameters!$B$32,$E279))*3),M285)</f>
        <v>84957.216310240663</v>
      </c>
      <c r="O284" s="108">
        <f>MIN(((-PMT(Parameters!$B$31/12,Parameters!$B$32,$E279))*3),N285)</f>
        <v>84957.216310240663</v>
      </c>
      <c r="P284" s="108">
        <f>MIN(((-PMT(Parameters!$B$31/12,Parameters!$B$32,$E279))*3),O285)</f>
        <v>84957.216310240663</v>
      </c>
      <c r="Q284" s="108">
        <f>MIN(((-PMT(Parameters!$B$31/12,Parameters!$B$32,$E279))*3),P285)</f>
        <v>84957.216310240663</v>
      </c>
      <c r="R284" s="108">
        <f>MIN(((-PMT(Parameters!$B$31/12,Parameters!$B$32,$E279))*3),Q285)</f>
        <v>84957.216310240663</v>
      </c>
      <c r="S284" s="108">
        <f>MIN(((-PMT(Parameters!$B$31/12,Parameters!$B$32,$E279))*3),R285)</f>
        <v>84957.216310240663</v>
      </c>
      <c r="T284" s="108">
        <f>MIN(((-PMT(Parameters!$B$31/12,Parameters!$B$32,$E279))*3),S285)</f>
        <v>84957.216310240663</v>
      </c>
      <c r="U284" s="108">
        <f>MIN(((-PMT(Parameters!$B$31/12,Parameters!$B$32,$E279))*3),T285)</f>
        <v>84957.216310240663</v>
      </c>
      <c r="V284" s="108">
        <f>MIN(((-PMT(Parameters!$B$31/12,Parameters!$B$32,$E279))*3),U285)</f>
        <v>84957.216310240663</v>
      </c>
      <c r="W284" s="108">
        <f>MIN(((-PMT(Parameters!$B$31/12,Parameters!$B$32,$E279))*3),V285)</f>
        <v>84957.216310240663</v>
      </c>
      <c r="X284" s="108">
        <f>MIN(((-PMT(Parameters!$B$31/12,Parameters!$B$32,$E279))*3),W285)</f>
        <v>42478.608155120193</v>
      </c>
      <c r="Y284" s="108">
        <f>MIN(((-PMT(Parameters!$B$31/12,Parameters!$B$32,$E279))*3),X285)</f>
        <v>0</v>
      </c>
      <c r="Z284" s="108">
        <f>MIN(((-PMT(Parameters!$B$31/12,Parameters!$B$32,$E279))*3),Y285)</f>
        <v>0</v>
      </c>
      <c r="AA284" s="108">
        <f>MIN(((-PMT(Parameters!$B$31/12,Parameters!$B$32,$E279))*3),Z285)</f>
        <v>0</v>
      </c>
      <c r="AB284" s="108">
        <f>MIN(((-PMT(Parameters!$B$31/12,Parameters!$B$32,$E279))*3),AA285)</f>
        <v>0</v>
      </c>
      <c r="AC284" s="108">
        <f>MIN(((-PMT(Parameters!$B$31/12,Parameters!$B$32,$E279))*3),AB285)</f>
        <v>0</v>
      </c>
      <c r="AD284" s="108">
        <f>MIN(((-PMT(Parameters!$B$31/12,Parameters!$B$32,$E279))*3),AC285)</f>
        <v>0</v>
      </c>
      <c r="AE284" s="108">
        <f>MIN(((-PMT(Parameters!$B$31/12,Parameters!$B$32,$E279))*3),AD285)</f>
        <v>0</v>
      </c>
      <c r="AF284" s="108">
        <f>MIN(((-PMT(Parameters!$B$31/12,Parameters!$B$32,$E279))*3),AE285)</f>
        <v>0</v>
      </c>
      <c r="AG284" s="108">
        <f>MIN(((-PMT(Parameters!$B$31/12,Parameters!$B$32,$E279))*3),AF285)</f>
        <v>0</v>
      </c>
      <c r="AH284" s="108">
        <f>MIN(((-PMT(Parameters!$B$31/12,Parameters!$B$32,$E279))*3),AG285)</f>
        <v>0</v>
      </c>
      <c r="AI284" s="108">
        <f>MIN(((-PMT(Parameters!$B$31/12,Parameters!$B$32,$E279))*3),AH285)</f>
        <v>0</v>
      </c>
      <c r="AJ284" s="108">
        <f>MIN(((-PMT(Parameters!$B$31/12,Parameters!$B$32,$E279))*3),AI285)</f>
        <v>0</v>
      </c>
      <c r="AK284" s="108">
        <f>MIN(((-PMT(Parameters!$B$31/12,Parameters!$B$32,$E279))*3),AJ285)</f>
        <v>0</v>
      </c>
      <c r="AL284" s="108">
        <f>MIN(((-PMT(Parameters!$B$31/12,Parameters!$B$32,$E279))*3),AK285)</f>
        <v>0</v>
      </c>
      <c r="AM284" s="108">
        <f>MIN(((-PMT(Parameters!$B$31/12,Parameters!$B$32,$E279))*3),AL285)</f>
        <v>0</v>
      </c>
    </row>
    <row r="285" spans="1:39" ht="15" customHeight="1" x14ac:dyDescent="0.2">
      <c r="A285" s="868"/>
      <c r="B285" s="860"/>
      <c r="C285" s="860"/>
      <c r="D285" s="860"/>
      <c r="E285" s="860"/>
      <c r="F285" s="860"/>
      <c r="G285" s="860"/>
      <c r="H285" s="860"/>
      <c r="I285" s="861"/>
      <c r="L285" s="109">
        <f>K284-L284</f>
        <v>977007.98756776762</v>
      </c>
      <c r="M285" s="109">
        <f t="shared" ref="M285:AM285" si="121">L285-M284</f>
        <v>892050.77125752694</v>
      </c>
      <c r="N285" s="109">
        <f t="shared" si="121"/>
        <v>807093.55494728626</v>
      </c>
      <c r="O285" s="109">
        <f t="shared" si="121"/>
        <v>722136.33863704558</v>
      </c>
      <c r="P285" s="109">
        <f t="shared" si="121"/>
        <v>637179.12232680491</v>
      </c>
      <c r="Q285" s="109">
        <f t="shared" si="121"/>
        <v>552221.90601656423</v>
      </c>
      <c r="R285" s="109">
        <f t="shared" si="121"/>
        <v>467264.68970632355</v>
      </c>
      <c r="S285" s="109">
        <f t="shared" si="121"/>
        <v>382307.47339608287</v>
      </c>
      <c r="T285" s="109">
        <f t="shared" si="121"/>
        <v>297350.2570858422</v>
      </c>
      <c r="U285" s="109">
        <f t="shared" si="121"/>
        <v>212393.04077560152</v>
      </c>
      <c r="V285" s="109">
        <f t="shared" si="121"/>
        <v>127435.82446536086</v>
      </c>
      <c r="W285" s="109">
        <f t="shared" si="121"/>
        <v>42478.608155120193</v>
      </c>
      <c r="X285" s="109">
        <f t="shared" si="121"/>
        <v>0</v>
      </c>
      <c r="Y285" s="109">
        <f t="shared" si="121"/>
        <v>0</v>
      </c>
      <c r="Z285" s="109">
        <f t="shared" si="121"/>
        <v>0</v>
      </c>
      <c r="AA285" s="109">
        <f t="shared" si="121"/>
        <v>0</v>
      </c>
      <c r="AB285" s="109">
        <f t="shared" si="121"/>
        <v>0</v>
      </c>
      <c r="AC285" s="109">
        <f t="shared" si="121"/>
        <v>0</v>
      </c>
      <c r="AD285" s="109">
        <f t="shared" si="121"/>
        <v>0</v>
      </c>
      <c r="AE285" s="109">
        <f t="shared" si="121"/>
        <v>0</v>
      </c>
      <c r="AF285" s="109">
        <f t="shared" si="121"/>
        <v>0</v>
      </c>
      <c r="AG285" s="109">
        <f t="shared" si="121"/>
        <v>0</v>
      </c>
      <c r="AH285" s="109">
        <f t="shared" si="121"/>
        <v>0</v>
      </c>
      <c r="AI285" s="109">
        <f t="shared" si="121"/>
        <v>0</v>
      </c>
      <c r="AJ285" s="109">
        <f t="shared" si="121"/>
        <v>0</v>
      </c>
      <c r="AK285" s="109">
        <f t="shared" si="121"/>
        <v>0</v>
      </c>
      <c r="AL285" s="109">
        <f t="shared" si="121"/>
        <v>0</v>
      </c>
      <c r="AM285" s="109">
        <f t="shared" si="121"/>
        <v>0</v>
      </c>
    </row>
    <row r="286" spans="1:39" ht="15" customHeight="1" x14ac:dyDescent="0.2">
      <c r="A286" s="868"/>
      <c r="B286" s="860"/>
      <c r="C286" s="860"/>
      <c r="D286" s="860"/>
      <c r="E286" s="860"/>
      <c r="F286" s="860"/>
      <c r="G286" s="860"/>
      <c r="H286" s="860"/>
      <c r="I286" s="861"/>
      <c r="K286" s="110">
        <f>(-PMT(Parameters!$B$31/12,Parameters!$B$32,$F279))*Parameters!$B$32</f>
        <v>1019486.5957228879</v>
      </c>
      <c r="L286" s="111"/>
      <c r="M286" s="108">
        <f>(-PMT(Parameters!$B$31/12,Parameters!$B$32,$F279))*Parameters!$K$32</f>
        <v>42478.608155120332</v>
      </c>
      <c r="N286" s="108">
        <f>MIN(((-PMT(Parameters!$B$31/12,Parameters!$B$32,$F279))*3),M287)</f>
        <v>84957.216310240663</v>
      </c>
      <c r="O286" s="108">
        <f>MIN(((-PMT(Parameters!$B$31/12,Parameters!$B$32,$F279))*3),N287)</f>
        <v>84957.216310240663</v>
      </c>
      <c r="P286" s="108">
        <f>MIN(((-PMT(Parameters!$B$31/12,Parameters!$B$32,$F279))*3),O287)</f>
        <v>84957.216310240663</v>
      </c>
      <c r="Q286" s="108">
        <f>MIN(((-PMT(Parameters!$B$31/12,Parameters!$B$32,$F279))*3),P287)</f>
        <v>84957.216310240663</v>
      </c>
      <c r="R286" s="108">
        <f>MIN(((-PMT(Parameters!$B$31/12,Parameters!$B$32,$F279))*3),Q287)</f>
        <v>84957.216310240663</v>
      </c>
      <c r="S286" s="108">
        <f>MIN(((-PMT(Parameters!$B$31/12,Parameters!$B$32,$F279))*3),R287)</f>
        <v>84957.216310240663</v>
      </c>
      <c r="T286" s="108">
        <f>MIN(((-PMT(Parameters!$B$31/12,Parameters!$B$32,$F279))*3),S287)</f>
        <v>84957.216310240663</v>
      </c>
      <c r="U286" s="108">
        <f>MIN(((-PMT(Parameters!$B$31/12,Parameters!$B$32,$F279))*3),T287)</f>
        <v>84957.216310240663</v>
      </c>
      <c r="V286" s="108">
        <f>MIN(((-PMT(Parameters!$B$31/12,Parameters!$B$32,$F279))*3),U287)</f>
        <v>84957.216310240663</v>
      </c>
      <c r="W286" s="108">
        <f>MIN(((-PMT(Parameters!$B$31/12,Parameters!$B$32,$F279))*3),V287)</f>
        <v>84957.216310240663</v>
      </c>
      <c r="X286" s="108">
        <f>MIN(((-PMT(Parameters!$B$31/12,Parameters!$B$32,$F279))*3),W287)</f>
        <v>84957.216310240663</v>
      </c>
      <c r="Y286" s="108">
        <f>MIN(((-PMT(Parameters!$B$31/12,Parameters!$B$32,$F279))*3),X287)</f>
        <v>42478.608155120193</v>
      </c>
      <c r="Z286" s="108">
        <f>MIN(((-PMT(Parameters!$B$31/12,Parameters!$B$32,$F279))*3),Y287)</f>
        <v>0</v>
      </c>
      <c r="AA286" s="108">
        <f>MIN(((-PMT(Parameters!$B$31/12,Parameters!$B$32,$F279))*3),Z287)</f>
        <v>0</v>
      </c>
      <c r="AB286" s="108">
        <f>MIN(((-PMT(Parameters!$B$31/12,Parameters!$B$32,$F279))*3),AA287)</f>
        <v>0</v>
      </c>
      <c r="AC286" s="108">
        <f>MIN(((-PMT(Parameters!$B$31/12,Parameters!$B$32,$F279))*3),AB287)</f>
        <v>0</v>
      </c>
      <c r="AD286" s="108">
        <f>MIN(((-PMT(Parameters!$B$31/12,Parameters!$B$32,$F279))*3),AC287)</f>
        <v>0</v>
      </c>
      <c r="AE286" s="108">
        <f>MIN(((-PMT(Parameters!$B$31/12,Parameters!$B$32,$F279))*3),AD287)</f>
        <v>0</v>
      </c>
      <c r="AF286" s="108">
        <f>MIN(((-PMT(Parameters!$B$31/12,Parameters!$B$32,$F279))*3),AE287)</f>
        <v>0</v>
      </c>
      <c r="AG286" s="108">
        <f>MIN(((-PMT(Parameters!$B$31/12,Parameters!$B$32,$F279))*3),AF287)</f>
        <v>0</v>
      </c>
      <c r="AH286" s="108">
        <f>MIN(((-PMT(Parameters!$B$31/12,Parameters!$B$32,$F279))*3),AG287)</f>
        <v>0</v>
      </c>
      <c r="AI286" s="108">
        <f>MIN(((-PMT(Parameters!$B$31/12,Parameters!$B$32,$F279))*3),AH287)</f>
        <v>0</v>
      </c>
      <c r="AJ286" s="108">
        <f>MIN(((-PMT(Parameters!$B$31/12,Parameters!$B$32,$F279))*3),AI287)</f>
        <v>0</v>
      </c>
      <c r="AK286" s="108">
        <f>MIN(((-PMT(Parameters!$B$31/12,Parameters!$B$32,$F279))*3),AJ287)</f>
        <v>0</v>
      </c>
      <c r="AL286" s="108">
        <f>MIN(((-PMT(Parameters!$B$31/12,Parameters!$B$32,$F279))*3),AK287)</f>
        <v>0</v>
      </c>
      <c r="AM286" s="108">
        <f>MIN(((-PMT(Parameters!$B$31/12,Parameters!$B$32,$F279))*3),AL287)</f>
        <v>0</v>
      </c>
    </row>
    <row r="287" spans="1:39" ht="15" customHeight="1" x14ac:dyDescent="0.2">
      <c r="A287" s="868"/>
      <c r="B287" s="860"/>
      <c r="C287" s="860"/>
      <c r="D287" s="860"/>
      <c r="E287" s="860"/>
      <c r="F287" s="860"/>
      <c r="G287" s="860"/>
      <c r="H287" s="860"/>
      <c r="I287" s="861"/>
      <c r="L287" s="109">
        <f>K286</f>
        <v>1019486.5957228879</v>
      </c>
      <c r="M287" s="109">
        <f t="shared" ref="M287:AM287" si="122">L287-M286</f>
        <v>977007.98756776762</v>
      </c>
      <c r="N287" s="109">
        <f t="shared" si="122"/>
        <v>892050.77125752694</v>
      </c>
      <c r="O287" s="109">
        <f t="shared" si="122"/>
        <v>807093.55494728626</v>
      </c>
      <c r="P287" s="109">
        <f t="shared" si="122"/>
        <v>722136.33863704558</v>
      </c>
      <c r="Q287" s="109">
        <f t="shared" si="122"/>
        <v>637179.12232680491</v>
      </c>
      <c r="R287" s="109">
        <f t="shared" si="122"/>
        <v>552221.90601656423</v>
      </c>
      <c r="S287" s="109">
        <f t="shared" si="122"/>
        <v>467264.68970632355</v>
      </c>
      <c r="T287" s="109">
        <f t="shared" si="122"/>
        <v>382307.47339608287</v>
      </c>
      <c r="U287" s="109">
        <f t="shared" si="122"/>
        <v>297350.2570858422</v>
      </c>
      <c r="V287" s="109">
        <f t="shared" si="122"/>
        <v>212393.04077560152</v>
      </c>
      <c r="W287" s="109">
        <f t="shared" si="122"/>
        <v>127435.82446536086</v>
      </c>
      <c r="X287" s="109">
        <f t="shared" si="122"/>
        <v>42478.608155120193</v>
      </c>
      <c r="Y287" s="109">
        <f t="shared" si="122"/>
        <v>0</v>
      </c>
      <c r="Z287" s="109">
        <f t="shared" si="122"/>
        <v>0</v>
      </c>
      <c r="AA287" s="109">
        <f t="shared" si="122"/>
        <v>0</v>
      </c>
      <c r="AB287" s="109">
        <f t="shared" si="122"/>
        <v>0</v>
      </c>
      <c r="AC287" s="109">
        <f t="shared" si="122"/>
        <v>0</v>
      </c>
      <c r="AD287" s="109">
        <f t="shared" si="122"/>
        <v>0</v>
      </c>
      <c r="AE287" s="109">
        <f t="shared" si="122"/>
        <v>0</v>
      </c>
      <c r="AF287" s="109">
        <f t="shared" si="122"/>
        <v>0</v>
      </c>
      <c r="AG287" s="109">
        <f t="shared" si="122"/>
        <v>0</v>
      </c>
      <c r="AH287" s="109">
        <f t="shared" si="122"/>
        <v>0</v>
      </c>
      <c r="AI287" s="109">
        <f t="shared" si="122"/>
        <v>0</v>
      </c>
      <c r="AJ287" s="109">
        <f t="shared" si="122"/>
        <v>0</v>
      </c>
      <c r="AK287" s="109">
        <f t="shared" si="122"/>
        <v>0</v>
      </c>
      <c r="AL287" s="109">
        <f t="shared" si="122"/>
        <v>0</v>
      </c>
      <c r="AM287" s="109">
        <f t="shared" si="122"/>
        <v>0</v>
      </c>
    </row>
    <row r="288" spans="1:39" ht="15" customHeight="1" x14ac:dyDescent="0.2">
      <c r="A288" s="868"/>
      <c r="B288" s="860"/>
      <c r="C288" s="860"/>
      <c r="D288" s="860"/>
      <c r="E288" s="860"/>
      <c r="F288" s="860"/>
      <c r="G288" s="860"/>
      <c r="H288" s="860"/>
      <c r="I288" s="861"/>
      <c r="K288" s="110">
        <f>(-PMT(Parameters!$B$31/12,Parameters!$B$32,$G279))*Parameters!$B$32</f>
        <v>1019486.5957228879</v>
      </c>
      <c r="L288" s="111"/>
      <c r="M288" s="111"/>
      <c r="N288" s="108">
        <f>(-PMT(Parameters!$B$31/12,Parameters!$B$32,$G279))*Parameters!$K$32</f>
        <v>42478.608155120332</v>
      </c>
      <c r="O288" s="108">
        <f>MIN(((-PMT(Parameters!$B$31/12,Parameters!$B$32,$G279))*3),N289)</f>
        <v>84957.216310240663</v>
      </c>
      <c r="P288" s="108">
        <f>MIN(((-PMT(Parameters!$B$31/12,Parameters!$B$32,$G279))*3),O289)</f>
        <v>84957.216310240663</v>
      </c>
      <c r="Q288" s="108">
        <f>MIN(((-PMT(Parameters!$B$31/12,Parameters!$B$32,$G279))*3),P289)</f>
        <v>84957.216310240663</v>
      </c>
      <c r="R288" s="108">
        <f>MIN(((-PMT(Parameters!$B$31/12,Parameters!$B$32,$G279))*3),Q289)</f>
        <v>84957.216310240663</v>
      </c>
      <c r="S288" s="108">
        <f>MIN(((-PMT(Parameters!$B$31/12,Parameters!$B$32,$G279))*3),R289)</f>
        <v>84957.216310240663</v>
      </c>
      <c r="T288" s="108">
        <f>MIN(((-PMT(Parameters!$B$31/12,Parameters!$B$32,$G279))*3),S289)</f>
        <v>84957.216310240663</v>
      </c>
      <c r="U288" s="108">
        <f>MIN(((-PMT(Parameters!$B$31/12,Parameters!$B$32,$G279))*3),T289)</f>
        <v>84957.216310240663</v>
      </c>
      <c r="V288" s="108">
        <f>MIN(((-PMT(Parameters!$B$31/12,Parameters!$B$32,$G279))*3),U289)</f>
        <v>84957.216310240663</v>
      </c>
      <c r="W288" s="108">
        <f>MIN(((-PMT(Parameters!$B$31/12,Parameters!$B$32,$G279))*3),V289)</f>
        <v>84957.216310240663</v>
      </c>
      <c r="X288" s="108">
        <f>MIN(((-PMT(Parameters!$B$31/12,Parameters!$B$32,$G279))*3),W289)</f>
        <v>84957.216310240663</v>
      </c>
      <c r="Y288" s="108">
        <f>MIN(((-PMT(Parameters!$B$31/12,Parameters!$B$32,$G279))*3),X289)</f>
        <v>84957.216310240663</v>
      </c>
      <c r="Z288" s="108">
        <f>MIN(((-PMT(Parameters!$B$31/12,Parameters!$B$32,$G279))*3),Y289)</f>
        <v>42478.608155120193</v>
      </c>
      <c r="AA288" s="108">
        <f>MIN(((-PMT(Parameters!$B$31/12,Parameters!$B$32,$G279))*3),Z289)</f>
        <v>0</v>
      </c>
      <c r="AB288" s="108">
        <f>MIN(((-PMT(Parameters!$B$31/12,Parameters!$B$32,$G279))*3),AA289)</f>
        <v>0</v>
      </c>
      <c r="AC288" s="108">
        <f>MIN(((-PMT(Parameters!$B$31/12,Parameters!$B$32,$G279))*3),AB289)</f>
        <v>0</v>
      </c>
      <c r="AD288" s="108">
        <f>MIN(((-PMT(Parameters!$B$31/12,Parameters!$B$32,$G279))*3),AC289)</f>
        <v>0</v>
      </c>
      <c r="AE288" s="108">
        <f>MIN(((-PMT(Parameters!$B$31/12,Parameters!$B$32,$G279))*3),AD289)</f>
        <v>0</v>
      </c>
      <c r="AF288" s="108">
        <f>MIN(((-PMT(Parameters!$B$31/12,Parameters!$B$32,$G279))*3),AE289)</f>
        <v>0</v>
      </c>
      <c r="AG288" s="108">
        <f>MIN(((-PMT(Parameters!$B$31/12,Parameters!$B$32,$G279))*3),AF289)</f>
        <v>0</v>
      </c>
      <c r="AH288" s="108">
        <f>MIN(((-PMT(Parameters!$B$31/12,Parameters!$B$32,$G279))*3),AG289)</f>
        <v>0</v>
      </c>
      <c r="AI288" s="108">
        <f>MIN(((-PMT(Parameters!$B$31/12,Parameters!$B$32,$G279))*3),AH289)</f>
        <v>0</v>
      </c>
      <c r="AJ288" s="108">
        <f>MIN(((-PMT(Parameters!$B$31/12,Parameters!$B$32,$G279))*3),AI289)</f>
        <v>0</v>
      </c>
      <c r="AK288" s="108">
        <f>MIN(((-PMT(Parameters!$B$31/12,Parameters!$B$32,$G279))*3),AJ289)</f>
        <v>0</v>
      </c>
      <c r="AL288" s="108">
        <f>MIN(((-PMT(Parameters!$B$31/12,Parameters!$B$32,$G279))*3),AK289)</f>
        <v>0</v>
      </c>
      <c r="AM288" s="108">
        <f>MIN(((-PMT(Parameters!$B$31/12,Parameters!$B$32,$G279))*3),AL289)</f>
        <v>0</v>
      </c>
    </row>
    <row r="289" spans="1:55" ht="15" customHeight="1" x14ac:dyDescent="0.2">
      <c r="A289" s="868"/>
      <c r="B289" s="860"/>
      <c r="C289" s="860"/>
      <c r="D289" s="860"/>
      <c r="E289" s="860"/>
      <c r="F289" s="860"/>
      <c r="G289" s="860"/>
      <c r="H289" s="860"/>
      <c r="I289" s="861"/>
      <c r="L289" s="109">
        <f>K288</f>
        <v>1019486.5957228879</v>
      </c>
      <c r="M289" s="109">
        <f>L289</f>
        <v>1019486.5957228879</v>
      </c>
      <c r="N289" s="109">
        <f t="shared" ref="N289:AM289" si="123">M289-N288</f>
        <v>977007.98756776762</v>
      </c>
      <c r="O289" s="109">
        <f t="shared" si="123"/>
        <v>892050.77125752694</v>
      </c>
      <c r="P289" s="109">
        <f t="shared" si="123"/>
        <v>807093.55494728626</v>
      </c>
      <c r="Q289" s="109">
        <f t="shared" si="123"/>
        <v>722136.33863704558</v>
      </c>
      <c r="R289" s="109">
        <f t="shared" si="123"/>
        <v>637179.12232680491</v>
      </c>
      <c r="S289" s="109">
        <f t="shared" si="123"/>
        <v>552221.90601656423</v>
      </c>
      <c r="T289" s="109">
        <f t="shared" si="123"/>
        <v>467264.68970632355</v>
      </c>
      <c r="U289" s="109">
        <f t="shared" si="123"/>
        <v>382307.47339608287</v>
      </c>
      <c r="V289" s="109">
        <f t="shared" si="123"/>
        <v>297350.2570858422</v>
      </c>
      <c r="W289" s="109">
        <f t="shared" si="123"/>
        <v>212393.04077560152</v>
      </c>
      <c r="X289" s="109">
        <f t="shared" si="123"/>
        <v>127435.82446536086</v>
      </c>
      <c r="Y289" s="109">
        <f t="shared" si="123"/>
        <v>42478.608155120193</v>
      </c>
      <c r="Z289" s="109">
        <f t="shared" si="123"/>
        <v>0</v>
      </c>
      <c r="AA289" s="109">
        <f t="shared" si="123"/>
        <v>0</v>
      </c>
      <c r="AB289" s="109">
        <f t="shared" si="123"/>
        <v>0</v>
      </c>
      <c r="AC289" s="109">
        <f t="shared" si="123"/>
        <v>0</v>
      </c>
      <c r="AD289" s="109">
        <f t="shared" si="123"/>
        <v>0</v>
      </c>
      <c r="AE289" s="109">
        <f t="shared" si="123"/>
        <v>0</v>
      </c>
      <c r="AF289" s="109">
        <f t="shared" si="123"/>
        <v>0</v>
      </c>
      <c r="AG289" s="109">
        <f t="shared" si="123"/>
        <v>0</v>
      </c>
      <c r="AH289" s="109">
        <f t="shared" si="123"/>
        <v>0</v>
      </c>
      <c r="AI289" s="109">
        <f t="shared" si="123"/>
        <v>0</v>
      </c>
      <c r="AJ289" s="109">
        <f t="shared" si="123"/>
        <v>0</v>
      </c>
      <c r="AK289" s="109">
        <f t="shared" si="123"/>
        <v>0</v>
      </c>
      <c r="AL289" s="109">
        <f t="shared" si="123"/>
        <v>0</v>
      </c>
      <c r="AM289" s="109">
        <f t="shared" si="123"/>
        <v>0</v>
      </c>
    </row>
    <row r="290" spans="1:55" ht="15" customHeight="1" x14ac:dyDescent="0.2">
      <c r="A290" s="868"/>
      <c r="B290" s="860"/>
      <c r="C290" s="860"/>
      <c r="D290" s="860"/>
      <c r="E290" s="860"/>
      <c r="F290" s="860"/>
      <c r="G290" s="860"/>
      <c r="H290" s="860"/>
      <c r="I290" s="861"/>
      <c r="K290" s="110">
        <f>(-PMT(Parameters!$B$31/12,Parameters!$B$32,$H279))*Parameters!$B$32</f>
        <v>1019486.5957228879</v>
      </c>
      <c r="L290" s="111"/>
      <c r="M290" s="111"/>
      <c r="N290" s="111"/>
      <c r="O290" s="108">
        <f>(-PMT(Parameters!$B$31/12,Parameters!$B$32,$H279))*Parameters!$K$32</f>
        <v>42478.608155120332</v>
      </c>
      <c r="P290" s="108">
        <f>MIN(((-PMT(Parameters!$B$31/12,Parameters!$B$32,$H279))*3),O291)</f>
        <v>84957.216310240663</v>
      </c>
      <c r="Q290" s="108">
        <f>MIN(((-PMT(Parameters!$B$31/12,Parameters!$B$32,$H279))*3),P291)</f>
        <v>84957.216310240663</v>
      </c>
      <c r="R290" s="108">
        <f>MIN(((-PMT(Parameters!$B$31/12,Parameters!$B$32,$H279))*3),Q291)</f>
        <v>84957.216310240663</v>
      </c>
      <c r="S290" s="108">
        <f>MIN(((-PMT(Parameters!$B$31/12,Parameters!$B$32,$H279))*3),R291)</f>
        <v>84957.216310240663</v>
      </c>
      <c r="T290" s="108">
        <f>MIN(((-PMT(Parameters!$B$31/12,Parameters!$B$32,$H279))*3),S291)</f>
        <v>84957.216310240663</v>
      </c>
      <c r="U290" s="108">
        <f>MIN(((-PMT(Parameters!$B$31/12,Parameters!$B$32,$H279))*3),T291)</f>
        <v>84957.216310240663</v>
      </c>
      <c r="V290" s="108">
        <f>MIN(((-PMT(Parameters!$B$31/12,Parameters!$B$32,$H279))*3),U291)</f>
        <v>84957.216310240663</v>
      </c>
      <c r="W290" s="108">
        <f>MIN(((-PMT(Parameters!$B$31/12,Parameters!$B$32,$H279))*3),V291)</f>
        <v>84957.216310240663</v>
      </c>
      <c r="X290" s="108">
        <f>MIN(((-PMT(Parameters!$B$31/12,Parameters!$B$32,$H279))*3),W291)</f>
        <v>84957.216310240663</v>
      </c>
      <c r="Y290" s="108">
        <f>MIN(((-PMT(Parameters!$B$31/12,Parameters!$B$32,$H279))*3),X291)</f>
        <v>84957.216310240663</v>
      </c>
      <c r="Z290" s="108">
        <f>MIN(((-PMT(Parameters!$B$31/12,Parameters!$B$32,$H279))*3),Y291)</f>
        <v>84957.216310240663</v>
      </c>
      <c r="AA290" s="108">
        <f>MIN(((-PMT(Parameters!$B$31/12,Parameters!$B$32,$H279))*3),Z291)</f>
        <v>42478.608155120193</v>
      </c>
      <c r="AB290" s="108">
        <f>MIN(((-PMT(Parameters!$B$31/12,Parameters!$B$32,$H279))*3),AA291)</f>
        <v>0</v>
      </c>
      <c r="AC290" s="108">
        <f>MIN(((-PMT(Parameters!$B$31/12,Parameters!$B$32,$H279))*3),AB291)</f>
        <v>0</v>
      </c>
      <c r="AD290" s="108">
        <f>MIN(((-PMT(Parameters!$B$31/12,Parameters!$B$32,$H279))*3),AC291)</f>
        <v>0</v>
      </c>
      <c r="AE290" s="108">
        <f>MIN(((-PMT(Parameters!$B$31/12,Parameters!$B$32,$H279))*3),AD291)</f>
        <v>0</v>
      </c>
      <c r="AF290" s="108">
        <f>MIN(((-PMT(Parameters!$B$31/12,Parameters!$B$32,$H279))*3),AE291)</f>
        <v>0</v>
      </c>
      <c r="AG290" s="108">
        <f>MIN(((-PMT(Parameters!$B$31/12,Parameters!$B$32,$H279))*3),AF291)</f>
        <v>0</v>
      </c>
      <c r="AH290" s="108">
        <f>MIN(((-PMT(Parameters!$B$31/12,Parameters!$B$32,$H279))*3),AG291)</f>
        <v>0</v>
      </c>
      <c r="AI290" s="108">
        <f>MIN(((-PMT(Parameters!$B$31/12,Parameters!$B$32,$H279))*3),AH291)</f>
        <v>0</v>
      </c>
      <c r="AJ290" s="108">
        <f>MIN(((-PMT(Parameters!$B$31/12,Parameters!$B$32,$H279))*3),AI291)</f>
        <v>0</v>
      </c>
      <c r="AK290" s="108">
        <f>MIN(((-PMT(Parameters!$B$31/12,Parameters!$B$32,$H279))*3),AJ291)</f>
        <v>0</v>
      </c>
      <c r="AL290" s="108">
        <f>MIN(((-PMT(Parameters!$B$31/12,Parameters!$B$32,$H279))*3),AK291)</f>
        <v>0</v>
      </c>
      <c r="AM290" s="108">
        <f>MIN(((-PMT(Parameters!$B$31/12,Parameters!$B$32,$H279))*3),AL291)</f>
        <v>0</v>
      </c>
    </row>
    <row r="291" spans="1:55" ht="15" customHeight="1" x14ac:dyDescent="0.2">
      <c r="A291" s="868"/>
      <c r="B291" s="860"/>
      <c r="C291" s="860"/>
      <c r="D291" s="860"/>
      <c r="E291" s="860"/>
      <c r="F291" s="860"/>
      <c r="G291" s="860"/>
      <c r="H291" s="860"/>
      <c r="I291" s="861"/>
      <c r="L291" s="109">
        <f>K290</f>
        <v>1019486.5957228879</v>
      </c>
      <c r="M291" s="109">
        <f>L291</f>
        <v>1019486.5957228879</v>
      </c>
      <c r="N291" s="109">
        <f t="shared" ref="N291:AM291" si="124">M291-N290</f>
        <v>1019486.5957228879</v>
      </c>
      <c r="O291" s="109">
        <f t="shared" si="124"/>
        <v>977007.98756776762</v>
      </c>
      <c r="P291" s="109">
        <f t="shared" si="124"/>
        <v>892050.77125752694</v>
      </c>
      <c r="Q291" s="109">
        <f t="shared" si="124"/>
        <v>807093.55494728626</v>
      </c>
      <c r="R291" s="109">
        <f t="shared" si="124"/>
        <v>722136.33863704558</v>
      </c>
      <c r="S291" s="109">
        <f t="shared" si="124"/>
        <v>637179.12232680491</v>
      </c>
      <c r="T291" s="109">
        <f t="shared" si="124"/>
        <v>552221.90601656423</v>
      </c>
      <c r="U291" s="109">
        <f t="shared" si="124"/>
        <v>467264.68970632355</v>
      </c>
      <c r="V291" s="109">
        <f t="shared" si="124"/>
        <v>382307.47339608287</v>
      </c>
      <c r="W291" s="109">
        <f t="shared" si="124"/>
        <v>297350.2570858422</v>
      </c>
      <c r="X291" s="109">
        <f t="shared" si="124"/>
        <v>212393.04077560152</v>
      </c>
      <c r="Y291" s="109">
        <f t="shared" si="124"/>
        <v>127435.82446536086</v>
      </c>
      <c r="Z291" s="109">
        <f t="shared" si="124"/>
        <v>42478.608155120193</v>
      </c>
      <c r="AA291" s="109">
        <f t="shared" si="124"/>
        <v>0</v>
      </c>
      <c r="AB291" s="109">
        <f t="shared" si="124"/>
        <v>0</v>
      </c>
      <c r="AC291" s="109">
        <f t="shared" si="124"/>
        <v>0</v>
      </c>
      <c r="AD291" s="109">
        <f t="shared" si="124"/>
        <v>0</v>
      </c>
      <c r="AE291" s="109">
        <f t="shared" si="124"/>
        <v>0</v>
      </c>
      <c r="AF291" s="109">
        <f t="shared" si="124"/>
        <v>0</v>
      </c>
      <c r="AG291" s="109">
        <f t="shared" si="124"/>
        <v>0</v>
      </c>
      <c r="AH291" s="109">
        <f t="shared" si="124"/>
        <v>0</v>
      </c>
      <c r="AI291" s="109">
        <f t="shared" si="124"/>
        <v>0</v>
      </c>
      <c r="AJ291" s="109">
        <f t="shared" si="124"/>
        <v>0</v>
      </c>
      <c r="AK291" s="109">
        <f t="shared" si="124"/>
        <v>0</v>
      </c>
      <c r="AL291" s="109">
        <f t="shared" si="124"/>
        <v>0</v>
      </c>
      <c r="AM291" s="109">
        <f t="shared" si="124"/>
        <v>0</v>
      </c>
    </row>
    <row r="292" spans="1:55" ht="15" customHeight="1" x14ac:dyDescent="0.2">
      <c r="A292" s="868"/>
      <c r="B292" s="860"/>
      <c r="C292" s="860"/>
      <c r="D292" s="860"/>
      <c r="E292" s="860"/>
      <c r="F292" s="860"/>
      <c r="G292" s="860"/>
      <c r="H292" s="860"/>
      <c r="I292" s="861"/>
      <c r="L292" s="109">
        <f>L284+L286+L288+L290</f>
        <v>42478.608155120332</v>
      </c>
      <c r="M292" s="109">
        <f t="shared" ref="M292:AM292" si="125">M284+M286+M288+M290</f>
        <v>127435.82446536099</v>
      </c>
      <c r="N292" s="109">
        <f t="shared" si="125"/>
        <v>212393.04077560166</v>
      </c>
      <c r="O292" s="109">
        <f t="shared" si="125"/>
        <v>297350.25708584231</v>
      </c>
      <c r="P292" s="109">
        <f t="shared" si="125"/>
        <v>339828.86524096265</v>
      </c>
      <c r="Q292" s="109">
        <f t="shared" si="125"/>
        <v>339828.86524096265</v>
      </c>
      <c r="R292" s="109">
        <f t="shared" si="125"/>
        <v>339828.86524096265</v>
      </c>
      <c r="S292" s="109">
        <f t="shared" si="125"/>
        <v>339828.86524096265</v>
      </c>
      <c r="T292" s="109">
        <f t="shared" si="125"/>
        <v>339828.86524096265</v>
      </c>
      <c r="U292" s="109">
        <f t="shared" si="125"/>
        <v>339828.86524096265</v>
      </c>
      <c r="V292" s="109">
        <f t="shared" si="125"/>
        <v>339828.86524096265</v>
      </c>
      <c r="W292" s="109">
        <f t="shared" si="125"/>
        <v>339828.86524096265</v>
      </c>
      <c r="X292" s="109">
        <f t="shared" si="125"/>
        <v>297350.2570858422</v>
      </c>
      <c r="Y292" s="109">
        <f t="shared" si="125"/>
        <v>212393.04077560152</v>
      </c>
      <c r="Z292" s="109">
        <f t="shared" si="125"/>
        <v>127435.82446536086</v>
      </c>
      <c r="AA292" s="109">
        <f t="shared" si="125"/>
        <v>42478.608155120193</v>
      </c>
      <c r="AB292" s="109">
        <f t="shared" si="125"/>
        <v>0</v>
      </c>
      <c r="AC292" s="109">
        <f t="shared" si="125"/>
        <v>0</v>
      </c>
      <c r="AD292" s="109">
        <f t="shared" si="125"/>
        <v>0</v>
      </c>
      <c r="AE292" s="109">
        <f t="shared" si="125"/>
        <v>0</v>
      </c>
      <c r="AF292" s="109">
        <f t="shared" si="125"/>
        <v>0</v>
      </c>
      <c r="AG292" s="109">
        <f t="shared" si="125"/>
        <v>0</v>
      </c>
      <c r="AH292" s="109">
        <f t="shared" si="125"/>
        <v>0</v>
      </c>
      <c r="AI292" s="109">
        <f t="shared" si="125"/>
        <v>0</v>
      </c>
      <c r="AJ292" s="109">
        <f t="shared" si="125"/>
        <v>0</v>
      </c>
      <c r="AK292" s="109">
        <f t="shared" si="125"/>
        <v>0</v>
      </c>
      <c r="AL292" s="109">
        <f t="shared" si="125"/>
        <v>0</v>
      </c>
      <c r="AM292" s="109">
        <f t="shared" si="125"/>
        <v>0</v>
      </c>
    </row>
    <row r="293" spans="1:55" ht="15" customHeight="1" thickBot="1" x14ac:dyDescent="0.25">
      <c r="A293" s="869"/>
      <c r="B293" s="862"/>
      <c r="C293" s="862"/>
      <c r="D293" s="862"/>
      <c r="E293" s="862"/>
      <c r="F293" s="862"/>
      <c r="G293" s="862"/>
      <c r="H293" s="862"/>
      <c r="I293" s="863"/>
      <c r="L293"/>
      <c r="M293"/>
      <c r="N293"/>
      <c r="O293"/>
      <c r="P293"/>
      <c r="Q293"/>
      <c r="R293"/>
      <c r="S293"/>
      <c r="T293"/>
      <c r="U293"/>
      <c r="V293"/>
      <c r="W293"/>
      <c r="X293"/>
      <c r="Y293"/>
      <c r="Z293"/>
      <c r="AA293"/>
      <c r="AB293"/>
      <c r="AC293"/>
      <c r="AD293"/>
      <c r="AE293"/>
      <c r="AF293"/>
      <c r="AG293"/>
      <c r="AH293"/>
      <c r="AI293"/>
      <c r="AJ293"/>
      <c r="AK293"/>
      <c r="AL293"/>
      <c r="AM293"/>
    </row>
    <row r="294" spans="1:55" ht="13.2" thickBot="1" x14ac:dyDescent="0.25"/>
    <row r="295" spans="1:55" x14ac:dyDescent="0.2">
      <c r="A295" s="920" t="s">
        <v>210</v>
      </c>
      <c r="B295" s="921"/>
      <c r="C295" s="921"/>
      <c r="D295" s="921"/>
      <c r="E295" s="921"/>
      <c r="F295" s="921"/>
      <c r="G295" s="921"/>
      <c r="H295" s="921"/>
      <c r="I295" s="922"/>
    </row>
    <row r="296" spans="1:55" ht="21" customHeight="1" thickBot="1" x14ac:dyDescent="0.25">
      <c r="A296" s="923"/>
      <c r="B296" s="924"/>
      <c r="C296" s="924"/>
      <c r="D296" s="924"/>
      <c r="E296" s="924"/>
      <c r="F296" s="924"/>
      <c r="G296" s="924"/>
      <c r="H296" s="924"/>
      <c r="I296" s="925"/>
    </row>
    <row r="297" spans="1:55" ht="16.05" customHeight="1" x14ac:dyDescent="0.2">
      <c r="A297" s="889">
        <v>2012</v>
      </c>
      <c r="B297" s="890"/>
      <c r="C297" s="893" t="s">
        <v>198</v>
      </c>
      <c r="D297" s="894"/>
      <c r="E297" s="864" t="s">
        <v>406</v>
      </c>
      <c r="F297" s="883" t="s">
        <v>407</v>
      </c>
      <c r="G297" s="883" t="s">
        <v>408</v>
      </c>
      <c r="H297" s="885" t="s">
        <v>409</v>
      </c>
      <c r="I297" s="887" t="s">
        <v>498</v>
      </c>
      <c r="L297" s="85">
        <f t="shared" ref="L297:BC297" si="126">L$3</f>
        <v>39082</v>
      </c>
      <c r="M297" s="85">
        <f t="shared" si="126"/>
        <v>39172</v>
      </c>
      <c r="N297" s="85">
        <f t="shared" si="126"/>
        <v>39263</v>
      </c>
      <c r="O297" s="85">
        <f t="shared" si="126"/>
        <v>39355</v>
      </c>
      <c r="P297" s="85">
        <f t="shared" si="126"/>
        <v>39447</v>
      </c>
      <c r="Q297" s="85">
        <f t="shared" si="126"/>
        <v>39538</v>
      </c>
      <c r="R297" s="85">
        <f t="shared" si="126"/>
        <v>39629</v>
      </c>
      <c r="S297" s="85">
        <f t="shared" si="126"/>
        <v>39721</v>
      </c>
      <c r="T297" s="85">
        <f t="shared" si="126"/>
        <v>39813</v>
      </c>
      <c r="U297" s="85">
        <f t="shared" si="126"/>
        <v>39903</v>
      </c>
      <c r="V297" s="85">
        <f t="shared" si="126"/>
        <v>39994</v>
      </c>
      <c r="W297" s="85">
        <f t="shared" si="126"/>
        <v>40086</v>
      </c>
      <c r="X297" s="85">
        <f t="shared" si="126"/>
        <v>40178</v>
      </c>
      <c r="Y297" s="85">
        <f t="shared" si="126"/>
        <v>40268</v>
      </c>
      <c r="Z297" s="85">
        <f t="shared" si="126"/>
        <v>40359</v>
      </c>
      <c r="AA297" s="85">
        <f t="shared" si="126"/>
        <v>40451</v>
      </c>
      <c r="AB297" s="85">
        <f t="shared" si="126"/>
        <v>40543</v>
      </c>
      <c r="AC297" s="85">
        <f t="shared" si="126"/>
        <v>40633</v>
      </c>
      <c r="AD297" s="85">
        <f t="shared" si="126"/>
        <v>40724</v>
      </c>
      <c r="AE297" s="85">
        <f t="shared" si="126"/>
        <v>40816</v>
      </c>
      <c r="AF297" s="85">
        <f t="shared" si="126"/>
        <v>40908</v>
      </c>
      <c r="AG297" s="85">
        <f t="shared" si="126"/>
        <v>40999</v>
      </c>
      <c r="AH297" s="85">
        <f t="shared" si="126"/>
        <v>41090</v>
      </c>
      <c r="AI297" s="85">
        <f t="shared" si="126"/>
        <v>41182</v>
      </c>
      <c r="AJ297" s="85">
        <f t="shared" si="126"/>
        <v>41274</v>
      </c>
      <c r="AK297" s="85">
        <f t="shared" si="126"/>
        <v>41364</v>
      </c>
      <c r="AL297" s="85">
        <f t="shared" si="126"/>
        <v>41455</v>
      </c>
      <c r="AM297" s="85">
        <f t="shared" si="126"/>
        <v>41547</v>
      </c>
      <c r="AN297" s="85">
        <f t="shared" si="126"/>
        <v>41639</v>
      </c>
      <c r="AO297" s="85">
        <f t="shared" si="126"/>
        <v>41729</v>
      </c>
      <c r="AP297" s="85">
        <f t="shared" si="126"/>
        <v>41820</v>
      </c>
      <c r="AQ297" s="85">
        <f t="shared" si="126"/>
        <v>41912</v>
      </c>
      <c r="AR297" s="85">
        <f t="shared" si="126"/>
        <v>42004</v>
      </c>
      <c r="AS297" s="85">
        <f t="shared" si="126"/>
        <v>42094</v>
      </c>
      <c r="AT297" s="85">
        <f t="shared" si="126"/>
        <v>42185</v>
      </c>
      <c r="AU297" s="85">
        <f t="shared" si="126"/>
        <v>42277</v>
      </c>
      <c r="AV297" s="85">
        <f t="shared" si="126"/>
        <v>42369</v>
      </c>
      <c r="AW297" s="85">
        <f t="shared" si="126"/>
        <v>42460</v>
      </c>
      <c r="AX297" s="85">
        <f t="shared" si="126"/>
        <v>42551</v>
      </c>
      <c r="AY297" s="85">
        <f t="shared" si="126"/>
        <v>42643</v>
      </c>
      <c r="AZ297" s="85">
        <f t="shared" si="126"/>
        <v>42735</v>
      </c>
      <c r="BA297" s="85">
        <f t="shared" si="126"/>
        <v>42825</v>
      </c>
      <c r="BB297" s="85">
        <f t="shared" si="126"/>
        <v>42916</v>
      </c>
      <c r="BC297" s="85">
        <f t="shared" si="126"/>
        <v>43008</v>
      </c>
    </row>
    <row r="298" spans="1:55" ht="16.05" customHeight="1" thickBot="1" x14ac:dyDescent="0.25">
      <c r="A298" s="891"/>
      <c r="B298" s="892"/>
      <c r="C298" s="895"/>
      <c r="D298" s="896"/>
      <c r="E298" s="865"/>
      <c r="F298" s="884"/>
      <c r="G298" s="884"/>
      <c r="H298" s="886"/>
      <c r="I298" s="888"/>
      <c r="L298" s="85">
        <f t="shared" ref="L298:BC298" si="127">L$4</f>
        <v>39171</v>
      </c>
      <c r="M298" s="85">
        <f t="shared" si="127"/>
        <v>39262</v>
      </c>
      <c r="N298" s="85">
        <f t="shared" si="127"/>
        <v>39354</v>
      </c>
      <c r="O298" s="85">
        <f t="shared" si="127"/>
        <v>39446</v>
      </c>
      <c r="P298" s="85">
        <f t="shared" si="127"/>
        <v>39537</v>
      </c>
      <c r="Q298" s="85">
        <f t="shared" si="127"/>
        <v>39628</v>
      </c>
      <c r="R298" s="85">
        <f t="shared" si="127"/>
        <v>39720</v>
      </c>
      <c r="S298" s="85">
        <f t="shared" si="127"/>
        <v>39812</v>
      </c>
      <c r="T298" s="85">
        <f t="shared" si="127"/>
        <v>39902</v>
      </c>
      <c r="U298" s="85">
        <f t="shared" si="127"/>
        <v>39993</v>
      </c>
      <c r="V298" s="85">
        <f t="shared" si="127"/>
        <v>40085</v>
      </c>
      <c r="W298" s="85">
        <f t="shared" si="127"/>
        <v>40177</v>
      </c>
      <c r="X298" s="85">
        <f t="shared" si="127"/>
        <v>40267</v>
      </c>
      <c r="Y298" s="85">
        <f t="shared" si="127"/>
        <v>40358</v>
      </c>
      <c r="Z298" s="85">
        <f t="shared" si="127"/>
        <v>40450</v>
      </c>
      <c r="AA298" s="85">
        <f t="shared" si="127"/>
        <v>40542</v>
      </c>
      <c r="AB298" s="85">
        <f t="shared" si="127"/>
        <v>40632</v>
      </c>
      <c r="AC298" s="85">
        <f t="shared" si="127"/>
        <v>40723</v>
      </c>
      <c r="AD298" s="85">
        <f t="shared" si="127"/>
        <v>40815</v>
      </c>
      <c r="AE298" s="85">
        <f t="shared" si="127"/>
        <v>40907</v>
      </c>
      <c r="AF298" s="85">
        <f t="shared" si="127"/>
        <v>40998</v>
      </c>
      <c r="AG298" s="85">
        <f t="shared" si="127"/>
        <v>41089</v>
      </c>
      <c r="AH298" s="85">
        <f t="shared" si="127"/>
        <v>41181</v>
      </c>
      <c r="AI298" s="85">
        <f t="shared" si="127"/>
        <v>41273</v>
      </c>
      <c r="AJ298" s="85">
        <f t="shared" si="127"/>
        <v>41363</v>
      </c>
      <c r="AK298" s="85">
        <f t="shared" si="127"/>
        <v>41454</v>
      </c>
      <c r="AL298" s="85">
        <f t="shared" si="127"/>
        <v>41546</v>
      </c>
      <c r="AM298" s="85">
        <f t="shared" si="127"/>
        <v>41638</v>
      </c>
      <c r="AN298" s="85">
        <f t="shared" si="127"/>
        <v>41728</v>
      </c>
      <c r="AO298" s="85">
        <f t="shared" si="127"/>
        <v>41819</v>
      </c>
      <c r="AP298" s="85">
        <f t="shared" si="127"/>
        <v>41911</v>
      </c>
      <c r="AQ298" s="85">
        <f t="shared" si="127"/>
        <v>42003</v>
      </c>
      <c r="AR298" s="85">
        <f t="shared" si="127"/>
        <v>42093</v>
      </c>
      <c r="AS298" s="85">
        <f t="shared" si="127"/>
        <v>42184</v>
      </c>
      <c r="AT298" s="85">
        <f t="shared" si="127"/>
        <v>42276</v>
      </c>
      <c r="AU298" s="85">
        <f t="shared" si="127"/>
        <v>42368</v>
      </c>
      <c r="AV298" s="85">
        <f t="shared" si="127"/>
        <v>42459</v>
      </c>
      <c r="AW298" s="85">
        <f t="shared" si="127"/>
        <v>42550</v>
      </c>
      <c r="AX298" s="85">
        <f t="shared" si="127"/>
        <v>42642</v>
      </c>
      <c r="AY298" s="85">
        <f t="shared" si="127"/>
        <v>42734</v>
      </c>
      <c r="AZ298" s="85">
        <f t="shared" si="127"/>
        <v>42824</v>
      </c>
      <c r="BA298" s="85">
        <f t="shared" si="127"/>
        <v>42915</v>
      </c>
      <c r="BB298" s="85">
        <f t="shared" si="127"/>
        <v>43007</v>
      </c>
      <c r="BC298" s="85">
        <f t="shared" si="127"/>
        <v>43099</v>
      </c>
    </row>
    <row r="299" spans="1:55" ht="15" customHeight="1" x14ac:dyDescent="0.2">
      <c r="A299" s="878" t="s">
        <v>318</v>
      </c>
      <c r="B299" s="870" t="s">
        <v>347</v>
      </c>
      <c r="C299" s="385" t="s">
        <v>341</v>
      </c>
      <c r="D299" s="94">
        <f>1-Parameters!N$8</f>
        <v>0</v>
      </c>
      <c r="E299" s="96">
        <f>ROUND(Calculations!D5*$D299,0)</f>
        <v>0</v>
      </c>
      <c r="F299" s="96">
        <f>ROUND(Calculations!E5*$D299,0)</f>
        <v>0</v>
      </c>
      <c r="G299" s="96">
        <f>ROUND(Calculations!F5*$D299,0)</f>
        <v>0</v>
      </c>
      <c r="H299" s="96">
        <f>ROUND(Calculations!G5*$D299,0)</f>
        <v>0</v>
      </c>
      <c r="I299" s="103">
        <f>SUM(E299:H299)</f>
        <v>0</v>
      </c>
      <c r="L299" s="88"/>
      <c r="M299" s="88"/>
      <c r="N299" s="88"/>
      <c r="O299" s="88"/>
      <c r="P299" s="85">
        <f>P297</f>
        <v>39447</v>
      </c>
      <c r="Q299" s="85">
        <f>Q297</f>
        <v>39538</v>
      </c>
      <c r="R299" s="85">
        <f>R297</f>
        <v>39629</v>
      </c>
      <c r="S299" s="85">
        <f>S297</f>
        <v>39721</v>
      </c>
      <c r="T299" s="88"/>
      <c r="U299" s="88"/>
      <c r="V299" s="88"/>
      <c r="W299" s="88"/>
      <c r="Y299"/>
    </row>
    <row r="300" spans="1:55" ht="15" customHeight="1" x14ac:dyDescent="0.2">
      <c r="A300" s="879"/>
      <c r="B300" s="605"/>
      <c r="C300" s="385" t="s">
        <v>117</v>
      </c>
      <c r="D300" s="150">
        <f>1-Parameters!N$9</f>
        <v>0</v>
      </c>
      <c r="E300" s="98">
        <f>ROUND(Calculations!D6*$D300,0)</f>
        <v>0</v>
      </c>
      <c r="F300" s="99">
        <f>ROUND(Calculations!E6*$D300,0)</f>
        <v>0</v>
      </c>
      <c r="G300" s="99">
        <f>ROUND(Calculations!F6*$D300,0)</f>
        <v>0</v>
      </c>
      <c r="H300" s="100">
        <f>ROUND(Calculations!G6*$D300,0)</f>
        <v>0</v>
      </c>
      <c r="I300" s="102">
        <f>SUM(E300:H300)</f>
        <v>0</v>
      </c>
      <c r="L300" s="386"/>
      <c r="M300" s="386"/>
      <c r="N300" s="386"/>
      <c r="O300" s="386"/>
      <c r="P300" s="299"/>
      <c r="Q300" s="299"/>
      <c r="R300" s="299"/>
      <c r="S300" s="299"/>
      <c r="T300" s="386"/>
      <c r="U300" s="386"/>
      <c r="V300" s="386"/>
      <c r="W300" s="386"/>
      <c r="Y300"/>
    </row>
    <row r="301" spans="1:55" ht="15" customHeight="1" x14ac:dyDescent="0.2">
      <c r="A301" s="879"/>
      <c r="B301" s="605"/>
      <c r="C301" s="384" t="s">
        <v>247</v>
      </c>
      <c r="D301" s="150">
        <f>1-Parameters!N$10</f>
        <v>0</v>
      </c>
      <c r="E301" s="98">
        <f>ROUND(Calculations!D7*$D301,0)</f>
        <v>0</v>
      </c>
      <c r="F301" s="99">
        <f>ROUND(Calculations!E7*$D301,0)</f>
        <v>0</v>
      </c>
      <c r="G301" s="99">
        <f>ROUND(Calculations!F7*$D301,0)</f>
        <v>0</v>
      </c>
      <c r="H301" s="100">
        <f>ROUND(Calculations!G7*$D301,0)</f>
        <v>0</v>
      </c>
      <c r="I301" s="102">
        <f>SUM(E301:H301)</f>
        <v>0</v>
      </c>
      <c r="L301"/>
      <c r="M301"/>
      <c r="N301"/>
      <c r="O301"/>
      <c r="P301"/>
      <c r="Q301"/>
      <c r="R301"/>
      <c r="S301"/>
      <c r="T301"/>
      <c r="U301"/>
      <c r="V301"/>
      <c r="W301"/>
      <c r="X301"/>
      <c r="Y301"/>
      <c r="Z301"/>
      <c r="AA301"/>
      <c r="AB301"/>
      <c r="AC301"/>
      <c r="AD301"/>
      <c r="AE301"/>
    </row>
    <row r="302" spans="1:55" ht="15" customHeight="1" x14ac:dyDescent="0.2">
      <c r="A302" s="880"/>
      <c r="B302" s="688"/>
      <c r="C302" s="688" t="s">
        <v>139</v>
      </c>
      <c r="D302" s="871"/>
      <c r="E302" s="92">
        <f>SUM(E299:E301)</f>
        <v>0</v>
      </c>
      <c r="F302" s="92">
        <f>SUM(F299:F301)</f>
        <v>0</v>
      </c>
      <c r="G302" s="92">
        <f>SUM(G299:G301)</f>
        <v>0</v>
      </c>
      <c r="H302" s="92">
        <f>SUM(H299:H301)</f>
        <v>0</v>
      </c>
      <c r="I302" s="872">
        <f>H303</f>
        <v>0</v>
      </c>
      <c r="L302"/>
      <c r="M302"/>
      <c r="N302"/>
      <c r="O302"/>
      <c r="P302"/>
      <c r="Q302"/>
      <c r="R302"/>
      <c r="S302"/>
      <c r="T302"/>
      <c r="U302"/>
      <c r="V302"/>
      <c r="W302"/>
      <c r="X302"/>
      <c r="Y302"/>
      <c r="Z302"/>
      <c r="AA302"/>
      <c r="AB302"/>
    </row>
    <row r="303" spans="1:55" ht="15" customHeight="1" x14ac:dyDescent="0.2">
      <c r="A303" s="880"/>
      <c r="B303" s="688"/>
      <c r="C303" s="874" t="s">
        <v>331</v>
      </c>
      <c r="D303" s="875"/>
      <c r="E303" s="105">
        <f>E302</f>
        <v>0</v>
      </c>
      <c r="F303" s="15">
        <f>E303+F302</f>
        <v>0</v>
      </c>
      <c r="G303" s="15">
        <f>F303+G302</f>
        <v>0</v>
      </c>
      <c r="H303" s="15">
        <f>G303+H302</f>
        <v>0</v>
      </c>
      <c r="I303" s="873"/>
    </row>
    <row r="304" spans="1:55" ht="15" customHeight="1" x14ac:dyDescent="0.2">
      <c r="A304" s="880"/>
      <c r="B304" s="688" t="s">
        <v>411</v>
      </c>
      <c r="C304" s="65" t="s">
        <v>405</v>
      </c>
      <c r="D304" s="104">
        <f>Parameters!$B$21</f>
        <v>22200</v>
      </c>
      <c r="E304" s="72">
        <f>E302*$D304</f>
        <v>0</v>
      </c>
      <c r="F304" s="72">
        <f>F302*$D304</f>
        <v>0</v>
      </c>
      <c r="G304" s="72">
        <f>G302*$D304</f>
        <v>0</v>
      </c>
      <c r="H304" s="72">
        <f>H302*$D304</f>
        <v>0</v>
      </c>
      <c r="I304" s="106">
        <f>SUM(E304:H304)</f>
        <v>0</v>
      </c>
      <c r="L304" s="60" t="s">
        <v>196</v>
      </c>
      <c r="M304" s="79">
        <f>P299+$D305</f>
        <v>39447</v>
      </c>
      <c r="N304" s="79">
        <f>Q299+$D305</f>
        <v>39538</v>
      </c>
      <c r="O304" s="79">
        <f>R299+$D305</f>
        <v>39629</v>
      </c>
      <c r="P304" s="79">
        <f>S299+$D305</f>
        <v>39721</v>
      </c>
      <c r="X304" s="69" t="s">
        <v>366</v>
      </c>
    </row>
    <row r="305" spans="1:39" ht="15" customHeight="1" thickBot="1" x14ac:dyDescent="0.25">
      <c r="A305" s="881"/>
      <c r="B305" s="882"/>
      <c r="C305" s="70" t="s">
        <v>332</v>
      </c>
      <c r="D305" s="84">
        <f>Parameters!$B$36</f>
        <v>0</v>
      </c>
      <c r="E305" s="72">
        <f>SUM(L305:P305)+L338</f>
        <v>0</v>
      </c>
      <c r="F305" s="66">
        <f>Q305+M338</f>
        <v>0</v>
      </c>
      <c r="G305" s="66">
        <f>R305+N338</f>
        <v>0</v>
      </c>
      <c r="H305" s="66">
        <f>S305+O338</f>
        <v>0</v>
      </c>
      <c r="I305" s="89">
        <f>SUM(E305:H305)</f>
        <v>0</v>
      </c>
      <c r="L305" s="68">
        <f>IF($M304&lt;=L298,$E304,IF($N304&lt;=L298,$F304,IF($O304&lt;=L298,$G304,IF($P304&lt;=L298,$H304,))))</f>
        <v>0</v>
      </c>
      <c r="M305" s="68">
        <f t="shared" ref="M305:W305" si="128">IF(AND($M304&gt;L298,$M304&lt;=M298),$E304,IF(AND($N304&gt;L298,$N304&lt;=M298),$F304,IF(AND($O304&gt;L298,$O304&lt;=M298),$G304,IF(AND($P304&gt;L298,$P304&lt;=M298),$H304,))))</f>
        <v>0</v>
      </c>
      <c r="N305" s="68">
        <f t="shared" si="128"/>
        <v>0</v>
      </c>
      <c r="O305" s="68">
        <f t="shared" si="128"/>
        <v>0</v>
      </c>
      <c r="P305" s="68">
        <f t="shared" si="128"/>
        <v>0</v>
      </c>
      <c r="Q305" s="68">
        <f t="shared" si="128"/>
        <v>0</v>
      </c>
      <c r="R305" s="68">
        <f t="shared" si="128"/>
        <v>0</v>
      </c>
      <c r="S305" s="68">
        <f t="shared" si="128"/>
        <v>0</v>
      </c>
      <c r="T305" s="68">
        <f t="shared" si="128"/>
        <v>0</v>
      </c>
      <c r="U305" s="68">
        <f t="shared" si="128"/>
        <v>0</v>
      </c>
      <c r="V305" s="68">
        <f t="shared" si="128"/>
        <v>0</v>
      </c>
      <c r="W305" s="68">
        <f t="shared" si="128"/>
        <v>0</v>
      </c>
      <c r="X305" s="68">
        <f>SUM(L305:W305)</f>
        <v>0</v>
      </c>
    </row>
    <row r="306" spans="1:39" ht="15" customHeight="1" x14ac:dyDescent="0.2">
      <c r="A306" s="866" t="s">
        <v>206</v>
      </c>
      <c r="B306" s="870" t="s">
        <v>317</v>
      </c>
      <c r="C306" s="95" t="str">
        <f>C299</f>
        <v>Europe</v>
      </c>
      <c r="D306" s="94">
        <f>1-D299</f>
        <v>1</v>
      </c>
      <c r="E306" s="96">
        <f>Calculations!D5-E299</f>
        <v>0</v>
      </c>
      <c r="F306" s="97">
        <f>Calculations!E5-F299</f>
        <v>0</v>
      </c>
      <c r="G306" s="97">
        <f>Calculations!F5-G299</f>
        <v>9</v>
      </c>
      <c r="H306" s="96">
        <f>Calculations!G5-H299</f>
        <v>21</v>
      </c>
      <c r="I306" s="103">
        <f>SUM(E306:H306)</f>
        <v>30</v>
      </c>
    </row>
    <row r="307" spans="1:39" ht="15" customHeight="1" x14ac:dyDescent="0.2">
      <c r="A307" s="867"/>
      <c r="B307" s="605"/>
      <c r="C307" s="385" t="str">
        <f>C300</f>
        <v>Africa</v>
      </c>
      <c r="D307" s="150">
        <f>1-D300</f>
        <v>1</v>
      </c>
      <c r="E307" s="98">
        <f>Calculations!D6-E300</f>
        <v>0</v>
      </c>
      <c r="F307" s="99">
        <f>Calculations!E6-F300</f>
        <v>0</v>
      </c>
      <c r="G307" s="99">
        <f>Calculations!F6-G300</f>
        <v>0</v>
      </c>
      <c r="H307" s="100">
        <f>Calculations!G6-H300</f>
        <v>0</v>
      </c>
      <c r="I307" s="102">
        <f>SUM(E307:H307)</f>
        <v>0</v>
      </c>
    </row>
    <row r="308" spans="1:39" ht="15" customHeight="1" x14ac:dyDescent="0.2">
      <c r="A308" s="868"/>
      <c r="B308" s="605"/>
      <c r="C308" s="385" t="str">
        <f>C301</f>
        <v>Asia</v>
      </c>
      <c r="D308" s="150">
        <f>1-D301</f>
        <v>1</v>
      </c>
      <c r="E308" s="98">
        <f>Calculations!D7-E301</f>
        <v>0</v>
      </c>
      <c r="F308" s="99">
        <f>Calculations!E7-F301</f>
        <v>0</v>
      </c>
      <c r="G308" s="99">
        <f>Calculations!F7-G301</f>
        <v>0</v>
      </c>
      <c r="H308" s="100">
        <f>Calculations!G7-H301</f>
        <v>0</v>
      </c>
      <c r="I308" s="102">
        <f>SUM(E308:H308)</f>
        <v>0</v>
      </c>
    </row>
    <row r="309" spans="1:39" ht="15" customHeight="1" x14ac:dyDescent="0.2">
      <c r="A309" s="868"/>
      <c r="B309" s="688"/>
      <c r="C309" s="688" t="s">
        <v>139</v>
      </c>
      <c r="D309" s="871"/>
      <c r="E309" s="92">
        <f>SUM(E306:E308)</f>
        <v>0</v>
      </c>
      <c r="F309" s="10">
        <f>SUM(F306:F308)</f>
        <v>0</v>
      </c>
      <c r="G309" s="10">
        <f>SUM(G306:G308)</f>
        <v>9</v>
      </c>
      <c r="H309" s="101">
        <f>SUM(H306:H308)</f>
        <v>21</v>
      </c>
      <c r="I309" s="872">
        <f>H310</f>
        <v>30</v>
      </c>
      <c r="L309"/>
      <c r="M309"/>
      <c r="N309"/>
      <c r="O309"/>
      <c r="P309"/>
      <c r="Q309"/>
      <c r="R309"/>
      <c r="S309"/>
      <c r="T309"/>
      <c r="U309"/>
      <c r="V309"/>
      <c r="W309"/>
      <c r="X309"/>
      <c r="Y309"/>
    </row>
    <row r="310" spans="1:39" ht="15" customHeight="1" x14ac:dyDescent="0.2">
      <c r="A310" s="868"/>
      <c r="B310" s="688"/>
      <c r="C310" s="874" t="s">
        <v>331</v>
      </c>
      <c r="D310" s="875"/>
      <c r="E310" s="105">
        <f>E309</f>
        <v>0</v>
      </c>
      <c r="F310" s="15">
        <f>F309+E310</f>
        <v>0</v>
      </c>
      <c r="G310" s="15">
        <f>G309+F310</f>
        <v>9</v>
      </c>
      <c r="H310" s="15">
        <f>H309+G310</f>
        <v>30</v>
      </c>
      <c r="I310" s="873"/>
      <c r="L310"/>
      <c r="M310"/>
      <c r="N310"/>
      <c r="O310"/>
      <c r="P310"/>
      <c r="Q310"/>
      <c r="R310"/>
      <c r="S310"/>
      <c r="T310"/>
      <c r="U310"/>
      <c r="V310"/>
      <c r="W310"/>
      <c r="X310"/>
      <c r="Y310"/>
    </row>
    <row r="311" spans="1:39" ht="15" customHeight="1" x14ac:dyDescent="0.2">
      <c r="A311" s="868"/>
      <c r="B311" s="566" t="s">
        <v>68</v>
      </c>
      <c r="C311" s="688" t="s">
        <v>280</v>
      </c>
      <c r="D311" s="871"/>
      <c r="E311" s="72">
        <f>E309*$D304</f>
        <v>0</v>
      </c>
      <c r="F311" s="66">
        <f>F309*$D304</f>
        <v>0</v>
      </c>
      <c r="G311" s="66">
        <f>G309*$D304</f>
        <v>199800</v>
      </c>
      <c r="H311" s="86">
        <f>H309*$D304</f>
        <v>466200</v>
      </c>
      <c r="I311" s="74">
        <f>SUM(E311:H311)</f>
        <v>666000</v>
      </c>
    </row>
    <row r="312" spans="1:39" ht="15" customHeight="1" x14ac:dyDescent="0.2">
      <c r="A312" s="868"/>
      <c r="B312" s="566"/>
      <c r="C312" s="65" t="s">
        <v>413</v>
      </c>
      <c r="D312" s="87">
        <f>1-Parameters!$B$33</f>
        <v>0.19999999999999996</v>
      </c>
      <c r="E312" s="72">
        <f>E311*$D312</f>
        <v>0</v>
      </c>
      <c r="F312" s="66">
        <f>F311*$D312</f>
        <v>0</v>
      </c>
      <c r="G312" s="66">
        <f>G311*$D312</f>
        <v>39959.999999999993</v>
      </c>
      <c r="H312" s="86">
        <f>H311*$D312</f>
        <v>93239.999999999985</v>
      </c>
      <c r="I312" s="106">
        <f>SUM(E312:H312)</f>
        <v>133199.99999999997</v>
      </c>
      <c r="L312" s="60" t="s">
        <v>196</v>
      </c>
      <c r="M312" s="79">
        <f>P299+$D313</f>
        <v>39447</v>
      </c>
      <c r="N312" s="79">
        <f>Q299+$D313</f>
        <v>39538</v>
      </c>
      <c r="O312" s="79">
        <f>R299+$D313</f>
        <v>39629</v>
      </c>
      <c r="P312" s="79">
        <f>S299+$D313</f>
        <v>39721</v>
      </c>
      <c r="X312" s="69" t="s">
        <v>366</v>
      </c>
    </row>
    <row r="313" spans="1:39" ht="15" customHeight="1" x14ac:dyDescent="0.2">
      <c r="A313" s="868"/>
      <c r="B313" s="566"/>
      <c r="C313" s="5" t="s">
        <v>332</v>
      </c>
      <c r="D313" s="73">
        <f>Parameters!$B$36</f>
        <v>0</v>
      </c>
      <c r="E313" s="72">
        <f>SUM(L313:P313)+L346</f>
        <v>0</v>
      </c>
      <c r="F313" s="66">
        <f>Q313+M346</f>
        <v>0</v>
      </c>
      <c r="G313" s="66">
        <f>R313+N346</f>
        <v>39959.999999999993</v>
      </c>
      <c r="H313" s="66">
        <f>S313+O346</f>
        <v>93239.999999999985</v>
      </c>
      <c r="I313" s="74">
        <f>SUM(E313:H313)</f>
        <v>133199.99999999997</v>
      </c>
      <c r="L313" s="68">
        <f>IF($M312&lt;=L298,$E312,IF($N312&lt;=L298,$F312,IF($O312&lt;=L298,$G312,IF($P312&lt;=L298,$H312,))))</f>
        <v>0</v>
      </c>
      <c r="M313" s="68">
        <f t="shared" ref="M313:W313" si="129">IF(AND($M312&gt;L298,$M312&lt;=M298),$E312,IF(AND($N312&gt;L298,$N312&lt;=M298),$F312,IF(AND($O312&gt;L298,$O312&lt;=M298),$G312,IF(AND($P312&gt;L298,$P312&lt;=M298),$H312,))))</f>
        <v>0</v>
      </c>
      <c r="N313" s="68">
        <f t="shared" si="129"/>
        <v>0</v>
      </c>
      <c r="O313" s="68">
        <f t="shared" si="129"/>
        <v>0</v>
      </c>
      <c r="P313" s="68">
        <f t="shared" si="129"/>
        <v>0</v>
      </c>
      <c r="Q313" s="68">
        <f t="shared" si="129"/>
        <v>0</v>
      </c>
      <c r="R313" s="68">
        <f t="shared" si="129"/>
        <v>39959.999999999993</v>
      </c>
      <c r="S313" s="68">
        <f t="shared" si="129"/>
        <v>93239.999999999985</v>
      </c>
      <c r="T313" s="68">
        <f t="shared" si="129"/>
        <v>0</v>
      </c>
      <c r="U313" s="68">
        <f t="shared" si="129"/>
        <v>0</v>
      </c>
      <c r="V313" s="68">
        <f t="shared" si="129"/>
        <v>0</v>
      </c>
      <c r="W313" s="68">
        <f t="shared" si="129"/>
        <v>0</v>
      </c>
      <c r="X313" s="68">
        <f>SUM(L313:W313)</f>
        <v>133199.99999999997</v>
      </c>
    </row>
    <row r="314" spans="1:39" ht="15" customHeight="1" x14ac:dyDescent="0.2">
      <c r="A314" s="868"/>
      <c r="B314" s="566"/>
      <c r="C314" s="65" t="s">
        <v>391</v>
      </c>
      <c r="D314" s="87">
        <f>Parameters!$B$33</f>
        <v>0.8</v>
      </c>
      <c r="E314" s="72">
        <f>E311*$D314</f>
        <v>0</v>
      </c>
      <c r="F314" s="72">
        <f>F311*$D314</f>
        <v>0</v>
      </c>
      <c r="G314" s="72">
        <f>G311*$D314</f>
        <v>159840</v>
      </c>
      <c r="H314" s="72">
        <f>H311*$D314</f>
        <v>372960</v>
      </c>
      <c r="I314" s="74">
        <f>SUM(E314:H314)</f>
        <v>532800</v>
      </c>
    </row>
    <row r="315" spans="1:39" ht="15" customHeight="1" x14ac:dyDescent="0.2">
      <c r="A315" s="868"/>
      <c r="B315" s="566"/>
      <c r="C315" s="874" t="s">
        <v>331</v>
      </c>
      <c r="D315" s="875"/>
      <c r="E315" s="81">
        <f>E314</f>
        <v>0</v>
      </c>
      <c r="F315" s="81">
        <f>E315+F314</f>
        <v>0</v>
      </c>
      <c r="G315" s="81">
        <f>F315+G314</f>
        <v>159840</v>
      </c>
      <c r="H315" s="81">
        <f>G315+H314</f>
        <v>532800</v>
      </c>
      <c r="I315" s="78">
        <f>H315</f>
        <v>532800</v>
      </c>
    </row>
    <row r="316" spans="1:39" ht="15" customHeight="1" x14ac:dyDescent="0.2">
      <c r="A316" s="868"/>
      <c r="B316" s="566"/>
      <c r="C316" s="537" t="s">
        <v>390</v>
      </c>
      <c r="D316" s="907"/>
      <c r="E316" s="107">
        <f>L327</f>
        <v>0</v>
      </c>
      <c r="F316" s="107">
        <f>M327</f>
        <v>0</v>
      </c>
      <c r="G316" s="107">
        <f>N327</f>
        <v>7132.122612935329</v>
      </c>
      <c r="H316" s="107">
        <f>O327</f>
        <v>30905.864656053091</v>
      </c>
      <c r="I316" s="74">
        <f>SUM(E316:H316)</f>
        <v>38037.987268988421</v>
      </c>
      <c r="L316" s="60" t="s">
        <v>196</v>
      </c>
      <c r="M316" s="79">
        <f>P299+$D317</f>
        <v>39477</v>
      </c>
      <c r="N316" s="79">
        <f>Q299+$D317</f>
        <v>39568</v>
      </c>
      <c r="O316" s="79">
        <f>R299+$D317</f>
        <v>39659</v>
      </c>
      <c r="P316" s="79">
        <f>S299+$D317</f>
        <v>39751</v>
      </c>
      <c r="X316" s="69" t="s">
        <v>366</v>
      </c>
    </row>
    <row r="317" spans="1:39" ht="15" customHeight="1" x14ac:dyDescent="0.2">
      <c r="A317" s="868"/>
      <c r="B317" s="906"/>
      <c r="C317" s="75" t="s">
        <v>332</v>
      </c>
      <c r="D317" s="76">
        <f>Parameters!$B$37</f>
        <v>30</v>
      </c>
      <c r="E317" s="112">
        <f>SUM(L317:P317)</f>
        <v>0</v>
      </c>
      <c r="F317" s="71">
        <f>Q317</f>
        <v>0</v>
      </c>
      <c r="G317" s="71">
        <f>R317</f>
        <v>7132.122612935329</v>
      </c>
      <c r="H317" s="71">
        <f>S317</f>
        <v>30905.864656053091</v>
      </c>
      <c r="I317" s="77">
        <f>SUM(E317:H317)</f>
        <v>38037.987268988421</v>
      </c>
      <c r="L317" s="68">
        <f>IF($M316&lt;=L298,$E316,IF($N316&lt;=L298,$F316,IF($O316&lt;=L298,$G316,IF($P316&lt;=L298,$H316,))))</f>
        <v>0</v>
      </c>
      <c r="M317" s="68">
        <f t="shared" ref="M317:W317" si="130">IF(AND($M316&gt;L298,$M316&lt;=M298),$E316,IF(AND($N316&gt;L298,$N316&lt;=M298),$F316,IF(AND($O316&gt;L298,$O316&lt;=M298),$G316,IF(AND($P316&gt;L298,$P316&lt;=M298),$H316,))))</f>
        <v>0</v>
      </c>
      <c r="N317" s="68">
        <f t="shared" si="130"/>
        <v>0</v>
      </c>
      <c r="O317" s="68">
        <f t="shared" si="130"/>
        <v>0</v>
      </c>
      <c r="P317" s="68">
        <f t="shared" si="130"/>
        <v>0</v>
      </c>
      <c r="Q317" s="68">
        <f t="shared" si="130"/>
        <v>0</v>
      </c>
      <c r="R317" s="68">
        <f t="shared" si="130"/>
        <v>7132.122612935329</v>
      </c>
      <c r="S317" s="68">
        <f t="shared" si="130"/>
        <v>30905.864656053091</v>
      </c>
      <c r="T317" s="68">
        <f t="shared" si="130"/>
        <v>0</v>
      </c>
      <c r="U317" s="68">
        <f t="shared" si="130"/>
        <v>0</v>
      </c>
      <c r="V317" s="68">
        <f t="shared" si="130"/>
        <v>0</v>
      </c>
      <c r="W317" s="68">
        <f t="shared" si="130"/>
        <v>0</v>
      </c>
      <c r="X317" s="68">
        <f>SUM(L317:W317)</f>
        <v>38037.987268988421</v>
      </c>
    </row>
    <row r="318" spans="1:39" ht="15" customHeight="1" x14ac:dyDescent="0.2">
      <c r="A318" s="868"/>
      <c r="B318" s="897" t="s">
        <v>410</v>
      </c>
      <c r="C318" s="898"/>
      <c r="D318" s="898"/>
      <c r="E318" s="898"/>
      <c r="F318" s="898"/>
      <c r="G318" s="898"/>
      <c r="H318" s="898"/>
      <c r="I318" s="899"/>
      <c r="L318" s="67">
        <f t="shared" ref="L318:AM318" si="131">P298</f>
        <v>39537</v>
      </c>
      <c r="M318" s="67">
        <f t="shared" si="131"/>
        <v>39628</v>
      </c>
      <c r="N318" s="67">
        <f t="shared" si="131"/>
        <v>39720</v>
      </c>
      <c r="O318" s="67">
        <f t="shared" si="131"/>
        <v>39812</v>
      </c>
      <c r="P318" s="67">
        <f t="shared" si="131"/>
        <v>39902</v>
      </c>
      <c r="Q318" s="67">
        <f t="shared" si="131"/>
        <v>39993</v>
      </c>
      <c r="R318" s="67">
        <f t="shared" si="131"/>
        <v>40085</v>
      </c>
      <c r="S318" s="67">
        <f t="shared" si="131"/>
        <v>40177</v>
      </c>
      <c r="T318" s="67">
        <f t="shared" si="131"/>
        <v>40267</v>
      </c>
      <c r="U318" s="67">
        <f t="shared" si="131"/>
        <v>40358</v>
      </c>
      <c r="V318" s="67">
        <f t="shared" si="131"/>
        <v>40450</v>
      </c>
      <c r="W318" s="67">
        <f t="shared" si="131"/>
        <v>40542</v>
      </c>
      <c r="X318" s="67">
        <f t="shared" si="131"/>
        <v>40632</v>
      </c>
      <c r="Y318" s="67">
        <f t="shared" si="131"/>
        <v>40723</v>
      </c>
      <c r="Z318" s="67">
        <f t="shared" si="131"/>
        <v>40815</v>
      </c>
      <c r="AA318" s="67">
        <f t="shared" si="131"/>
        <v>40907</v>
      </c>
      <c r="AB318" s="67">
        <f t="shared" si="131"/>
        <v>40998</v>
      </c>
      <c r="AC318" s="67">
        <f t="shared" si="131"/>
        <v>41089</v>
      </c>
      <c r="AD318" s="67">
        <f t="shared" si="131"/>
        <v>41181</v>
      </c>
      <c r="AE318" s="67">
        <f t="shared" si="131"/>
        <v>41273</v>
      </c>
      <c r="AF318" s="67">
        <f t="shared" si="131"/>
        <v>41363</v>
      </c>
      <c r="AG318" s="67">
        <f t="shared" si="131"/>
        <v>41454</v>
      </c>
      <c r="AH318" s="67">
        <f t="shared" si="131"/>
        <v>41546</v>
      </c>
      <c r="AI318" s="67">
        <f t="shared" si="131"/>
        <v>41638</v>
      </c>
      <c r="AJ318" s="67">
        <f t="shared" si="131"/>
        <v>41728</v>
      </c>
      <c r="AK318" s="67">
        <f t="shared" si="131"/>
        <v>41819</v>
      </c>
      <c r="AL318" s="67">
        <f t="shared" si="131"/>
        <v>41911</v>
      </c>
      <c r="AM318" s="67">
        <f t="shared" si="131"/>
        <v>42003</v>
      </c>
    </row>
    <row r="319" spans="1:39" ht="15" customHeight="1" x14ac:dyDescent="0.2">
      <c r="A319" s="868"/>
      <c r="B319" s="900"/>
      <c r="C319" s="901"/>
      <c r="D319" s="901"/>
      <c r="E319" s="901"/>
      <c r="F319" s="901"/>
      <c r="G319" s="901"/>
      <c r="H319" s="901"/>
      <c r="I319" s="902"/>
      <c r="K319" s="110">
        <f>(-PMT(Parameters!$B$31/12,Parameters!$B$32,$E314))*Parameters!$B$32</f>
        <v>0</v>
      </c>
      <c r="L319" s="108">
        <f>(-PMT(Parameters!$B$31/12,Parameters!$B$32,$E314))*Parameters!$K$32</f>
        <v>0</v>
      </c>
      <c r="M319" s="108">
        <f>MIN(((-PMT(Parameters!$B$31/12,Parameters!$B$32,$E314))*3),L320)</f>
        <v>0</v>
      </c>
      <c r="N319" s="108">
        <f>MIN(((-PMT(Parameters!$B$31/12,Parameters!$B$32,$E314))*3),M320)</f>
        <v>0</v>
      </c>
      <c r="O319" s="108">
        <f>MIN(((-PMT(Parameters!$B$31/12,Parameters!$B$32,$E314))*3),N320)</f>
        <v>0</v>
      </c>
      <c r="P319" s="108">
        <f>MIN(((-PMT(Parameters!$B$31/12,Parameters!$B$32,$E314))*3),O320)</f>
        <v>0</v>
      </c>
      <c r="Q319" s="108">
        <f>MIN(((-PMT(Parameters!$B$31/12,Parameters!$B$32,$E314))*3),P320)</f>
        <v>0</v>
      </c>
      <c r="R319" s="108">
        <f>MIN(((-PMT(Parameters!$B$31/12,Parameters!$B$32,$E314))*3),Q320)</f>
        <v>0</v>
      </c>
      <c r="S319" s="108">
        <f>MIN(((-PMT(Parameters!$B$31/12,Parameters!$B$32,$E314))*3),R320)</f>
        <v>0</v>
      </c>
      <c r="T319" s="108">
        <f>MIN(((-PMT(Parameters!$B$31/12,Parameters!$B$32,$E314))*3),S320)</f>
        <v>0</v>
      </c>
      <c r="U319" s="108">
        <f>MIN(((-PMT(Parameters!$B$31/12,Parameters!$B$32,$E314))*3),T320)</f>
        <v>0</v>
      </c>
      <c r="V319" s="108">
        <f>MIN(((-PMT(Parameters!$B$31/12,Parameters!$B$32,$E314))*3),U320)</f>
        <v>0</v>
      </c>
      <c r="W319" s="108">
        <f>MIN(((-PMT(Parameters!$B$31/12,Parameters!$B$32,$E314))*3),V320)</f>
        <v>0</v>
      </c>
      <c r="X319" s="108">
        <f>MIN(((-PMT(Parameters!$B$31/12,Parameters!$B$32,$E314))*3),W320)</f>
        <v>0</v>
      </c>
      <c r="Y319" s="108">
        <f>MIN(((-PMT(Parameters!$B$31/12,Parameters!$B$32,$E314))*3),X320)</f>
        <v>0</v>
      </c>
      <c r="Z319" s="108">
        <f>MIN(((-PMT(Parameters!$B$31/12,Parameters!$B$32,$E314))*3),Y320)</f>
        <v>0</v>
      </c>
      <c r="AA319" s="108">
        <f>MIN(((-PMT(Parameters!$B$31/12,Parameters!$B$32,$E314))*3),Z320)</f>
        <v>0</v>
      </c>
      <c r="AB319" s="108">
        <f>MIN(((-PMT(Parameters!$B$31/12,Parameters!$B$32,$E314))*3),AA320)</f>
        <v>0</v>
      </c>
      <c r="AC319" s="108">
        <f>MIN(((-PMT(Parameters!$B$31/12,Parameters!$B$32,$E314))*3),AB320)</f>
        <v>0</v>
      </c>
      <c r="AD319" s="108">
        <f>MIN(((-PMT(Parameters!$B$31/12,Parameters!$B$32,$E314))*3),AC320)</f>
        <v>0</v>
      </c>
      <c r="AE319" s="108">
        <f>MIN(((-PMT(Parameters!$B$31/12,Parameters!$B$32,$E314))*3),AD320)</f>
        <v>0</v>
      </c>
      <c r="AF319" s="108">
        <f>MIN(((-PMT(Parameters!$B$31/12,Parameters!$B$32,$E314))*3),AE320)</f>
        <v>0</v>
      </c>
      <c r="AG319" s="108">
        <f>MIN(((-PMT(Parameters!$B$31/12,Parameters!$B$32,$E314))*3),AF320)</f>
        <v>0</v>
      </c>
      <c r="AH319" s="108">
        <f>MIN(((-PMT(Parameters!$B$31/12,Parameters!$B$32,$E314))*3),AG320)</f>
        <v>0</v>
      </c>
      <c r="AI319" s="108">
        <f>MIN(((-PMT(Parameters!$B$31/12,Parameters!$B$32,$E314))*3),AH320)</f>
        <v>0</v>
      </c>
      <c r="AJ319" s="108">
        <f>MIN(((-PMT(Parameters!$B$31/12,Parameters!$B$32,$E314))*3),AI320)</f>
        <v>0</v>
      </c>
      <c r="AK319" s="108">
        <f>MIN(((-PMT(Parameters!$B$31/12,Parameters!$B$32,$E314))*3),AJ320)</f>
        <v>0</v>
      </c>
      <c r="AL319" s="108">
        <f>MIN(((-PMT(Parameters!$B$31/12,Parameters!$B$32,$E314))*3),AK320)</f>
        <v>0</v>
      </c>
      <c r="AM319" s="108">
        <f>MIN(((-PMT(Parameters!$B$31/12,Parameters!$B$32,$E314))*3),AL320)</f>
        <v>0</v>
      </c>
    </row>
    <row r="320" spans="1:39" ht="15" customHeight="1" x14ac:dyDescent="0.2">
      <c r="A320" s="868"/>
      <c r="B320" s="900"/>
      <c r="C320" s="901"/>
      <c r="D320" s="901"/>
      <c r="E320" s="901"/>
      <c r="F320" s="901"/>
      <c r="G320" s="901"/>
      <c r="H320" s="901"/>
      <c r="I320" s="902"/>
      <c r="L320" s="109">
        <f>K319-L319</f>
        <v>0</v>
      </c>
      <c r="M320" s="109">
        <f t="shared" ref="M320:AM320" si="132">L320-M319</f>
        <v>0</v>
      </c>
      <c r="N320" s="109">
        <f t="shared" si="132"/>
        <v>0</v>
      </c>
      <c r="O320" s="109">
        <f t="shared" si="132"/>
        <v>0</v>
      </c>
      <c r="P320" s="109">
        <f t="shared" si="132"/>
        <v>0</v>
      </c>
      <c r="Q320" s="109">
        <f t="shared" si="132"/>
        <v>0</v>
      </c>
      <c r="R320" s="109">
        <f t="shared" si="132"/>
        <v>0</v>
      </c>
      <c r="S320" s="109">
        <f t="shared" si="132"/>
        <v>0</v>
      </c>
      <c r="T320" s="109">
        <f t="shared" si="132"/>
        <v>0</v>
      </c>
      <c r="U320" s="109">
        <f t="shared" si="132"/>
        <v>0</v>
      </c>
      <c r="V320" s="109">
        <f t="shared" si="132"/>
        <v>0</v>
      </c>
      <c r="W320" s="109">
        <f t="shared" si="132"/>
        <v>0</v>
      </c>
      <c r="X320" s="109">
        <f t="shared" si="132"/>
        <v>0</v>
      </c>
      <c r="Y320" s="109">
        <f t="shared" si="132"/>
        <v>0</v>
      </c>
      <c r="Z320" s="109">
        <f t="shared" si="132"/>
        <v>0</v>
      </c>
      <c r="AA320" s="109">
        <f t="shared" si="132"/>
        <v>0</v>
      </c>
      <c r="AB320" s="109">
        <f t="shared" si="132"/>
        <v>0</v>
      </c>
      <c r="AC320" s="109">
        <f t="shared" si="132"/>
        <v>0</v>
      </c>
      <c r="AD320" s="109">
        <f t="shared" si="132"/>
        <v>0</v>
      </c>
      <c r="AE320" s="109">
        <f t="shared" si="132"/>
        <v>0</v>
      </c>
      <c r="AF320" s="109">
        <f t="shared" si="132"/>
        <v>0</v>
      </c>
      <c r="AG320" s="109">
        <f t="shared" si="132"/>
        <v>0</v>
      </c>
      <c r="AH320" s="109">
        <f t="shared" si="132"/>
        <v>0</v>
      </c>
      <c r="AI320" s="109">
        <f t="shared" si="132"/>
        <v>0</v>
      </c>
      <c r="AJ320" s="109">
        <f t="shared" si="132"/>
        <v>0</v>
      </c>
      <c r="AK320" s="109">
        <f t="shared" si="132"/>
        <v>0</v>
      </c>
      <c r="AL320" s="109">
        <f t="shared" si="132"/>
        <v>0</v>
      </c>
      <c r="AM320" s="109">
        <f t="shared" si="132"/>
        <v>0</v>
      </c>
    </row>
    <row r="321" spans="1:45" ht="15" customHeight="1" x14ac:dyDescent="0.2">
      <c r="A321" s="868"/>
      <c r="B321" s="900"/>
      <c r="C321" s="901"/>
      <c r="D321" s="901"/>
      <c r="E321" s="901"/>
      <c r="F321" s="901"/>
      <c r="G321" s="901"/>
      <c r="H321" s="901"/>
      <c r="I321" s="902"/>
      <c r="K321" s="110">
        <f>(-PMT(Parameters!$B$31/12,Parameters!$B$32,$F314))*Parameters!$B$32</f>
        <v>0</v>
      </c>
      <c r="L321" s="111"/>
      <c r="M321" s="108">
        <f>(-PMT(Parameters!$B$31/12,Parameters!$B$32,$F314))*Parameters!$K$32</f>
        <v>0</v>
      </c>
      <c r="N321" s="108">
        <f>MIN(((-PMT(Parameters!$B$31/12,Parameters!$B$32,$F314))*3),M322)</f>
        <v>0</v>
      </c>
      <c r="O321" s="108">
        <f>MIN(((-PMT(Parameters!$B$31/12,Parameters!$B$32,$F314))*3),N322)</f>
        <v>0</v>
      </c>
      <c r="P321" s="108">
        <f>MIN(((-PMT(Parameters!$B$31/12,Parameters!$B$32,$F314))*3),O322)</f>
        <v>0</v>
      </c>
      <c r="Q321" s="108">
        <f>MIN(((-PMT(Parameters!$B$31/12,Parameters!$B$32,$F314))*3),P322)</f>
        <v>0</v>
      </c>
      <c r="R321" s="108">
        <f>MIN(((-PMT(Parameters!$B$31/12,Parameters!$B$32,$F314))*3),Q322)</f>
        <v>0</v>
      </c>
      <c r="S321" s="108">
        <f>MIN(((-PMT(Parameters!$B$31/12,Parameters!$B$32,$F314))*3),R322)</f>
        <v>0</v>
      </c>
      <c r="T321" s="108">
        <f>MIN(((-PMT(Parameters!$B$31/12,Parameters!$B$32,$F314))*3),S322)</f>
        <v>0</v>
      </c>
      <c r="U321" s="108">
        <f>MIN(((-PMT(Parameters!$B$31/12,Parameters!$B$32,$F314))*3),T322)</f>
        <v>0</v>
      </c>
      <c r="V321" s="108">
        <f>MIN(((-PMT(Parameters!$B$31/12,Parameters!$B$32,$F314))*3),U322)</f>
        <v>0</v>
      </c>
      <c r="W321" s="108">
        <f>MIN(((-PMT(Parameters!$B$31/12,Parameters!$B$32,$F314))*3),V322)</f>
        <v>0</v>
      </c>
      <c r="X321" s="108">
        <f>MIN(((-PMT(Parameters!$B$31/12,Parameters!$B$32,$F314))*3),W322)</f>
        <v>0</v>
      </c>
      <c r="Y321" s="108">
        <f>MIN(((-PMT(Parameters!$B$31/12,Parameters!$B$32,$F314))*3),X322)</f>
        <v>0</v>
      </c>
      <c r="Z321" s="108">
        <f>MIN(((-PMT(Parameters!$B$31/12,Parameters!$B$32,$F314))*3),Y322)</f>
        <v>0</v>
      </c>
      <c r="AA321" s="108">
        <f>MIN(((-PMT(Parameters!$B$31/12,Parameters!$B$32,$F314))*3),Z322)</f>
        <v>0</v>
      </c>
      <c r="AB321" s="108">
        <f>MIN(((-PMT(Parameters!$B$31/12,Parameters!$B$32,$F314))*3),AA322)</f>
        <v>0</v>
      </c>
      <c r="AC321" s="108">
        <f>MIN(((-PMT(Parameters!$B$31/12,Parameters!$B$32,$F314))*3),AB322)</f>
        <v>0</v>
      </c>
      <c r="AD321" s="108">
        <f>MIN(((-PMT(Parameters!$B$31/12,Parameters!$B$32,$F314))*3),AC322)</f>
        <v>0</v>
      </c>
      <c r="AE321" s="108">
        <f>MIN(((-PMT(Parameters!$B$31/12,Parameters!$B$32,$F314))*3),AD322)</f>
        <v>0</v>
      </c>
      <c r="AF321" s="108">
        <f>MIN(((-PMT(Parameters!$B$31/12,Parameters!$B$32,$F314))*3),AE322)</f>
        <v>0</v>
      </c>
      <c r="AG321" s="108">
        <f>MIN(((-PMT(Parameters!$B$31/12,Parameters!$B$32,$F314))*3),AF322)</f>
        <v>0</v>
      </c>
      <c r="AH321" s="108">
        <f>MIN(((-PMT(Parameters!$B$31/12,Parameters!$B$32,$F314))*3),AG322)</f>
        <v>0</v>
      </c>
      <c r="AI321" s="108">
        <f>MIN(((-PMT(Parameters!$B$31/12,Parameters!$B$32,$F314))*3),AH322)</f>
        <v>0</v>
      </c>
      <c r="AJ321" s="108">
        <f>MIN(((-PMT(Parameters!$B$31/12,Parameters!$B$32,$F314))*3),AI322)</f>
        <v>0</v>
      </c>
      <c r="AK321" s="108">
        <f>MIN(((-PMT(Parameters!$B$31/12,Parameters!$B$32,$F314))*3),AJ322)</f>
        <v>0</v>
      </c>
      <c r="AL321" s="108">
        <f>MIN(((-PMT(Parameters!$B$31/12,Parameters!$B$32,$F314))*3),AK322)</f>
        <v>0</v>
      </c>
      <c r="AM321" s="108">
        <f>MIN(((-PMT(Parameters!$B$31/12,Parameters!$B$32,$F314))*3),AL322)</f>
        <v>0</v>
      </c>
    </row>
    <row r="322" spans="1:45" ht="15" customHeight="1" x14ac:dyDescent="0.2">
      <c r="A322" s="868"/>
      <c r="B322" s="900"/>
      <c r="C322" s="901"/>
      <c r="D322" s="901"/>
      <c r="E322" s="901"/>
      <c r="F322" s="901"/>
      <c r="G322" s="901"/>
      <c r="H322" s="901"/>
      <c r="I322" s="902"/>
      <c r="L322" s="109">
        <f>K321</f>
        <v>0</v>
      </c>
      <c r="M322" s="109">
        <f t="shared" ref="M322:AM322" si="133">L322-M321</f>
        <v>0</v>
      </c>
      <c r="N322" s="109">
        <f t="shared" si="133"/>
        <v>0</v>
      </c>
      <c r="O322" s="109">
        <f t="shared" si="133"/>
        <v>0</v>
      </c>
      <c r="P322" s="109">
        <f t="shared" si="133"/>
        <v>0</v>
      </c>
      <c r="Q322" s="109">
        <f t="shared" si="133"/>
        <v>0</v>
      </c>
      <c r="R322" s="109">
        <f t="shared" si="133"/>
        <v>0</v>
      </c>
      <c r="S322" s="109">
        <f t="shared" si="133"/>
        <v>0</v>
      </c>
      <c r="T322" s="109">
        <f t="shared" si="133"/>
        <v>0</v>
      </c>
      <c r="U322" s="109">
        <f t="shared" si="133"/>
        <v>0</v>
      </c>
      <c r="V322" s="109">
        <f t="shared" si="133"/>
        <v>0</v>
      </c>
      <c r="W322" s="109">
        <f t="shared" si="133"/>
        <v>0</v>
      </c>
      <c r="X322" s="109">
        <f t="shared" si="133"/>
        <v>0</v>
      </c>
      <c r="Y322" s="109">
        <f t="shared" si="133"/>
        <v>0</v>
      </c>
      <c r="Z322" s="109">
        <f t="shared" si="133"/>
        <v>0</v>
      </c>
      <c r="AA322" s="109">
        <f t="shared" si="133"/>
        <v>0</v>
      </c>
      <c r="AB322" s="109">
        <f t="shared" si="133"/>
        <v>0</v>
      </c>
      <c r="AC322" s="109">
        <f t="shared" si="133"/>
        <v>0</v>
      </c>
      <c r="AD322" s="109">
        <f t="shared" si="133"/>
        <v>0</v>
      </c>
      <c r="AE322" s="109">
        <f t="shared" si="133"/>
        <v>0</v>
      </c>
      <c r="AF322" s="109">
        <f t="shared" si="133"/>
        <v>0</v>
      </c>
      <c r="AG322" s="109">
        <f t="shared" si="133"/>
        <v>0</v>
      </c>
      <c r="AH322" s="109">
        <f t="shared" si="133"/>
        <v>0</v>
      </c>
      <c r="AI322" s="109">
        <f t="shared" si="133"/>
        <v>0</v>
      </c>
      <c r="AJ322" s="109">
        <f t="shared" si="133"/>
        <v>0</v>
      </c>
      <c r="AK322" s="109">
        <f t="shared" si="133"/>
        <v>0</v>
      </c>
      <c r="AL322" s="109">
        <f t="shared" si="133"/>
        <v>0</v>
      </c>
      <c r="AM322" s="109">
        <f t="shared" si="133"/>
        <v>0</v>
      </c>
    </row>
    <row r="323" spans="1:45" ht="15" customHeight="1" x14ac:dyDescent="0.2">
      <c r="A323" s="868"/>
      <c r="B323" s="900"/>
      <c r="C323" s="901"/>
      <c r="D323" s="901"/>
      <c r="E323" s="901"/>
      <c r="F323" s="901"/>
      <c r="G323" s="901"/>
      <c r="H323" s="901"/>
      <c r="I323" s="902"/>
      <c r="K323" s="110">
        <f>(-PMT(Parameters!$B$31/12,Parameters!$B$32,$G314))*Parameters!$B$32</f>
        <v>171170.94271044788</v>
      </c>
      <c r="L323" s="111"/>
      <c r="M323" s="111"/>
      <c r="N323" s="108">
        <f>(-PMT(Parameters!$B$31/12,Parameters!$B$32,$G314))*Parameters!$K$32</f>
        <v>7132.122612935329</v>
      </c>
      <c r="O323" s="108">
        <f>MIN(((-PMT(Parameters!$B$31/12,Parameters!$B$32,$G314))*3),N324)</f>
        <v>14264.245225870658</v>
      </c>
      <c r="P323" s="108">
        <f>MIN(((-PMT(Parameters!$B$31/12,Parameters!$B$32,$G314))*3),O324)</f>
        <v>14264.245225870658</v>
      </c>
      <c r="Q323" s="108">
        <f>MIN(((-PMT(Parameters!$B$31/12,Parameters!$B$32,$G314))*3),P324)</f>
        <v>14264.245225870658</v>
      </c>
      <c r="R323" s="108">
        <f>MIN(((-PMT(Parameters!$B$31/12,Parameters!$B$32,$G314))*3),Q324)</f>
        <v>14264.245225870658</v>
      </c>
      <c r="S323" s="108">
        <f>MIN(((-PMT(Parameters!$B$31/12,Parameters!$B$32,$G314))*3),R324)</f>
        <v>14264.245225870658</v>
      </c>
      <c r="T323" s="108">
        <f>MIN(((-PMT(Parameters!$B$31/12,Parameters!$B$32,$G314))*3),S324)</f>
        <v>14264.245225870658</v>
      </c>
      <c r="U323" s="108">
        <f>MIN(((-PMT(Parameters!$B$31/12,Parameters!$B$32,$G314))*3),T324)</f>
        <v>14264.245225870658</v>
      </c>
      <c r="V323" s="108">
        <f>MIN(((-PMT(Parameters!$B$31/12,Parameters!$B$32,$G314))*3),U324)</f>
        <v>14264.245225870658</v>
      </c>
      <c r="W323" s="108">
        <f>MIN(((-PMT(Parameters!$B$31/12,Parameters!$B$32,$G314))*3),V324)</f>
        <v>14264.245225870658</v>
      </c>
      <c r="X323" s="108">
        <f>MIN(((-PMT(Parameters!$B$31/12,Parameters!$B$32,$G314))*3),W324)</f>
        <v>14264.245225870658</v>
      </c>
      <c r="Y323" s="108">
        <f>MIN(((-PMT(Parameters!$B$31/12,Parameters!$B$32,$G314))*3),X324)</f>
        <v>14264.245225870658</v>
      </c>
      <c r="Z323" s="108">
        <f>MIN(((-PMT(Parameters!$B$31/12,Parameters!$B$32,$G314))*3),Y324)</f>
        <v>7132.1226129352945</v>
      </c>
      <c r="AA323" s="108">
        <f>MIN(((-PMT(Parameters!$B$31/12,Parameters!$B$32,$G314))*3),Z324)</f>
        <v>0</v>
      </c>
      <c r="AB323" s="108">
        <f>MIN(((-PMT(Parameters!$B$31/12,Parameters!$B$32,$G314))*3),AA324)</f>
        <v>0</v>
      </c>
      <c r="AC323" s="108">
        <f>MIN(((-PMT(Parameters!$B$31/12,Parameters!$B$32,$G314))*3),AB324)</f>
        <v>0</v>
      </c>
      <c r="AD323" s="108">
        <f>MIN(((-PMT(Parameters!$B$31/12,Parameters!$B$32,$G314))*3),AC324)</f>
        <v>0</v>
      </c>
      <c r="AE323" s="108">
        <f>MIN(((-PMT(Parameters!$B$31/12,Parameters!$B$32,$G314))*3),AD324)</f>
        <v>0</v>
      </c>
      <c r="AF323" s="108">
        <f>MIN(((-PMT(Parameters!$B$31/12,Parameters!$B$32,$G314))*3),AE324)</f>
        <v>0</v>
      </c>
      <c r="AG323" s="108">
        <f>MIN(((-PMT(Parameters!$B$31/12,Parameters!$B$32,$G314))*3),AF324)</f>
        <v>0</v>
      </c>
      <c r="AH323" s="108">
        <f>MIN(((-PMT(Parameters!$B$31/12,Parameters!$B$32,$G314))*3),AG324)</f>
        <v>0</v>
      </c>
      <c r="AI323" s="108">
        <f>MIN(((-PMT(Parameters!$B$31/12,Parameters!$B$32,$G314))*3),AH324)</f>
        <v>0</v>
      </c>
      <c r="AJ323" s="108">
        <f>MIN(((-PMT(Parameters!$B$31/12,Parameters!$B$32,$G314))*3),AI324)</f>
        <v>0</v>
      </c>
      <c r="AK323" s="108">
        <f>MIN(((-PMT(Parameters!$B$31/12,Parameters!$B$32,$G314))*3),AJ324)</f>
        <v>0</v>
      </c>
      <c r="AL323" s="108">
        <f>MIN(((-PMT(Parameters!$B$31/12,Parameters!$B$32,$G314))*3),AK324)</f>
        <v>0</v>
      </c>
      <c r="AM323" s="108">
        <f>MIN(((-PMT(Parameters!$B$31/12,Parameters!$B$32,$G314))*3),AL324)</f>
        <v>0</v>
      </c>
    </row>
    <row r="324" spans="1:45" ht="15" customHeight="1" x14ac:dyDescent="0.2">
      <c r="A324" s="868"/>
      <c r="B324" s="900"/>
      <c r="C324" s="901"/>
      <c r="D324" s="901"/>
      <c r="E324" s="901"/>
      <c r="F324" s="901"/>
      <c r="G324" s="901"/>
      <c r="H324" s="901"/>
      <c r="I324" s="902"/>
      <c r="L324" s="109">
        <f>K323</f>
        <v>171170.94271044788</v>
      </c>
      <c r="M324" s="109">
        <f>L324</f>
        <v>171170.94271044788</v>
      </c>
      <c r="N324" s="109">
        <f t="shared" ref="N324:AM324" si="134">M324-N323</f>
        <v>164038.82009751257</v>
      </c>
      <c r="O324" s="109">
        <f t="shared" si="134"/>
        <v>149774.5748716419</v>
      </c>
      <c r="P324" s="109">
        <f t="shared" si="134"/>
        <v>135510.32964577124</v>
      </c>
      <c r="Q324" s="109">
        <f t="shared" si="134"/>
        <v>121246.08441990058</v>
      </c>
      <c r="R324" s="109">
        <f t="shared" si="134"/>
        <v>106981.83919402992</v>
      </c>
      <c r="S324" s="109">
        <f t="shared" si="134"/>
        <v>92717.593968159257</v>
      </c>
      <c r="T324" s="109">
        <f t="shared" si="134"/>
        <v>78453.348742288596</v>
      </c>
      <c r="U324" s="109">
        <f t="shared" si="134"/>
        <v>64189.103516417934</v>
      </c>
      <c r="V324" s="109">
        <f t="shared" si="134"/>
        <v>49924.858290547272</v>
      </c>
      <c r="W324" s="109">
        <f t="shared" si="134"/>
        <v>35660.613064676611</v>
      </c>
      <c r="X324" s="109">
        <f t="shared" si="134"/>
        <v>21396.367838805952</v>
      </c>
      <c r="Y324" s="109">
        <f t="shared" si="134"/>
        <v>7132.1226129352945</v>
      </c>
      <c r="Z324" s="109">
        <f t="shared" si="134"/>
        <v>0</v>
      </c>
      <c r="AA324" s="109">
        <f t="shared" si="134"/>
        <v>0</v>
      </c>
      <c r="AB324" s="109">
        <f t="shared" si="134"/>
        <v>0</v>
      </c>
      <c r="AC324" s="109">
        <f t="shared" si="134"/>
        <v>0</v>
      </c>
      <c r="AD324" s="109">
        <f t="shared" si="134"/>
        <v>0</v>
      </c>
      <c r="AE324" s="109">
        <f t="shared" si="134"/>
        <v>0</v>
      </c>
      <c r="AF324" s="109">
        <f t="shared" si="134"/>
        <v>0</v>
      </c>
      <c r="AG324" s="109">
        <f t="shared" si="134"/>
        <v>0</v>
      </c>
      <c r="AH324" s="109">
        <f t="shared" si="134"/>
        <v>0</v>
      </c>
      <c r="AI324" s="109">
        <f t="shared" si="134"/>
        <v>0</v>
      </c>
      <c r="AJ324" s="109">
        <f t="shared" si="134"/>
        <v>0</v>
      </c>
      <c r="AK324" s="109">
        <f t="shared" si="134"/>
        <v>0</v>
      </c>
      <c r="AL324" s="109">
        <f t="shared" si="134"/>
        <v>0</v>
      </c>
      <c r="AM324" s="109">
        <f t="shared" si="134"/>
        <v>0</v>
      </c>
    </row>
    <row r="325" spans="1:45" ht="15" customHeight="1" x14ac:dyDescent="0.2">
      <c r="A325" s="868"/>
      <c r="B325" s="900"/>
      <c r="C325" s="901"/>
      <c r="D325" s="901"/>
      <c r="E325" s="901"/>
      <c r="F325" s="901"/>
      <c r="G325" s="901"/>
      <c r="H325" s="901"/>
      <c r="I325" s="902"/>
      <c r="K325" s="110">
        <f>(-PMT(Parameters!$B$31/12,Parameters!$B$32,$H314))*Parameters!$B$32</f>
        <v>399398.86632437841</v>
      </c>
      <c r="L325" s="111"/>
      <c r="M325" s="111"/>
      <c r="N325" s="111"/>
      <c r="O325" s="108">
        <f>(-PMT(Parameters!$B$31/12,Parameters!$B$32,$H314))*Parameters!$K$32</f>
        <v>16641.619430182433</v>
      </c>
      <c r="P325" s="108">
        <f>MIN(((-PMT(Parameters!$B$31/12,Parameters!$B$32,$H314))*3),O326)</f>
        <v>33283.238860364865</v>
      </c>
      <c r="Q325" s="108">
        <f>MIN(((-PMT(Parameters!$B$31/12,Parameters!$B$32,$H314))*3),P326)</f>
        <v>33283.238860364865</v>
      </c>
      <c r="R325" s="108">
        <f>MIN(((-PMT(Parameters!$B$31/12,Parameters!$B$32,$H314))*3),Q326)</f>
        <v>33283.238860364865</v>
      </c>
      <c r="S325" s="108">
        <f>MIN(((-PMT(Parameters!$B$31/12,Parameters!$B$32,$H314))*3),R326)</f>
        <v>33283.238860364865</v>
      </c>
      <c r="T325" s="108">
        <f>MIN(((-PMT(Parameters!$B$31/12,Parameters!$B$32,$H314))*3),S326)</f>
        <v>33283.238860364865</v>
      </c>
      <c r="U325" s="108">
        <f>MIN(((-PMT(Parameters!$B$31/12,Parameters!$B$32,$H314))*3),T326)</f>
        <v>33283.238860364865</v>
      </c>
      <c r="V325" s="108">
        <f>MIN(((-PMT(Parameters!$B$31/12,Parameters!$B$32,$H314))*3),U326)</f>
        <v>33283.238860364865</v>
      </c>
      <c r="W325" s="108">
        <f>MIN(((-PMT(Parameters!$B$31/12,Parameters!$B$32,$H314))*3),V326)</f>
        <v>33283.238860364865</v>
      </c>
      <c r="X325" s="108">
        <f>MIN(((-PMT(Parameters!$B$31/12,Parameters!$B$32,$H314))*3),W326)</f>
        <v>33283.238860364865</v>
      </c>
      <c r="Y325" s="108">
        <f>MIN(((-PMT(Parameters!$B$31/12,Parameters!$B$32,$H314))*3),X326)</f>
        <v>33283.238860364865</v>
      </c>
      <c r="Z325" s="108">
        <f>MIN(((-PMT(Parameters!$B$31/12,Parameters!$B$32,$H314))*3),Y326)</f>
        <v>33283.238860364865</v>
      </c>
      <c r="AA325" s="108">
        <f>MIN(((-PMT(Parameters!$B$31/12,Parameters!$B$32,$H314))*3),Z326)</f>
        <v>16641.619430182429</v>
      </c>
      <c r="AB325" s="108">
        <f>MIN(((-PMT(Parameters!$B$31/12,Parameters!$B$32,$H314))*3),AA326)</f>
        <v>0</v>
      </c>
      <c r="AC325" s="108">
        <f>MIN(((-PMT(Parameters!$B$31/12,Parameters!$B$32,$H314))*3),AB326)</f>
        <v>0</v>
      </c>
      <c r="AD325" s="108">
        <f>MIN(((-PMT(Parameters!$B$31/12,Parameters!$B$32,$H314))*3),AC326)</f>
        <v>0</v>
      </c>
      <c r="AE325" s="108">
        <f>MIN(((-PMT(Parameters!$B$31/12,Parameters!$B$32,$H314))*3),AD326)</f>
        <v>0</v>
      </c>
      <c r="AF325" s="108">
        <f>MIN(((-PMT(Parameters!$B$31/12,Parameters!$B$32,$H314))*3),AE326)</f>
        <v>0</v>
      </c>
      <c r="AG325" s="108">
        <f>MIN(((-PMT(Parameters!$B$31/12,Parameters!$B$32,$H314))*3),AF326)</f>
        <v>0</v>
      </c>
      <c r="AH325" s="108">
        <f>MIN(((-PMT(Parameters!$B$31/12,Parameters!$B$32,$H314))*3),AG326)</f>
        <v>0</v>
      </c>
      <c r="AI325" s="108">
        <f>MIN(((-PMT(Parameters!$B$31/12,Parameters!$B$32,$H314))*3),AH326)</f>
        <v>0</v>
      </c>
      <c r="AJ325" s="108">
        <f>MIN(((-PMT(Parameters!$B$31/12,Parameters!$B$32,$H314))*3),AI326)</f>
        <v>0</v>
      </c>
      <c r="AK325" s="108">
        <f>MIN(((-PMT(Parameters!$B$31/12,Parameters!$B$32,$H314))*3),AJ326)</f>
        <v>0</v>
      </c>
      <c r="AL325" s="108">
        <f>MIN(((-PMT(Parameters!$B$31/12,Parameters!$B$32,$H314))*3),AK326)</f>
        <v>0</v>
      </c>
      <c r="AM325" s="108">
        <f>MIN(((-PMT(Parameters!$B$31/12,Parameters!$B$32,$H314))*3),AL326)</f>
        <v>0</v>
      </c>
    </row>
    <row r="326" spans="1:45" ht="15" customHeight="1" x14ac:dyDescent="0.2">
      <c r="A326" s="868"/>
      <c r="B326" s="900"/>
      <c r="C326" s="901"/>
      <c r="D326" s="901"/>
      <c r="E326" s="901"/>
      <c r="F326" s="901"/>
      <c r="G326" s="901"/>
      <c r="H326" s="901"/>
      <c r="I326" s="902"/>
      <c r="L326" s="109">
        <f>K325</f>
        <v>399398.86632437841</v>
      </c>
      <c r="M326" s="109">
        <f>L326</f>
        <v>399398.86632437841</v>
      </c>
      <c r="N326" s="109">
        <f t="shared" ref="N326:AM326" si="135">M326-N325</f>
        <v>399398.86632437841</v>
      </c>
      <c r="O326" s="109">
        <f t="shared" si="135"/>
        <v>382757.24689419597</v>
      </c>
      <c r="P326" s="109">
        <f t="shared" si="135"/>
        <v>349474.00803383108</v>
      </c>
      <c r="Q326" s="109">
        <f t="shared" si="135"/>
        <v>316190.76917346619</v>
      </c>
      <c r="R326" s="109">
        <f t="shared" si="135"/>
        <v>282907.53031310131</v>
      </c>
      <c r="S326" s="109">
        <f t="shared" si="135"/>
        <v>249624.29145273645</v>
      </c>
      <c r="T326" s="109">
        <f t="shared" si="135"/>
        <v>216341.05259237159</v>
      </c>
      <c r="U326" s="109">
        <f t="shared" si="135"/>
        <v>183057.81373200673</v>
      </c>
      <c r="V326" s="109">
        <f t="shared" si="135"/>
        <v>149774.57487164187</v>
      </c>
      <c r="W326" s="109">
        <f t="shared" si="135"/>
        <v>116491.33601127702</v>
      </c>
      <c r="X326" s="109">
        <f t="shared" si="135"/>
        <v>83208.097150912159</v>
      </c>
      <c r="Y326" s="109">
        <f t="shared" si="135"/>
        <v>49924.858290547294</v>
      </c>
      <c r="Z326" s="109">
        <f t="shared" si="135"/>
        <v>16641.619430182429</v>
      </c>
      <c r="AA326" s="109">
        <f t="shared" si="135"/>
        <v>0</v>
      </c>
      <c r="AB326" s="109">
        <f t="shared" si="135"/>
        <v>0</v>
      </c>
      <c r="AC326" s="109">
        <f t="shared" si="135"/>
        <v>0</v>
      </c>
      <c r="AD326" s="109">
        <f t="shared" si="135"/>
        <v>0</v>
      </c>
      <c r="AE326" s="109">
        <f t="shared" si="135"/>
        <v>0</v>
      </c>
      <c r="AF326" s="109">
        <f t="shared" si="135"/>
        <v>0</v>
      </c>
      <c r="AG326" s="109">
        <f t="shared" si="135"/>
        <v>0</v>
      </c>
      <c r="AH326" s="109">
        <f t="shared" si="135"/>
        <v>0</v>
      </c>
      <c r="AI326" s="109">
        <f t="shared" si="135"/>
        <v>0</v>
      </c>
      <c r="AJ326" s="109">
        <f t="shared" si="135"/>
        <v>0</v>
      </c>
      <c r="AK326" s="109">
        <f t="shared" si="135"/>
        <v>0</v>
      </c>
      <c r="AL326" s="109">
        <f t="shared" si="135"/>
        <v>0</v>
      </c>
      <c r="AM326" s="109">
        <f t="shared" si="135"/>
        <v>0</v>
      </c>
    </row>
    <row r="327" spans="1:45" ht="15" customHeight="1" x14ac:dyDescent="0.2">
      <c r="A327" s="868"/>
      <c r="B327" s="900"/>
      <c r="C327" s="901"/>
      <c r="D327" s="901"/>
      <c r="E327" s="901"/>
      <c r="F327" s="901"/>
      <c r="G327" s="901"/>
      <c r="H327" s="901"/>
      <c r="I327" s="902"/>
      <c r="L327" s="109">
        <f>L319+L321+L323+L325</f>
        <v>0</v>
      </c>
      <c r="M327" s="109">
        <f t="shared" ref="M327:AM327" si="136">M319+M321+M323+M325</f>
        <v>0</v>
      </c>
      <c r="N327" s="109">
        <f t="shared" si="136"/>
        <v>7132.122612935329</v>
      </c>
      <c r="O327" s="109">
        <f t="shared" si="136"/>
        <v>30905.864656053091</v>
      </c>
      <c r="P327" s="109">
        <f t="shared" si="136"/>
        <v>47547.484086235519</v>
      </c>
      <c r="Q327" s="109">
        <f t="shared" si="136"/>
        <v>47547.484086235519</v>
      </c>
      <c r="R327" s="109">
        <f t="shared" si="136"/>
        <v>47547.484086235519</v>
      </c>
      <c r="S327" s="109">
        <f t="shared" si="136"/>
        <v>47547.484086235519</v>
      </c>
      <c r="T327" s="109">
        <f t="shared" si="136"/>
        <v>47547.484086235519</v>
      </c>
      <c r="U327" s="109">
        <f t="shared" si="136"/>
        <v>47547.484086235519</v>
      </c>
      <c r="V327" s="109">
        <f t="shared" si="136"/>
        <v>47547.484086235519</v>
      </c>
      <c r="W327" s="109">
        <f t="shared" si="136"/>
        <v>47547.484086235519</v>
      </c>
      <c r="X327" s="109">
        <f t="shared" si="136"/>
        <v>47547.484086235519</v>
      </c>
      <c r="Y327" s="109">
        <f t="shared" si="136"/>
        <v>47547.484086235519</v>
      </c>
      <c r="Z327" s="109">
        <f t="shared" si="136"/>
        <v>40415.36147330016</v>
      </c>
      <c r="AA327" s="109">
        <f t="shared" si="136"/>
        <v>16641.619430182429</v>
      </c>
      <c r="AB327" s="109">
        <f t="shared" si="136"/>
        <v>0</v>
      </c>
      <c r="AC327" s="109">
        <f t="shared" si="136"/>
        <v>0</v>
      </c>
      <c r="AD327" s="109">
        <f t="shared" si="136"/>
        <v>0</v>
      </c>
      <c r="AE327" s="109">
        <f t="shared" si="136"/>
        <v>0</v>
      </c>
      <c r="AF327" s="109">
        <f t="shared" si="136"/>
        <v>0</v>
      </c>
      <c r="AG327" s="109">
        <f t="shared" si="136"/>
        <v>0</v>
      </c>
      <c r="AH327" s="109">
        <f t="shared" si="136"/>
        <v>0</v>
      </c>
      <c r="AI327" s="109">
        <f t="shared" si="136"/>
        <v>0</v>
      </c>
      <c r="AJ327" s="109">
        <f t="shared" si="136"/>
        <v>0</v>
      </c>
      <c r="AK327" s="109">
        <f t="shared" si="136"/>
        <v>0</v>
      </c>
      <c r="AL327" s="109">
        <f t="shared" si="136"/>
        <v>0</v>
      </c>
      <c r="AM327" s="109">
        <f t="shared" si="136"/>
        <v>0</v>
      </c>
    </row>
    <row r="328" spans="1:45" ht="15" customHeight="1" thickBot="1" x14ac:dyDescent="0.25">
      <c r="A328" s="869"/>
      <c r="B328" s="903"/>
      <c r="C328" s="904"/>
      <c r="D328" s="904"/>
      <c r="E328" s="904"/>
      <c r="F328" s="904"/>
      <c r="G328" s="904"/>
      <c r="H328" s="904"/>
      <c r="I328" s="905"/>
      <c r="L328"/>
      <c r="M328"/>
      <c r="N328"/>
      <c r="O328"/>
      <c r="P328"/>
      <c r="Q328"/>
      <c r="R328"/>
      <c r="S328"/>
      <c r="T328"/>
      <c r="U328"/>
      <c r="V328"/>
      <c r="W328"/>
      <c r="X328"/>
      <c r="Y328"/>
      <c r="Z328"/>
      <c r="AA328"/>
      <c r="AB328"/>
      <c r="AC328"/>
      <c r="AD328"/>
      <c r="AE328"/>
      <c r="AF328"/>
      <c r="AG328"/>
      <c r="AH328"/>
      <c r="AI328"/>
      <c r="AJ328"/>
      <c r="AK328"/>
      <c r="AL328"/>
      <c r="AM328"/>
      <c r="AN328"/>
      <c r="AO328"/>
      <c r="AP328"/>
      <c r="AQ328"/>
    </row>
    <row r="329" spans="1:45" ht="13.2" thickBot="1" x14ac:dyDescent="0.25">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row>
    <row r="330" spans="1:45" ht="16.05" customHeight="1" x14ac:dyDescent="0.2">
      <c r="A330" s="889">
        <v>2013</v>
      </c>
      <c r="B330" s="890"/>
      <c r="C330" s="893" t="s">
        <v>198</v>
      </c>
      <c r="D330" s="894"/>
      <c r="E330" s="864" t="s">
        <v>406</v>
      </c>
      <c r="F330" s="883" t="s">
        <v>407</v>
      </c>
      <c r="G330" s="883" t="s">
        <v>408</v>
      </c>
      <c r="H330" s="885" t="s">
        <v>409</v>
      </c>
      <c r="I330" s="887" t="s">
        <v>498</v>
      </c>
      <c r="L330" s="85">
        <f>P297</f>
        <v>39447</v>
      </c>
      <c r="M330" s="85">
        <f t="shared" ref="M330:AM330" si="137">L331+1</f>
        <v>39538</v>
      </c>
      <c r="N330" s="85">
        <f t="shared" si="137"/>
        <v>39629</v>
      </c>
      <c r="O330" s="85">
        <f t="shared" si="137"/>
        <v>39721</v>
      </c>
      <c r="P330" s="85">
        <f t="shared" si="137"/>
        <v>39813</v>
      </c>
      <c r="Q330" s="85">
        <f t="shared" si="137"/>
        <v>39903</v>
      </c>
      <c r="R330" s="85">
        <f t="shared" si="137"/>
        <v>39994</v>
      </c>
      <c r="S330" s="85">
        <f t="shared" si="137"/>
        <v>40086</v>
      </c>
      <c r="T330" s="85">
        <f t="shared" si="137"/>
        <v>40178</v>
      </c>
      <c r="U330" s="85">
        <f t="shared" si="137"/>
        <v>40268</v>
      </c>
      <c r="V330" s="85">
        <f t="shared" si="137"/>
        <v>40359</v>
      </c>
      <c r="W330" s="85">
        <f t="shared" si="137"/>
        <v>40451</v>
      </c>
      <c r="X330" s="85">
        <f t="shared" si="137"/>
        <v>40543</v>
      </c>
      <c r="Y330" s="85">
        <f t="shared" si="137"/>
        <v>40633</v>
      </c>
      <c r="Z330" s="85">
        <f t="shared" si="137"/>
        <v>40724</v>
      </c>
      <c r="AA330" s="85">
        <f t="shared" si="137"/>
        <v>40816</v>
      </c>
      <c r="AB330" s="85">
        <f t="shared" si="137"/>
        <v>40908</v>
      </c>
      <c r="AC330" s="85">
        <f t="shared" si="137"/>
        <v>40999</v>
      </c>
      <c r="AD330" s="85">
        <f t="shared" si="137"/>
        <v>41090</v>
      </c>
      <c r="AE330" s="85">
        <f t="shared" si="137"/>
        <v>41182</v>
      </c>
      <c r="AF330" s="85">
        <f t="shared" si="137"/>
        <v>41274</v>
      </c>
      <c r="AG330" s="85">
        <f t="shared" si="137"/>
        <v>41364</v>
      </c>
      <c r="AH330" s="85">
        <f t="shared" si="137"/>
        <v>41455</v>
      </c>
      <c r="AI330" s="85">
        <f t="shared" si="137"/>
        <v>41547</v>
      </c>
      <c r="AJ330" s="85">
        <f t="shared" si="137"/>
        <v>41639</v>
      </c>
      <c r="AK330" s="85">
        <f t="shared" si="137"/>
        <v>41729</v>
      </c>
      <c r="AL330" s="85">
        <f t="shared" si="137"/>
        <v>41820</v>
      </c>
      <c r="AM330" s="85">
        <f t="shared" si="137"/>
        <v>41912</v>
      </c>
    </row>
    <row r="331" spans="1:45" ht="16.05" customHeight="1" thickBot="1" x14ac:dyDescent="0.25">
      <c r="A331" s="891"/>
      <c r="B331" s="892"/>
      <c r="C331" s="895"/>
      <c r="D331" s="896"/>
      <c r="E331" s="865"/>
      <c r="F331" s="884"/>
      <c r="G331" s="884"/>
      <c r="H331" s="886"/>
      <c r="I331" s="888"/>
      <c r="L331" s="85">
        <f>P298</f>
        <v>39537</v>
      </c>
      <c r="M331" s="85">
        <f t="shared" ref="M331:AM331" si="138">Q298</f>
        <v>39628</v>
      </c>
      <c r="N331" s="85">
        <f t="shared" si="138"/>
        <v>39720</v>
      </c>
      <c r="O331" s="85">
        <f t="shared" si="138"/>
        <v>39812</v>
      </c>
      <c r="P331" s="85">
        <f t="shared" si="138"/>
        <v>39902</v>
      </c>
      <c r="Q331" s="85">
        <f t="shared" si="138"/>
        <v>39993</v>
      </c>
      <c r="R331" s="85">
        <f t="shared" si="138"/>
        <v>40085</v>
      </c>
      <c r="S331" s="85">
        <f t="shared" si="138"/>
        <v>40177</v>
      </c>
      <c r="T331" s="85">
        <f t="shared" si="138"/>
        <v>40267</v>
      </c>
      <c r="U331" s="85">
        <f t="shared" si="138"/>
        <v>40358</v>
      </c>
      <c r="V331" s="85">
        <f t="shared" si="138"/>
        <v>40450</v>
      </c>
      <c r="W331" s="85">
        <f t="shared" si="138"/>
        <v>40542</v>
      </c>
      <c r="X331" s="85">
        <f t="shared" si="138"/>
        <v>40632</v>
      </c>
      <c r="Y331" s="85">
        <f t="shared" si="138"/>
        <v>40723</v>
      </c>
      <c r="Z331" s="85">
        <f t="shared" si="138"/>
        <v>40815</v>
      </c>
      <c r="AA331" s="85">
        <f t="shared" si="138"/>
        <v>40907</v>
      </c>
      <c r="AB331" s="85">
        <f t="shared" si="138"/>
        <v>40998</v>
      </c>
      <c r="AC331" s="85">
        <f t="shared" si="138"/>
        <v>41089</v>
      </c>
      <c r="AD331" s="85">
        <f t="shared" si="138"/>
        <v>41181</v>
      </c>
      <c r="AE331" s="85">
        <f t="shared" si="138"/>
        <v>41273</v>
      </c>
      <c r="AF331" s="85">
        <f t="shared" si="138"/>
        <v>41363</v>
      </c>
      <c r="AG331" s="85">
        <f t="shared" si="138"/>
        <v>41454</v>
      </c>
      <c r="AH331" s="85">
        <f t="shared" si="138"/>
        <v>41546</v>
      </c>
      <c r="AI331" s="85">
        <f t="shared" si="138"/>
        <v>41638</v>
      </c>
      <c r="AJ331" s="85">
        <f t="shared" si="138"/>
        <v>41728</v>
      </c>
      <c r="AK331" s="85">
        <f t="shared" si="138"/>
        <v>41819</v>
      </c>
      <c r="AL331" s="85">
        <f t="shared" si="138"/>
        <v>41911</v>
      </c>
      <c r="AM331" s="85">
        <f t="shared" si="138"/>
        <v>42003</v>
      </c>
    </row>
    <row r="332" spans="1:45" ht="15" customHeight="1" x14ac:dyDescent="0.2">
      <c r="A332" s="878" t="s">
        <v>318</v>
      </c>
      <c r="B332" s="870" t="s">
        <v>347</v>
      </c>
      <c r="C332" s="385" t="s">
        <v>341</v>
      </c>
      <c r="D332" s="94">
        <f>1-Parameters!N$8</f>
        <v>0</v>
      </c>
      <c r="E332" s="96">
        <f>ROUND(Calculations!I5*$D332,0)</f>
        <v>0</v>
      </c>
      <c r="F332" s="96">
        <f>ROUND(Calculations!J5*$D332,0)</f>
        <v>0</v>
      </c>
      <c r="G332" s="96">
        <f>ROUND(Calculations!K5*$D332,0)</f>
        <v>0</v>
      </c>
      <c r="H332" s="96">
        <f>ROUND(Calculations!L5*$D332,0)</f>
        <v>0</v>
      </c>
      <c r="I332" s="103">
        <f>SUM(E332:H332)</f>
        <v>0</v>
      </c>
      <c r="L332" s="88"/>
      <c r="M332" s="88"/>
      <c r="N332" s="88"/>
      <c r="O332" s="88"/>
      <c r="P332" s="85">
        <f>P330</f>
        <v>39813</v>
      </c>
      <c r="Q332" s="85">
        <f>Q330</f>
        <v>39903</v>
      </c>
      <c r="R332" s="85">
        <f>R330</f>
        <v>39994</v>
      </c>
      <c r="S332" s="85">
        <f>S330</f>
        <v>40086</v>
      </c>
      <c r="T332" s="88"/>
      <c r="U332" s="88"/>
      <c r="V332" s="88"/>
      <c r="W332" s="88"/>
      <c r="Y332"/>
    </row>
    <row r="333" spans="1:45" ht="15" customHeight="1" x14ac:dyDescent="0.2">
      <c r="A333" s="879"/>
      <c r="B333" s="605"/>
      <c r="C333" s="385" t="s">
        <v>117</v>
      </c>
      <c r="D333" s="150">
        <f>1-Parameters!N$9</f>
        <v>0</v>
      </c>
      <c r="E333" s="98">
        <f>ROUND(Calculations!I6*$D5,0)</f>
        <v>0</v>
      </c>
      <c r="F333" s="99">
        <f>ROUND(Calculations!J6*$D5,0)</f>
        <v>0</v>
      </c>
      <c r="G333" s="99">
        <f>ROUND(Calculations!K6*$D5,0)</f>
        <v>0</v>
      </c>
      <c r="H333" s="100">
        <f>ROUND(Calculations!L6*$D5,0)</f>
        <v>0</v>
      </c>
      <c r="I333" s="102">
        <f>SUM(E5:H5)</f>
        <v>0</v>
      </c>
      <c r="L333" s="386"/>
      <c r="M333" s="386"/>
      <c r="N333" s="386"/>
      <c r="O333" s="386"/>
      <c r="P333" s="299"/>
      <c r="Q333" s="299"/>
      <c r="R333" s="299"/>
      <c r="S333" s="299"/>
      <c r="T333" s="386"/>
      <c r="U333" s="386"/>
      <c r="V333" s="386"/>
      <c r="W333" s="386"/>
      <c r="Y333"/>
    </row>
    <row r="334" spans="1:45" ht="15" customHeight="1" x14ac:dyDescent="0.2">
      <c r="A334" s="879"/>
      <c r="B334" s="605"/>
      <c r="C334" s="384" t="s">
        <v>247</v>
      </c>
      <c r="D334" s="150">
        <f>1-Parameters!N$10</f>
        <v>0</v>
      </c>
      <c r="E334" s="98">
        <f>ROUND(Calculations!I7*$D6,0)</f>
        <v>0</v>
      </c>
      <c r="F334" s="99">
        <f>ROUND(Calculations!J7*$D6,0)</f>
        <v>0</v>
      </c>
      <c r="G334" s="99">
        <f>ROUND(Calculations!K7*$D6,0)</f>
        <v>0</v>
      </c>
      <c r="H334" s="100">
        <f>ROUND(Calculations!L7*$D6,0)</f>
        <v>0</v>
      </c>
      <c r="I334" s="102">
        <f>SUM(E6:H6)</f>
        <v>0</v>
      </c>
      <c r="L334"/>
      <c r="M334"/>
      <c r="N334"/>
      <c r="O334"/>
      <c r="P334"/>
      <c r="Q334"/>
      <c r="R334"/>
      <c r="S334"/>
      <c r="T334"/>
      <c r="U334"/>
      <c r="V334"/>
      <c r="W334"/>
      <c r="X334"/>
      <c r="Y334"/>
      <c r="Z334"/>
      <c r="AA334"/>
      <c r="AB334"/>
      <c r="AC334"/>
      <c r="AD334"/>
      <c r="AE334"/>
      <c r="AF334"/>
      <c r="AG334"/>
      <c r="AH334"/>
    </row>
    <row r="335" spans="1:45" ht="15" customHeight="1" x14ac:dyDescent="0.2">
      <c r="A335" s="880"/>
      <c r="B335" s="688"/>
      <c r="C335" s="688" t="s">
        <v>139</v>
      </c>
      <c r="D335" s="871"/>
      <c r="E335" s="92">
        <f>SUM(E332:E334)</f>
        <v>0</v>
      </c>
      <c r="F335" s="92">
        <f>SUM(F332:F334)</f>
        <v>0</v>
      </c>
      <c r="G335" s="92">
        <f>SUM(G332:G334)</f>
        <v>0</v>
      </c>
      <c r="H335" s="92">
        <f>SUM(H332:H334)</f>
        <v>0</v>
      </c>
      <c r="I335" s="872">
        <f>H336</f>
        <v>0</v>
      </c>
      <c r="L335" s="93">
        <f>IF($M337&lt;=L331,$E335,IF($N337&lt;=L331,$F335,IF($O337&lt;=L331,$G335,IF($P337&lt;=L331,$H335,))))</f>
        <v>0</v>
      </c>
      <c r="M335" s="93">
        <f t="shared" ref="M335:W335" si="139">IF(AND($M337&gt;L331,$M337&lt;=M331),$E335,IF(AND($N337&gt;L331,$N337&lt;=M331),$F335,IF(AND($O337&gt;L331,$O337&lt;=M331),$G335,IF(AND($P337&gt;L331,$P337&lt;=M331),$H335,))))</f>
        <v>0</v>
      </c>
      <c r="N335" s="93">
        <f t="shared" si="139"/>
        <v>0</v>
      </c>
      <c r="O335" s="93">
        <f t="shared" si="139"/>
        <v>0</v>
      </c>
      <c r="P335" s="93">
        <f t="shared" si="139"/>
        <v>0</v>
      </c>
      <c r="Q335" s="93">
        <f t="shared" si="139"/>
        <v>0</v>
      </c>
      <c r="R335" s="93">
        <f t="shared" si="139"/>
        <v>0</v>
      </c>
      <c r="S335" s="93">
        <f t="shared" si="139"/>
        <v>0</v>
      </c>
      <c r="T335" s="93">
        <f t="shared" si="139"/>
        <v>0</v>
      </c>
      <c r="U335" s="93">
        <f t="shared" si="139"/>
        <v>0</v>
      </c>
      <c r="V335" s="93">
        <f t="shared" si="139"/>
        <v>0</v>
      </c>
      <c r="W335" s="93">
        <f t="shared" si="139"/>
        <v>0</v>
      </c>
      <c r="X335" s="93">
        <f>SUM(L335:W335)</f>
        <v>0</v>
      </c>
      <c r="Y335"/>
    </row>
    <row r="336" spans="1:45" ht="15" customHeight="1" x14ac:dyDescent="0.2">
      <c r="A336" s="880"/>
      <c r="B336" s="688"/>
      <c r="C336" s="874" t="s">
        <v>331</v>
      </c>
      <c r="D336" s="875"/>
      <c r="E336" s="105">
        <f>E335</f>
        <v>0</v>
      </c>
      <c r="F336" s="15">
        <f>E336+F335</f>
        <v>0</v>
      </c>
      <c r="G336" s="15">
        <f>F336+G335</f>
        <v>0</v>
      </c>
      <c r="H336" s="15">
        <f>G336+H335</f>
        <v>0</v>
      </c>
      <c r="I336" s="873"/>
    </row>
    <row r="337" spans="1:39" ht="15" customHeight="1" x14ac:dyDescent="0.2">
      <c r="A337" s="880"/>
      <c r="B337" s="688" t="s">
        <v>411</v>
      </c>
      <c r="C337" s="65" t="s">
        <v>405</v>
      </c>
      <c r="D337" s="104">
        <f>Parameters!$C$21</f>
        <v>20000</v>
      </c>
      <c r="E337" s="72">
        <f>E335*$D337</f>
        <v>0</v>
      </c>
      <c r="F337" s="72">
        <f>F335*$D337</f>
        <v>0</v>
      </c>
      <c r="G337" s="72">
        <f>G335*$D337</f>
        <v>0</v>
      </c>
      <c r="H337" s="72">
        <f>H335*$D337</f>
        <v>0</v>
      </c>
      <c r="I337" s="106">
        <f>SUM(E337:H337)</f>
        <v>0</v>
      </c>
      <c r="L337" s="60" t="s">
        <v>196</v>
      </c>
      <c r="M337" s="79">
        <f>P332+$D338</f>
        <v>39813</v>
      </c>
      <c r="N337" s="79">
        <f>Q332+$D338</f>
        <v>39903</v>
      </c>
      <c r="O337" s="79">
        <f>R332+$D338</f>
        <v>39994</v>
      </c>
      <c r="P337" s="79">
        <f>S332+$D338</f>
        <v>40086</v>
      </c>
      <c r="X337" s="69" t="s">
        <v>366</v>
      </c>
    </row>
    <row r="338" spans="1:39" ht="15" customHeight="1" thickBot="1" x14ac:dyDescent="0.25">
      <c r="A338" s="881"/>
      <c r="B338" s="882"/>
      <c r="C338" s="70" t="s">
        <v>332</v>
      </c>
      <c r="D338" s="84">
        <f>Parameters!$B$36</f>
        <v>0</v>
      </c>
      <c r="E338" s="72">
        <f>SUM(L338:P338)+L371+T305</f>
        <v>0</v>
      </c>
      <c r="F338" s="66">
        <f>Q338+M371+U305</f>
        <v>0</v>
      </c>
      <c r="G338" s="66">
        <f>R338+N371+V305</f>
        <v>0</v>
      </c>
      <c r="H338" s="66">
        <f>S338+O371+W305</f>
        <v>0</v>
      </c>
      <c r="I338" s="89">
        <f>SUM(E338:H338)</f>
        <v>0</v>
      </c>
      <c r="L338" s="68">
        <f>IF($M337&lt;=L331,$E337,IF($N337&lt;=L331,$F337,IF($O337&lt;=L331,$G337,IF($P337&lt;=L331,$H337,))))</f>
        <v>0</v>
      </c>
      <c r="M338" s="68">
        <f t="shared" ref="M338:W338" si="140">IF(AND($M337&gt;L331,$M337&lt;=M331),$E337,IF(AND($N337&gt;L331,$N337&lt;=M331),$F337,IF(AND($O337&gt;L331,$O337&lt;=M331),$G337,IF(AND($P337&gt;L331,$P337&lt;=M331),$H337,))))</f>
        <v>0</v>
      </c>
      <c r="N338" s="68">
        <f t="shared" si="140"/>
        <v>0</v>
      </c>
      <c r="O338" s="68">
        <f t="shared" si="140"/>
        <v>0</v>
      </c>
      <c r="P338" s="68">
        <f t="shared" si="140"/>
        <v>0</v>
      </c>
      <c r="Q338" s="68">
        <f t="shared" si="140"/>
        <v>0</v>
      </c>
      <c r="R338" s="68">
        <f t="shared" si="140"/>
        <v>0</v>
      </c>
      <c r="S338" s="68">
        <f t="shared" si="140"/>
        <v>0</v>
      </c>
      <c r="T338" s="68">
        <f t="shared" si="140"/>
        <v>0</v>
      </c>
      <c r="U338" s="68">
        <f t="shared" si="140"/>
        <v>0</v>
      </c>
      <c r="V338" s="68">
        <f t="shared" si="140"/>
        <v>0</v>
      </c>
      <c r="W338" s="68">
        <f t="shared" si="140"/>
        <v>0</v>
      </c>
      <c r="X338" s="68">
        <f>SUM(L338:W338)</f>
        <v>0</v>
      </c>
    </row>
    <row r="339" spans="1:39" ht="15" customHeight="1" x14ac:dyDescent="0.2">
      <c r="A339" s="866" t="s">
        <v>206</v>
      </c>
      <c r="B339" s="870" t="s">
        <v>317</v>
      </c>
      <c r="C339" s="385" t="s">
        <v>341</v>
      </c>
      <c r="D339" s="94">
        <f>1-D332</f>
        <v>1</v>
      </c>
      <c r="E339" s="96">
        <f>Calculations!I5-E332</f>
        <v>32</v>
      </c>
      <c r="F339" s="97">
        <f>Calculations!J5-F332</f>
        <v>32</v>
      </c>
      <c r="G339" s="97">
        <f>Calculations!K5-G332</f>
        <v>32</v>
      </c>
      <c r="H339" s="96">
        <f>Calculations!L5-H332</f>
        <v>34</v>
      </c>
      <c r="I339" s="103">
        <f>SUM(E339:H339)</f>
        <v>130</v>
      </c>
    </row>
    <row r="340" spans="1:39" ht="15" customHeight="1" x14ac:dyDescent="0.2">
      <c r="A340" s="867"/>
      <c r="B340" s="605"/>
      <c r="C340" s="385" t="s">
        <v>117</v>
      </c>
      <c r="D340" s="150">
        <f>1-D5</f>
        <v>1</v>
      </c>
      <c r="E340" s="98">
        <f>Calculations!I6-E5</f>
        <v>22</v>
      </c>
      <c r="F340" s="99">
        <f>Calculations!J6-F5</f>
        <v>22</v>
      </c>
      <c r="G340" s="99">
        <f>Calculations!K6-G5</f>
        <v>22</v>
      </c>
      <c r="H340" s="100">
        <f>Calculations!L6-H5</f>
        <v>24</v>
      </c>
      <c r="I340" s="102">
        <f>SUM(E340:H340)</f>
        <v>90</v>
      </c>
    </row>
    <row r="341" spans="1:39" ht="15" customHeight="1" x14ac:dyDescent="0.2">
      <c r="A341" s="868"/>
      <c r="B341" s="605"/>
      <c r="C341" s="384" t="s">
        <v>247</v>
      </c>
      <c r="D341" s="150">
        <f>1-D6</f>
        <v>1</v>
      </c>
      <c r="E341" s="98">
        <f>Calculations!I7-E6</f>
        <v>0</v>
      </c>
      <c r="F341" s="99">
        <f>Calculations!J7-F6</f>
        <v>0</v>
      </c>
      <c r="G341" s="99">
        <f>Calculations!K7-G6</f>
        <v>10</v>
      </c>
      <c r="H341" s="100">
        <f>Calculations!L7-H6</f>
        <v>10</v>
      </c>
      <c r="I341" s="102">
        <f>SUM(E341:H341)</f>
        <v>20</v>
      </c>
    </row>
    <row r="342" spans="1:39" ht="15" customHeight="1" x14ac:dyDescent="0.2">
      <c r="A342" s="868"/>
      <c r="B342" s="688"/>
      <c r="C342" s="688" t="s">
        <v>139</v>
      </c>
      <c r="D342" s="871"/>
      <c r="E342" s="92">
        <f>SUM(E339:E341)</f>
        <v>54</v>
      </c>
      <c r="F342" s="10">
        <f>SUM(F339:F341)</f>
        <v>54</v>
      </c>
      <c r="G342" s="10">
        <f>SUM(G339:G341)</f>
        <v>64</v>
      </c>
      <c r="H342" s="101">
        <f>SUM(H339:H341)</f>
        <v>68</v>
      </c>
      <c r="I342" s="872">
        <f>H343</f>
        <v>240</v>
      </c>
      <c r="L342"/>
      <c r="M342"/>
      <c r="N342"/>
      <c r="O342"/>
      <c r="P342"/>
      <c r="Q342"/>
      <c r="R342"/>
      <c r="S342"/>
      <c r="T342"/>
      <c r="U342"/>
      <c r="V342"/>
      <c r="W342"/>
      <c r="X342"/>
      <c r="Y342"/>
    </row>
    <row r="343" spans="1:39" ht="15" customHeight="1" x14ac:dyDescent="0.2">
      <c r="A343" s="868"/>
      <c r="B343" s="688"/>
      <c r="C343" s="874" t="s">
        <v>331</v>
      </c>
      <c r="D343" s="875"/>
      <c r="E343" s="105">
        <f>E342</f>
        <v>54</v>
      </c>
      <c r="F343" s="15">
        <f>F342+E343</f>
        <v>108</v>
      </c>
      <c r="G343" s="15">
        <f>G342+F343</f>
        <v>172</v>
      </c>
      <c r="H343" s="15">
        <f>H342+G343</f>
        <v>240</v>
      </c>
      <c r="I343" s="873"/>
      <c r="L343"/>
      <c r="M343"/>
      <c r="N343"/>
      <c r="O343"/>
      <c r="P343"/>
      <c r="Q343"/>
      <c r="R343"/>
      <c r="S343"/>
      <c r="T343"/>
      <c r="U343"/>
      <c r="V343"/>
      <c r="W343"/>
      <c r="X343"/>
      <c r="Y343"/>
    </row>
    <row r="344" spans="1:39" ht="15" customHeight="1" x14ac:dyDescent="0.2">
      <c r="A344" s="868"/>
      <c r="B344" s="566" t="s">
        <v>68</v>
      </c>
      <c r="C344" s="688" t="s">
        <v>412</v>
      </c>
      <c r="D344" s="871"/>
      <c r="E344" s="72">
        <f>E342*$D337</f>
        <v>1080000</v>
      </c>
      <c r="F344" s="66">
        <f>F342*$D337</f>
        <v>1080000</v>
      </c>
      <c r="G344" s="66">
        <f>G342*$D337</f>
        <v>1280000</v>
      </c>
      <c r="H344" s="86">
        <f>H342*$D337</f>
        <v>1360000</v>
      </c>
      <c r="I344" s="74">
        <f>SUM(E344:H344)</f>
        <v>4800000</v>
      </c>
    </row>
    <row r="345" spans="1:39" ht="15" customHeight="1" x14ac:dyDescent="0.2">
      <c r="A345" s="868"/>
      <c r="B345" s="566"/>
      <c r="C345" s="65" t="s">
        <v>413</v>
      </c>
      <c r="D345" s="87">
        <f>1-Parameters!$B$33</f>
        <v>0.19999999999999996</v>
      </c>
      <c r="E345" s="72">
        <f>E344*$D345</f>
        <v>215999.99999999994</v>
      </c>
      <c r="F345" s="66">
        <f>F344*$D345</f>
        <v>215999.99999999994</v>
      </c>
      <c r="G345" s="66">
        <f>G344*$D345</f>
        <v>255999.99999999994</v>
      </c>
      <c r="H345" s="86">
        <f>H344*$D345</f>
        <v>271999.99999999994</v>
      </c>
      <c r="I345" s="106">
        <f>SUM(E345:H345)</f>
        <v>959999.99999999977</v>
      </c>
      <c r="L345" s="60" t="s">
        <v>196</v>
      </c>
      <c r="M345" s="79">
        <f>P332+$D346</f>
        <v>39813</v>
      </c>
      <c r="N345" s="79">
        <f>Q332+$D346</f>
        <v>39903</v>
      </c>
      <c r="O345" s="79">
        <f>R332+$D346</f>
        <v>39994</v>
      </c>
      <c r="P345" s="79">
        <f>S332+$D346</f>
        <v>40086</v>
      </c>
      <c r="X345" s="69" t="s">
        <v>366</v>
      </c>
    </row>
    <row r="346" spans="1:39" ht="15" customHeight="1" x14ac:dyDescent="0.2">
      <c r="A346" s="868"/>
      <c r="B346" s="566"/>
      <c r="C346" s="5" t="s">
        <v>332</v>
      </c>
      <c r="D346" s="73">
        <f>Parameters!$B$36</f>
        <v>0</v>
      </c>
      <c r="E346" s="72">
        <f>SUM(L346:P346)+L379+T313</f>
        <v>215999.99999999994</v>
      </c>
      <c r="F346" s="66">
        <f>Q346+M379+U313</f>
        <v>215999.99999999994</v>
      </c>
      <c r="G346" s="66">
        <f>R346+N379+V313</f>
        <v>255999.99999999994</v>
      </c>
      <c r="H346" s="66">
        <f>S346+O379+W313</f>
        <v>271999.99999999994</v>
      </c>
      <c r="I346" s="74">
        <f>SUM(E346:H346)</f>
        <v>959999.99999999977</v>
      </c>
      <c r="L346" s="68">
        <f>IF($M345&lt;=L331,$E345,IF($N345&lt;=L331,$F345,IF($O345&lt;=L331,$G345,IF($P345&lt;=L331,$H345,))))</f>
        <v>0</v>
      </c>
      <c r="M346" s="68">
        <f t="shared" ref="M346:W346" si="141">IF(AND($M345&gt;L331,$M345&lt;=M331),$E345,IF(AND($N345&gt;L331,$N345&lt;=M331),$F345,IF(AND($O345&gt;L331,$O345&lt;=M331),$G345,IF(AND($P345&gt;L331,$P345&lt;=M331),$H345,))))</f>
        <v>0</v>
      </c>
      <c r="N346" s="68">
        <f t="shared" si="141"/>
        <v>0</v>
      </c>
      <c r="O346" s="68">
        <f t="shared" si="141"/>
        <v>0</v>
      </c>
      <c r="P346" s="68">
        <f t="shared" si="141"/>
        <v>215999.99999999994</v>
      </c>
      <c r="Q346" s="68">
        <f t="shared" si="141"/>
        <v>215999.99999999994</v>
      </c>
      <c r="R346" s="68">
        <f t="shared" si="141"/>
        <v>255999.99999999994</v>
      </c>
      <c r="S346" s="68">
        <f t="shared" si="141"/>
        <v>271999.99999999994</v>
      </c>
      <c r="T346" s="68">
        <f t="shared" si="141"/>
        <v>0</v>
      </c>
      <c r="U346" s="68">
        <f t="shared" si="141"/>
        <v>0</v>
      </c>
      <c r="V346" s="68">
        <f t="shared" si="141"/>
        <v>0</v>
      </c>
      <c r="W346" s="68">
        <f t="shared" si="141"/>
        <v>0</v>
      </c>
      <c r="X346" s="68">
        <f>SUM(L346:W346)</f>
        <v>959999.99999999977</v>
      </c>
    </row>
    <row r="347" spans="1:39" ht="15" customHeight="1" x14ac:dyDescent="0.2">
      <c r="A347" s="868"/>
      <c r="B347" s="566"/>
      <c r="C347" s="65" t="s">
        <v>194</v>
      </c>
      <c r="D347" s="87">
        <f>Parameters!$B$33</f>
        <v>0.8</v>
      </c>
      <c r="E347" s="72">
        <f>E344*$D347</f>
        <v>864000</v>
      </c>
      <c r="F347" s="72">
        <f>F344*$D347</f>
        <v>864000</v>
      </c>
      <c r="G347" s="72">
        <f>G344*$D347</f>
        <v>1024000</v>
      </c>
      <c r="H347" s="72">
        <f>H344*$D347</f>
        <v>1088000</v>
      </c>
      <c r="I347" s="74">
        <f>SUM(E347:H347)</f>
        <v>3840000</v>
      </c>
      <c r="L347" s="91"/>
      <c r="M347" s="91"/>
      <c r="N347" s="91"/>
      <c r="O347" s="91"/>
      <c r="P347" s="91"/>
      <c r="Q347" s="91"/>
      <c r="R347" s="91"/>
      <c r="S347" s="91"/>
      <c r="T347" s="91"/>
      <c r="U347" s="91"/>
      <c r="V347" s="91"/>
      <c r="W347" s="91"/>
      <c r="X347" s="91"/>
    </row>
    <row r="348" spans="1:39" ht="15" customHeight="1" x14ac:dyDescent="0.2">
      <c r="A348" s="868"/>
      <c r="B348" s="566"/>
      <c r="C348" s="874" t="s">
        <v>331</v>
      </c>
      <c r="D348" s="875"/>
      <c r="E348" s="81">
        <f>E347</f>
        <v>864000</v>
      </c>
      <c r="F348" s="81">
        <f>E348+F347</f>
        <v>1728000</v>
      </c>
      <c r="G348" s="81">
        <f>F348+G347</f>
        <v>2752000</v>
      </c>
      <c r="H348" s="81">
        <f>G348+H347</f>
        <v>3840000</v>
      </c>
      <c r="I348" s="78">
        <f>H348</f>
        <v>3840000</v>
      </c>
      <c r="L348" s="91"/>
      <c r="M348" s="91"/>
      <c r="N348" s="91"/>
      <c r="O348" s="91"/>
      <c r="P348" s="91"/>
      <c r="Q348" s="91"/>
      <c r="R348" s="91"/>
      <c r="S348" s="91"/>
      <c r="T348" s="91"/>
      <c r="U348" s="91"/>
      <c r="V348" s="91"/>
      <c r="W348" s="91"/>
      <c r="X348" s="91"/>
    </row>
    <row r="349" spans="1:39" ht="15" customHeight="1" x14ac:dyDescent="0.2">
      <c r="A349" s="868"/>
      <c r="B349" s="566"/>
      <c r="C349" s="876" t="s">
        <v>390</v>
      </c>
      <c r="D349" s="877"/>
      <c r="E349" s="107">
        <f>L360+Q327</f>
        <v>86099.498210210266</v>
      </c>
      <c r="F349" s="107">
        <f>M360+R327</f>
        <v>163203.52645815976</v>
      </c>
      <c r="G349" s="107">
        <f>N360+S327</f>
        <v>247446.8165809194</v>
      </c>
      <c r="H349" s="107">
        <f>O360+T327</f>
        <v>341685.07332841324</v>
      </c>
      <c r="I349" s="74">
        <f>SUM(E349:H349)</f>
        <v>838434.91457770276</v>
      </c>
      <c r="L349" s="60" t="s">
        <v>196</v>
      </c>
      <c r="M349" s="79">
        <f>P332+$D350</f>
        <v>39843</v>
      </c>
      <c r="N349" s="79">
        <f>Q332+$D350</f>
        <v>39933</v>
      </c>
      <c r="O349" s="79">
        <f>R332+$D350</f>
        <v>40024</v>
      </c>
      <c r="P349" s="79">
        <f>S332+$D350</f>
        <v>40116</v>
      </c>
      <c r="X349" s="69" t="s">
        <v>366</v>
      </c>
    </row>
    <row r="350" spans="1:39" ht="15" customHeight="1" x14ac:dyDescent="0.2">
      <c r="A350" s="868"/>
      <c r="B350" s="566"/>
      <c r="C350" s="75" t="s">
        <v>332</v>
      </c>
      <c r="D350" s="76">
        <f>Parameters!$B$37</f>
        <v>30</v>
      </c>
      <c r="E350" s="112">
        <f>SUM(L350:P350)+L383</f>
        <v>86099.498210210266</v>
      </c>
      <c r="F350" s="71">
        <f>Q350+M383</f>
        <v>163203.52645815976</v>
      </c>
      <c r="G350" s="71">
        <f>R350+N383</f>
        <v>247446.8165809194</v>
      </c>
      <c r="H350" s="71">
        <f>S350+O383</f>
        <v>341685.07332841324</v>
      </c>
      <c r="I350" s="77">
        <f>SUM(E350:H350)</f>
        <v>838434.91457770276</v>
      </c>
      <c r="L350" s="68">
        <f>IF($M349&lt;=L331,$E349,IF($N349&lt;=L331,$F349,IF($O349&lt;=L331,$G349,IF($P349&lt;=L331,$H349,))))</f>
        <v>0</v>
      </c>
      <c r="M350" s="68">
        <f t="shared" ref="M350:W350" si="142">IF(AND($M349&gt;L331,$M349&lt;=M331),$E349,IF(AND($N349&gt;L331,$N349&lt;=M331),$F349,IF(AND($O349&gt;L331,$O349&lt;=M331),$G349,IF(AND($P349&gt;L331,$P349&lt;=M331),$H349,))))</f>
        <v>0</v>
      </c>
      <c r="N350" s="68">
        <f t="shared" si="142"/>
        <v>0</v>
      </c>
      <c r="O350" s="68">
        <f t="shared" si="142"/>
        <v>0</v>
      </c>
      <c r="P350" s="68">
        <f t="shared" si="142"/>
        <v>86099.498210210266</v>
      </c>
      <c r="Q350" s="68">
        <f t="shared" si="142"/>
        <v>163203.52645815976</v>
      </c>
      <c r="R350" s="68">
        <f t="shared" si="142"/>
        <v>247446.8165809194</v>
      </c>
      <c r="S350" s="68">
        <f t="shared" si="142"/>
        <v>341685.07332841324</v>
      </c>
      <c r="T350" s="68">
        <f t="shared" si="142"/>
        <v>0</v>
      </c>
      <c r="U350" s="68">
        <f t="shared" si="142"/>
        <v>0</v>
      </c>
      <c r="V350" s="68">
        <f t="shared" si="142"/>
        <v>0</v>
      </c>
      <c r="W350" s="68">
        <f t="shared" si="142"/>
        <v>0</v>
      </c>
      <c r="X350" s="68">
        <f>SUM(L350:W350)</f>
        <v>838434.91457770276</v>
      </c>
    </row>
    <row r="351" spans="1:39" ht="15" customHeight="1" x14ac:dyDescent="0.2">
      <c r="A351" s="868"/>
      <c r="B351" s="860" t="s">
        <v>410</v>
      </c>
      <c r="C351" s="860"/>
      <c r="D351" s="860"/>
      <c r="E351" s="860"/>
      <c r="F351" s="860"/>
      <c r="G351" s="860"/>
      <c r="H351" s="860"/>
      <c r="I351" s="861"/>
      <c r="L351" s="67">
        <f t="shared" ref="L351:AM351" si="143">P331</f>
        <v>39902</v>
      </c>
      <c r="M351" s="67">
        <f t="shared" si="143"/>
        <v>39993</v>
      </c>
      <c r="N351" s="67">
        <f t="shared" si="143"/>
        <v>40085</v>
      </c>
      <c r="O351" s="67">
        <f t="shared" si="143"/>
        <v>40177</v>
      </c>
      <c r="P351" s="67">
        <f t="shared" si="143"/>
        <v>40267</v>
      </c>
      <c r="Q351" s="67">
        <f t="shared" si="143"/>
        <v>40358</v>
      </c>
      <c r="R351" s="67">
        <f t="shared" si="143"/>
        <v>40450</v>
      </c>
      <c r="S351" s="67">
        <f t="shared" si="143"/>
        <v>40542</v>
      </c>
      <c r="T351" s="67">
        <f t="shared" si="143"/>
        <v>40632</v>
      </c>
      <c r="U351" s="67">
        <f t="shared" si="143"/>
        <v>40723</v>
      </c>
      <c r="V351" s="67">
        <f t="shared" si="143"/>
        <v>40815</v>
      </c>
      <c r="W351" s="67">
        <f t="shared" si="143"/>
        <v>40907</v>
      </c>
      <c r="X351" s="67">
        <f t="shared" si="143"/>
        <v>40998</v>
      </c>
      <c r="Y351" s="67">
        <f t="shared" si="143"/>
        <v>41089</v>
      </c>
      <c r="Z351" s="67">
        <f t="shared" si="143"/>
        <v>41181</v>
      </c>
      <c r="AA351" s="67">
        <f t="shared" si="143"/>
        <v>41273</v>
      </c>
      <c r="AB351" s="67">
        <f t="shared" si="143"/>
        <v>41363</v>
      </c>
      <c r="AC351" s="67">
        <f t="shared" si="143"/>
        <v>41454</v>
      </c>
      <c r="AD351" s="67">
        <f t="shared" si="143"/>
        <v>41546</v>
      </c>
      <c r="AE351" s="67">
        <f t="shared" si="143"/>
        <v>41638</v>
      </c>
      <c r="AF351" s="67">
        <f t="shared" si="143"/>
        <v>41728</v>
      </c>
      <c r="AG351" s="67">
        <f t="shared" si="143"/>
        <v>41819</v>
      </c>
      <c r="AH351" s="67">
        <f t="shared" si="143"/>
        <v>41911</v>
      </c>
      <c r="AI351" s="67">
        <f t="shared" si="143"/>
        <v>42003</v>
      </c>
      <c r="AJ351" s="67">
        <f t="shared" si="143"/>
        <v>0</v>
      </c>
      <c r="AK351" s="67">
        <f t="shared" si="143"/>
        <v>0</v>
      </c>
      <c r="AL351" s="67">
        <f t="shared" si="143"/>
        <v>0</v>
      </c>
      <c r="AM351" s="67">
        <f t="shared" si="143"/>
        <v>0</v>
      </c>
    </row>
    <row r="352" spans="1:39" ht="15" customHeight="1" x14ac:dyDescent="0.2">
      <c r="A352" s="868"/>
      <c r="B352" s="860"/>
      <c r="C352" s="860"/>
      <c r="D352" s="860"/>
      <c r="E352" s="860"/>
      <c r="F352" s="860"/>
      <c r="G352" s="860"/>
      <c r="H352" s="860"/>
      <c r="I352" s="861"/>
      <c r="K352" s="110">
        <f>(-PMT(Parameters!$B$31/12,Parameters!$B$32,$E347))*Parameters!$B$32</f>
        <v>925248.33897539403</v>
      </c>
      <c r="L352" s="108">
        <f>(-PMT(Parameters!$B$31/12,Parameters!$B$32,$E347))*Parameters!$K$32</f>
        <v>38552.014123974746</v>
      </c>
      <c r="M352" s="108">
        <f>MIN(((-PMT(Parameters!$B$31/12,Parameters!$B$32,$E347))*3),L353)</f>
        <v>77104.028247949493</v>
      </c>
      <c r="N352" s="108">
        <f>MIN(((-PMT(Parameters!$B$31/12,Parameters!$B$32,$E347))*3),M353)</f>
        <v>77104.028247949493</v>
      </c>
      <c r="O352" s="108">
        <f>MIN(((-PMT(Parameters!$B$31/12,Parameters!$B$32,$E347))*3),N353)</f>
        <v>77104.028247949493</v>
      </c>
      <c r="P352" s="108">
        <f>MIN(((-PMT(Parameters!$B$31/12,Parameters!$B$32,$E347))*3),O353)</f>
        <v>77104.028247949493</v>
      </c>
      <c r="Q352" s="108">
        <f>MIN(((-PMT(Parameters!$B$31/12,Parameters!$B$32,$E347))*3),P353)</f>
        <v>77104.028247949493</v>
      </c>
      <c r="R352" s="108">
        <f>MIN(((-PMT(Parameters!$B$31/12,Parameters!$B$32,$E347))*3),Q353)</f>
        <v>77104.028247949493</v>
      </c>
      <c r="S352" s="108">
        <f>MIN(((-PMT(Parameters!$B$31/12,Parameters!$B$32,$E347))*3),R353)</f>
        <v>77104.028247949493</v>
      </c>
      <c r="T352" s="108">
        <f>MIN(((-PMT(Parameters!$B$31/12,Parameters!$B$32,$E347))*3),S353)</f>
        <v>77104.028247949493</v>
      </c>
      <c r="U352" s="108">
        <f>MIN(((-PMT(Parameters!$B$31/12,Parameters!$B$32,$E347))*3),T353)</f>
        <v>77104.028247949493</v>
      </c>
      <c r="V352" s="108">
        <f>MIN(((-PMT(Parameters!$B$31/12,Parameters!$B$32,$E347))*3),U353)</f>
        <v>77104.028247949493</v>
      </c>
      <c r="W352" s="108">
        <f>MIN(((-PMT(Parameters!$B$31/12,Parameters!$B$32,$E347))*3),V353)</f>
        <v>77104.028247949493</v>
      </c>
      <c r="X352" s="108">
        <f>MIN(((-PMT(Parameters!$B$31/12,Parameters!$B$32,$E347))*3),W353)</f>
        <v>38552.014123975125</v>
      </c>
      <c r="Y352" s="108">
        <f>MIN(((-PMT(Parameters!$B$31/12,Parameters!$B$32,$E347))*3),X353)</f>
        <v>0</v>
      </c>
      <c r="Z352" s="108">
        <f>MIN(((-PMT(Parameters!$B$31/12,Parameters!$B$32,$E347))*3),Y353)</f>
        <v>0</v>
      </c>
      <c r="AA352" s="108">
        <f>MIN(((-PMT(Parameters!$B$31/12,Parameters!$B$32,$E347))*3),Z353)</f>
        <v>0</v>
      </c>
      <c r="AB352" s="108">
        <f>MIN(((-PMT(Parameters!$B$31/12,Parameters!$B$32,$E347))*3),AA353)</f>
        <v>0</v>
      </c>
      <c r="AC352" s="108">
        <f>MIN(((-PMT(Parameters!$B$31/12,Parameters!$B$32,$E347))*3),AB353)</f>
        <v>0</v>
      </c>
      <c r="AD352" s="108">
        <f>MIN(((-PMT(Parameters!$B$31/12,Parameters!$B$32,$E347))*3),AC353)</f>
        <v>0</v>
      </c>
      <c r="AE352" s="108">
        <f>MIN(((-PMT(Parameters!$B$31/12,Parameters!$B$32,$E347))*3),AD353)</f>
        <v>0</v>
      </c>
      <c r="AF352" s="108">
        <f>MIN(((-PMT(Parameters!$B$31/12,Parameters!$B$32,$E347))*3),AE353)</f>
        <v>0</v>
      </c>
      <c r="AG352" s="108">
        <f>MIN(((-PMT(Parameters!$B$31/12,Parameters!$B$32,$E347))*3),AF353)</f>
        <v>0</v>
      </c>
      <c r="AH352" s="108">
        <f>MIN(((-PMT(Parameters!$B$31/12,Parameters!$B$32,$E347))*3),AG353)</f>
        <v>0</v>
      </c>
      <c r="AI352" s="108">
        <f>MIN(((-PMT(Parameters!$B$31/12,Parameters!$B$32,$E347))*3),AH353)</f>
        <v>0</v>
      </c>
      <c r="AJ352" s="108">
        <f>MIN(((-PMT(Parameters!$B$31/12,Parameters!$B$32,$E347))*3),AI353)</f>
        <v>0</v>
      </c>
      <c r="AK352" s="108">
        <f>MIN(((-PMT(Parameters!$B$31/12,Parameters!$B$32,$E347))*3),AJ353)</f>
        <v>0</v>
      </c>
      <c r="AL352" s="108">
        <f>MIN(((-PMT(Parameters!$B$31/12,Parameters!$B$32,$E347))*3),AK353)</f>
        <v>0</v>
      </c>
      <c r="AM352" s="108">
        <f>MIN(((-PMT(Parameters!$B$31/12,Parameters!$B$32,$E347))*3),AL353)</f>
        <v>0</v>
      </c>
    </row>
    <row r="353" spans="1:39" ht="15" customHeight="1" x14ac:dyDescent="0.2">
      <c r="A353" s="868"/>
      <c r="B353" s="860"/>
      <c r="C353" s="860"/>
      <c r="D353" s="860"/>
      <c r="E353" s="860"/>
      <c r="F353" s="860"/>
      <c r="G353" s="860"/>
      <c r="H353" s="860"/>
      <c r="I353" s="861"/>
      <c r="L353" s="109">
        <f>K352-L352</f>
        <v>886696.32485141931</v>
      </c>
      <c r="M353" s="109">
        <f t="shared" ref="M353:AM353" si="144">L353-M352</f>
        <v>809592.29660346988</v>
      </c>
      <c r="N353" s="109">
        <f t="shared" si="144"/>
        <v>732488.26835552044</v>
      </c>
      <c r="O353" s="109">
        <f t="shared" si="144"/>
        <v>655384.24010757101</v>
      </c>
      <c r="P353" s="109">
        <f t="shared" si="144"/>
        <v>578280.21185962157</v>
      </c>
      <c r="Q353" s="109">
        <f t="shared" si="144"/>
        <v>501176.18361167208</v>
      </c>
      <c r="R353" s="109">
        <f t="shared" si="144"/>
        <v>424072.15536372259</v>
      </c>
      <c r="S353" s="109">
        <f t="shared" si="144"/>
        <v>346968.1271157731</v>
      </c>
      <c r="T353" s="109">
        <f t="shared" si="144"/>
        <v>269864.0988678236</v>
      </c>
      <c r="U353" s="109">
        <f t="shared" si="144"/>
        <v>192760.07061987411</v>
      </c>
      <c r="V353" s="109">
        <f t="shared" si="144"/>
        <v>115656.04237192462</v>
      </c>
      <c r="W353" s="109">
        <f t="shared" si="144"/>
        <v>38552.014123975125</v>
      </c>
      <c r="X353" s="109">
        <f t="shared" si="144"/>
        <v>0</v>
      </c>
      <c r="Y353" s="109">
        <f t="shared" si="144"/>
        <v>0</v>
      </c>
      <c r="Z353" s="109">
        <f t="shared" si="144"/>
        <v>0</v>
      </c>
      <c r="AA353" s="109">
        <f t="shared" si="144"/>
        <v>0</v>
      </c>
      <c r="AB353" s="109">
        <f t="shared" si="144"/>
        <v>0</v>
      </c>
      <c r="AC353" s="109">
        <f t="shared" si="144"/>
        <v>0</v>
      </c>
      <c r="AD353" s="109">
        <f t="shared" si="144"/>
        <v>0</v>
      </c>
      <c r="AE353" s="109">
        <f t="shared" si="144"/>
        <v>0</v>
      </c>
      <c r="AF353" s="109">
        <f t="shared" si="144"/>
        <v>0</v>
      </c>
      <c r="AG353" s="109">
        <f t="shared" si="144"/>
        <v>0</v>
      </c>
      <c r="AH353" s="109">
        <f t="shared" si="144"/>
        <v>0</v>
      </c>
      <c r="AI353" s="109">
        <f t="shared" si="144"/>
        <v>0</v>
      </c>
      <c r="AJ353" s="109">
        <f t="shared" si="144"/>
        <v>0</v>
      </c>
      <c r="AK353" s="109">
        <f t="shared" si="144"/>
        <v>0</v>
      </c>
      <c r="AL353" s="109">
        <f t="shared" si="144"/>
        <v>0</v>
      </c>
      <c r="AM353" s="109">
        <f t="shared" si="144"/>
        <v>0</v>
      </c>
    </row>
    <row r="354" spans="1:39" ht="15" customHeight="1" x14ac:dyDescent="0.2">
      <c r="A354" s="868"/>
      <c r="B354" s="860"/>
      <c r="C354" s="860"/>
      <c r="D354" s="860"/>
      <c r="E354" s="860"/>
      <c r="F354" s="860"/>
      <c r="G354" s="860"/>
      <c r="H354" s="860"/>
      <c r="I354" s="861"/>
      <c r="K354" s="110">
        <f>(-PMT(Parameters!$B$31/12,Parameters!$B$32,$F347))*Parameters!$B$32</f>
        <v>925248.33897539403</v>
      </c>
      <c r="L354" s="111"/>
      <c r="M354" s="108">
        <f>(-PMT(Parameters!$B$31/12,Parameters!$B$32,$F347))*Parameters!$K$32</f>
        <v>38552.014123974746</v>
      </c>
      <c r="N354" s="108">
        <f>MIN(((-PMT(Parameters!$B$31/12,Parameters!$B$32,$F347))*3),M355)</f>
        <v>77104.028247949493</v>
      </c>
      <c r="O354" s="108">
        <f>MIN(((-PMT(Parameters!$B$31/12,Parameters!$B$32,$F347))*3),N355)</f>
        <v>77104.028247949493</v>
      </c>
      <c r="P354" s="108">
        <f>MIN(((-PMT(Parameters!$B$31/12,Parameters!$B$32,$F347))*3),O355)</f>
        <v>77104.028247949493</v>
      </c>
      <c r="Q354" s="108">
        <f>MIN(((-PMT(Parameters!$B$31/12,Parameters!$B$32,$F347))*3),P355)</f>
        <v>77104.028247949493</v>
      </c>
      <c r="R354" s="108">
        <f>MIN(((-PMT(Parameters!$B$31/12,Parameters!$B$32,$F347))*3),Q355)</f>
        <v>77104.028247949493</v>
      </c>
      <c r="S354" s="108">
        <f>MIN(((-PMT(Parameters!$B$31/12,Parameters!$B$32,$F347))*3),R355)</f>
        <v>77104.028247949493</v>
      </c>
      <c r="T354" s="108">
        <f>MIN(((-PMT(Parameters!$B$31/12,Parameters!$B$32,$F347))*3),S355)</f>
        <v>77104.028247949493</v>
      </c>
      <c r="U354" s="108">
        <f>MIN(((-PMT(Parameters!$B$31/12,Parameters!$B$32,$F347))*3),T355)</f>
        <v>77104.028247949493</v>
      </c>
      <c r="V354" s="108">
        <f>MIN(((-PMT(Parameters!$B$31/12,Parameters!$B$32,$F347))*3),U355)</f>
        <v>77104.028247949493</v>
      </c>
      <c r="W354" s="108">
        <f>MIN(((-PMT(Parameters!$B$31/12,Parameters!$B$32,$F347))*3),V355)</f>
        <v>77104.028247949493</v>
      </c>
      <c r="X354" s="108">
        <f>MIN(((-PMT(Parameters!$B$31/12,Parameters!$B$32,$F347))*3),W355)</f>
        <v>77104.028247949493</v>
      </c>
      <c r="Y354" s="108">
        <f>MIN(((-PMT(Parameters!$B$31/12,Parameters!$B$32,$F347))*3),X355)</f>
        <v>38552.014123975125</v>
      </c>
      <c r="Z354" s="108">
        <f>MIN(((-PMT(Parameters!$B$31/12,Parameters!$B$32,$F347))*3),Y355)</f>
        <v>0</v>
      </c>
      <c r="AA354" s="108">
        <f>MIN(((-PMT(Parameters!$B$31/12,Parameters!$B$32,$F347))*3),Z355)</f>
        <v>0</v>
      </c>
      <c r="AB354" s="108">
        <f>MIN(((-PMT(Parameters!$B$31/12,Parameters!$B$32,$F347))*3),AA355)</f>
        <v>0</v>
      </c>
      <c r="AC354" s="108">
        <f>MIN(((-PMT(Parameters!$B$31/12,Parameters!$B$32,$F347))*3),AB355)</f>
        <v>0</v>
      </c>
      <c r="AD354" s="108">
        <f>MIN(((-PMT(Parameters!$B$31/12,Parameters!$B$32,$F347))*3),AC355)</f>
        <v>0</v>
      </c>
      <c r="AE354" s="108">
        <f>MIN(((-PMT(Parameters!$B$31/12,Parameters!$B$32,$F347))*3),AD355)</f>
        <v>0</v>
      </c>
      <c r="AF354" s="108">
        <f>MIN(((-PMT(Parameters!$B$31/12,Parameters!$B$32,$F347))*3),AE355)</f>
        <v>0</v>
      </c>
      <c r="AG354" s="108">
        <f>MIN(((-PMT(Parameters!$B$31/12,Parameters!$B$32,$F347))*3),AF355)</f>
        <v>0</v>
      </c>
      <c r="AH354" s="108">
        <f>MIN(((-PMT(Parameters!$B$31/12,Parameters!$B$32,$F347))*3),AG355)</f>
        <v>0</v>
      </c>
      <c r="AI354" s="108">
        <f>MIN(((-PMT(Parameters!$B$31/12,Parameters!$B$32,$F347))*3),AH355)</f>
        <v>0</v>
      </c>
      <c r="AJ354" s="108">
        <f>MIN(((-PMT(Parameters!$B$31/12,Parameters!$B$32,$F347))*3),AI355)</f>
        <v>0</v>
      </c>
      <c r="AK354" s="108">
        <f>MIN(((-PMT(Parameters!$B$31/12,Parameters!$B$32,$F347))*3),AJ355)</f>
        <v>0</v>
      </c>
      <c r="AL354" s="108">
        <f>MIN(((-PMT(Parameters!$B$31/12,Parameters!$B$32,$F347))*3),AK355)</f>
        <v>0</v>
      </c>
      <c r="AM354" s="108">
        <f>MIN(((-PMT(Parameters!$B$31/12,Parameters!$B$32,$F347))*3),AL355)</f>
        <v>0</v>
      </c>
    </row>
    <row r="355" spans="1:39" ht="15" customHeight="1" x14ac:dyDescent="0.2">
      <c r="A355" s="868"/>
      <c r="B355" s="860"/>
      <c r="C355" s="860"/>
      <c r="D355" s="860"/>
      <c r="E355" s="860"/>
      <c r="F355" s="860"/>
      <c r="G355" s="860"/>
      <c r="H355" s="860"/>
      <c r="I355" s="861"/>
      <c r="L355" s="109">
        <f>K354</f>
        <v>925248.33897539403</v>
      </c>
      <c r="M355" s="109">
        <f t="shared" ref="M355:AM355" si="145">L355-M354</f>
        <v>886696.32485141931</v>
      </c>
      <c r="N355" s="109">
        <f t="shared" si="145"/>
        <v>809592.29660346988</v>
      </c>
      <c r="O355" s="109">
        <f t="shared" si="145"/>
        <v>732488.26835552044</v>
      </c>
      <c r="P355" s="109">
        <f t="shared" si="145"/>
        <v>655384.24010757101</v>
      </c>
      <c r="Q355" s="109">
        <f t="shared" si="145"/>
        <v>578280.21185962157</v>
      </c>
      <c r="R355" s="109">
        <f t="shared" si="145"/>
        <v>501176.18361167208</v>
      </c>
      <c r="S355" s="109">
        <f t="shared" si="145"/>
        <v>424072.15536372259</v>
      </c>
      <c r="T355" s="109">
        <f t="shared" si="145"/>
        <v>346968.1271157731</v>
      </c>
      <c r="U355" s="109">
        <f t="shared" si="145"/>
        <v>269864.0988678236</v>
      </c>
      <c r="V355" s="109">
        <f t="shared" si="145"/>
        <v>192760.07061987411</v>
      </c>
      <c r="W355" s="109">
        <f t="shared" si="145"/>
        <v>115656.04237192462</v>
      </c>
      <c r="X355" s="109">
        <f t="shared" si="145"/>
        <v>38552.014123975125</v>
      </c>
      <c r="Y355" s="109">
        <f t="shared" si="145"/>
        <v>0</v>
      </c>
      <c r="Z355" s="109">
        <f t="shared" si="145"/>
        <v>0</v>
      </c>
      <c r="AA355" s="109">
        <f t="shared" si="145"/>
        <v>0</v>
      </c>
      <c r="AB355" s="109">
        <f t="shared" si="145"/>
        <v>0</v>
      </c>
      <c r="AC355" s="109">
        <f t="shared" si="145"/>
        <v>0</v>
      </c>
      <c r="AD355" s="109">
        <f t="shared" si="145"/>
        <v>0</v>
      </c>
      <c r="AE355" s="109">
        <f t="shared" si="145"/>
        <v>0</v>
      </c>
      <c r="AF355" s="109">
        <f t="shared" si="145"/>
        <v>0</v>
      </c>
      <c r="AG355" s="109">
        <f t="shared" si="145"/>
        <v>0</v>
      </c>
      <c r="AH355" s="109">
        <f t="shared" si="145"/>
        <v>0</v>
      </c>
      <c r="AI355" s="109">
        <f t="shared" si="145"/>
        <v>0</v>
      </c>
      <c r="AJ355" s="109">
        <f t="shared" si="145"/>
        <v>0</v>
      </c>
      <c r="AK355" s="109">
        <f t="shared" si="145"/>
        <v>0</v>
      </c>
      <c r="AL355" s="109">
        <f t="shared" si="145"/>
        <v>0</v>
      </c>
      <c r="AM355" s="109">
        <f t="shared" si="145"/>
        <v>0</v>
      </c>
    </row>
    <row r="356" spans="1:39" ht="15" customHeight="1" x14ac:dyDescent="0.2">
      <c r="A356" s="868"/>
      <c r="B356" s="860"/>
      <c r="C356" s="860"/>
      <c r="D356" s="860"/>
      <c r="E356" s="860"/>
      <c r="F356" s="860"/>
      <c r="G356" s="860"/>
      <c r="H356" s="860"/>
      <c r="I356" s="861"/>
      <c r="K356" s="110">
        <f>(-PMT(Parameters!$B$31/12,Parameters!$B$32,$G347))*Parameters!$B$32</f>
        <v>1096590.6239708373</v>
      </c>
      <c r="L356" s="111"/>
      <c r="M356" s="111"/>
      <c r="N356" s="108">
        <f>(-PMT(Parameters!$B$31/12,Parameters!$B$32,$G347))*Parameters!$K$32</f>
        <v>45691.275998784891</v>
      </c>
      <c r="O356" s="108">
        <f>MIN(((-PMT(Parameters!$B$31/12,Parameters!$B$32,$G347))*3),N357)</f>
        <v>91382.551997569783</v>
      </c>
      <c r="P356" s="108">
        <f>MIN(((-PMT(Parameters!$B$31/12,Parameters!$B$32,$G347))*3),O357)</f>
        <v>91382.551997569783</v>
      </c>
      <c r="Q356" s="108">
        <f>MIN(((-PMT(Parameters!$B$31/12,Parameters!$B$32,$G347))*3),P357)</f>
        <v>91382.551997569783</v>
      </c>
      <c r="R356" s="108">
        <f>MIN(((-PMT(Parameters!$B$31/12,Parameters!$B$32,$G347))*3),Q357)</f>
        <v>91382.551997569783</v>
      </c>
      <c r="S356" s="108">
        <f>MIN(((-PMT(Parameters!$B$31/12,Parameters!$B$32,$G347))*3),R357)</f>
        <v>91382.551997569783</v>
      </c>
      <c r="T356" s="108">
        <f>MIN(((-PMT(Parameters!$B$31/12,Parameters!$B$32,$G347))*3),S357)</f>
        <v>91382.551997569783</v>
      </c>
      <c r="U356" s="108">
        <f>MIN(((-PMT(Parameters!$B$31/12,Parameters!$B$32,$G347))*3),T357)</f>
        <v>91382.551997569783</v>
      </c>
      <c r="V356" s="108">
        <f>MIN(((-PMT(Parameters!$B$31/12,Parameters!$B$32,$G347))*3),U357)</f>
        <v>91382.551997569783</v>
      </c>
      <c r="W356" s="108">
        <f>MIN(((-PMT(Parameters!$B$31/12,Parameters!$B$32,$G347))*3),V357)</f>
        <v>91382.551997569783</v>
      </c>
      <c r="X356" s="108">
        <f>MIN(((-PMT(Parameters!$B$31/12,Parameters!$B$32,$G347))*3),W357)</f>
        <v>91382.551997569783</v>
      </c>
      <c r="Y356" s="108">
        <f>MIN(((-PMT(Parameters!$B$31/12,Parameters!$B$32,$G347))*3),X357)</f>
        <v>91382.551997569783</v>
      </c>
      <c r="Z356" s="108">
        <f>MIN(((-PMT(Parameters!$B$31/12,Parameters!$B$32,$G347))*3),Y357)</f>
        <v>45691.275998784942</v>
      </c>
      <c r="AA356" s="108">
        <f>MIN(((-PMT(Parameters!$B$31/12,Parameters!$B$32,$G347))*3),Z357)</f>
        <v>0</v>
      </c>
      <c r="AB356" s="108">
        <f>MIN(((-PMT(Parameters!$B$31/12,Parameters!$B$32,$G347))*3),AA357)</f>
        <v>0</v>
      </c>
      <c r="AC356" s="108">
        <f>MIN(((-PMT(Parameters!$B$31/12,Parameters!$B$32,$G347))*3),AB357)</f>
        <v>0</v>
      </c>
      <c r="AD356" s="108">
        <f>MIN(((-PMT(Parameters!$B$31/12,Parameters!$B$32,$G347))*3),AC357)</f>
        <v>0</v>
      </c>
      <c r="AE356" s="108">
        <f>MIN(((-PMT(Parameters!$B$31/12,Parameters!$B$32,$G347))*3),AD357)</f>
        <v>0</v>
      </c>
      <c r="AF356" s="108">
        <f>MIN(((-PMT(Parameters!$B$31/12,Parameters!$B$32,$G347))*3),AE357)</f>
        <v>0</v>
      </c>
      <c r="AG356" s="108">
        <f>MIN(((-PMT(Parameters!$B$31/12,Parameters!$B$32,$G347))*3),AF357)</f>
        <v>0</v>
      </c>
      <c r="AH356" s="108">
        <f>MIN(((-PMT(Parameters!$B$31/12,Parameters!$B$32,$G347))*3),AG357)</f>
        <v>0</v>
      </c>
      <c r="AI356" s="108">
        <f>MIN(((-PMT(Parameters!$B$31/12,Parameters!$B$32,$G347))*3),AH357)</f>
        <v>0</v>
      </c>
      <c r="AJ356" s="108">
        <f>MIN(((-PMT(Parameters!$B$31/12,Parameters!$B$32,$G347))*3),AI357)</f>
        <v>0</v>
      </c>
      <c r="AK356" s="108">
        <f>MIN(((-PMT(Parameters!$B$31/12,Parameters!$B$32,$G347))*3),AJ357)</f>
        <v>0</v>
      </c>
      <c r="AL356" s="108">
        <f>MIN(((-PMT(Parameters!$B$31/12,Parameters!$B$32,$G347))*3),AK357)</f>
        <v>0</v>
      </c>
      <c r="AM356" s="108">
        <f>MIN(((-PMT(Parameters!$B$31/12,Parameters!$B$32,$G347))*3),AL357)</f>
        <v>0</v>
      </c>
    </row>
    <row r="357" spans="1:39" ht="15" customHeight="1" x14ac:dyDescent="0.2">
      <c r="A357" s="868"/>
      <c r="B357" s="860"/>
      <c r="C357" s="860"/>
      <c r="D357" s="860"/>
      <c r="E357" s="860"/>
      <c r="F357" s="860"/>
      <c r="G357" s="860"/>
      <c r="H357" s="860"/>
      <c r="I357" s="861"/>
      <c r="L357" s="109">
        <f>K356</f>
        <v>1096590.6239708373</v>
      </c>
      <c r="M357" s="109">
        <f>L357</f>
        <v>1096590.6239708373</v>
      </c>
      <c r="N357" s="109">
        <f t="shared" ref="N357:AM357" si="146">M357-N356</f>
        <v>1050899.3479720524</v>
      </c>
      <c r="O357" s="109">
        <f t="shared" si="146"/>
        <v>959516.79597448267</v>
      </c>
      <c r="P357" s="109">
        <f t="shared" si="146"/>
        <v>868134.24397691293</v>
      </c>
      <c r="Q357" s="109">
        <f t="shared" si="146"/>
        <v>776751.69197934319</v>
      </c>
      <c r="R357" s="109">
        <f t="shared" si="146"/>
        <v>685369.13998177345</v>
      </c>
      <c r="S357" s="109">
        <f t="shared" si="146"/>
        <v>593986.58798420371</v>
      </c>
      <c r="T357" s="109">
        <f t="shared" si="146"/>
        <v>502604.03598663391</v>
      </c>
      <c r="U357" s="109">
        <f t="shared" si="146"/>
        <v>411221.48398906412</v>
      </c>
      <c r="V357" s="109">
        <f t="shared" si="146"/>
        <v>319838.93199149432</v>
      </c>
      <c r="W357" s="109">
        <f t="shared" si="146"/>
        <v>228456.37999392452</v>
      </c>
      <c r="X357" s="109">
        <f t="shared" si="146"/>
        <v>137073.82799635472</v>
      </c>
      <c r="Y357" s="109">
        <f t="shared" si="146"/>
        <v>45691.275998784942</v>
      </c>
      <c r="Z357" s="109">
        <f t="shared" si="146"/>
        <v>0</v>
      </c>
      <c r="AA357" s="109">
        <f t="shared" si="146"/>
        <v>0</v>
      </c>
      <c r="AB357" s="109">
        <f t="shared" si="146"/>
        <v>0</v>
      </c>
      <c r="AC357" s="109">
        <f t="shared" si="146"/>
        <v>0</v>
      </c>
      <c r="AD357" s="109">
        <f t="shared" si="146"/>
        <v>0</v>
      </c>
      <c r="AE357" s="109">
        <f t="shared" si="146"/>
        <v>0</v>
      </c>
      <c r="AF357" s="109">
        <f t="shared" si="146"/>
        <v>0</v>
      </c>
      <c r="AG357" s="109">
        <f t="shared" si="146"/>
        <v>0</v>
      </c>
      <c r="AH357" s="109">
        <f t="shared" si="146"/>
        <v>0</v>
      </c>
      <c r="AI357" s="109">
        <f t="shared" si="146"/>
        <v>0</v>
      </c>
      <c r="AJ357" s="109">
        <f t="shared" si="146"/>
        <v>0</v>
      </c>
      <c r="AK357" s="109">
        <f t="shared" si="146"/>
        <v>0</v>
      </c>
      <c r="AL357" s="109">
        <f t="shared" si="146"/>
        <v>0</v>
      </c>
      <c r="AM357" s="109">
        <f t="shared" si="146"/>
        <v>0</v>
      </c>
    </row>
    <row r="358" spans="1:39" ht="15" customHeight="1" x14ac:dyDescent="0.2">
      <c r="A358" s="868"/>
      <c r="B358" s="860"/>
      <c r="C358" s="860"/>
      <c r="D358" s="860"/>
      <c r="E358" s="860"/>
      <c r="F358" s="860"/>
      <c r="G358" s="860"/>
      <c r="H358" s="860"/>
      <c r="I358" s="861"/>
      <c r="K358" s="110">
        <f>(-PMT(Parameters!$B$31/12,Parameters!$B$32,$H347))*Parameters!$B$32</f>
        <v>1165127.5379690148</v>
      </c>
      <c r="L358" s="111"/>
      <c r="M358" s="111"/>
      <c r="N358" s="111"/>
      <c r="O358" s="108">
        <f>(-PMT(Parameters!$B$31/12,Parameters!$B$32,$H347))*Parameters!$K$32</f>
        <v>48546.980748708957</v>
      </c>
      <c r="P358" s="108">
        <f>MIN(((-PMT(Parameters!$B$31/12,Parameters!$B$32,$H347))*3),O359)</f>
        <v>97093.961497417913</v>
      </c>
      <c r="Q358" s="108">
        <f>MIN(((-PMT(Parameters!$B$31/12,Parameters!$B$32,$H347))*3),P359)</f>
        <v>97093.961497417913</v>
      </c>
      <c r="R358" s="108">
        <f>MIN(((-PMT(Parameters!$B$31/12,Parameters!$B$32,$H347))*3),Q359)</f>
        <v>97093.961497417913</v>
      </c>
      <c r="S358" s="108">
        <f>MIN(((-PMT(Parameters!$B$31/12,Parameters!$B$32,$H347))*3),R359)</f>
        <v>97093.961497417913</v>
      </c>
      <c r="T358" s="108">
        <f>MIN(((-PMT(Parameters!$B$31/12,Parameters!$B$32,$H347))*3),S359)</f>
        <v>97093.961497417913</v>
      </c>
      <c r="U358" s="108">
        <f>MIN(((-PMT(Parameters!$B$31/12,Parameters!$B$32,$H347))*3),T359)</f>
        <v>97093.961497417913</v>
      </c>
      <c r="V358" s="108">
        <f>MIN(((-PMT(Parameters!$B$31/12,Parameters!$B$32,$H347))*3),U359)</f>
        <v>97093.961497417913</v>
      </c>
      <c r="W358" s="108">
        <f>MIN(((-PMT(Parameters!$B$31/12,Parameters!$B$32,$H347))*3),V359)</f>
        <v>97093.961497417913</v>
      </c>
      <c r="X358" s="108">
        <f>MIN(((-PMT(Parameters!$B$31/12,Parameters!$B$32,$H347))*3),W359)</f>
        <v>97093.961497417913</v>
      </c>
      <c r="Y358" s="108">
        <f>MIN(((-PMT(Parameters!$B$31/12,Parameters!$B$32,$H347))*3),X359)</f>
        <v>97093.961497417913</v>
      </c>
      <c r="Z358" s="108">
        <f>MIN(((-PMT(Parameters!$B$31/12,Parameters!$B$32,$H347))*3),Y359)</f>
        <v>97093.961497417913</v>
      </c>
      <c r="AA358" s="108">
        <f>MIN(((-PMT(Parameters!$B$31/12,Parameters!$B$32,$H347))*3),Z359)</f>
        <v>48546.980748708971</v>
      </c>
      <c r="AB358" s="108">
        <f>MIN(((-PMT(Parameters!$B$31/12,Parameters!$B$32,$H347))*3),AA359)</f>
        <v>0</v>
      </c>
      <c r="AC358" s="108">
        <f>MIN(((-PMT(Parameters!$B$31/12,Parameters!$B$32,$H347))*3),AB359)</f>
        <v>0</v>
      </c>
      <c r="AD358" s="108">
        <f>MIN(((-PMT(Parameters!$B$31/12,Parameters!$B$32,$H347))*3),AC359)</f>
        <v>0</v>
      </c>
      <c r="AE358" s="108">
        <f>MIN(((-PMT(Parameters!$B$31/12,Parameters!$B$32,$H347))*3),AD359)</f>
        <v>0</v>
      </c>
      <c r="AF358" s="108">
        <f>MIN(((-PMT(Parameters!$B$31/12,Parameters!$B$32,$H347))*3),AE359)</f>
        <v>0</v>
      </c>
      <c r="AG358" s="108">
        <f>MIN(((-PMT(Parameters!$B$31/12,Parameters!$B$32,$H347))*3),AF359)</f>
        <v>0</v>
      </c>
      <c r="AH358" s="108">
        <f>MIN(((-PMT(Parameters!$B$31/12,Parameters!$B$32,$H347))*3),AG359)</f>
        <v>0</v>
      </c>
      <c r="AI358" s="108">
        <f>MIN(((-PMT(Parameters!$B$31/12,Parameters!$B$32,$H347))*3),AH359)</f>
        <v>0</v>
      </c>
      <c r="AJ358" s="108">
        <f>MIN(((-PMT(Parameters!$B$31/12,Parameters!$B$32,$H347))*3),AI359)</f>
        <v>0</v>
      </c>
      <c r="AK358" s="108">
        <f>MIN(((-PMT(Parameters!$B$31/12,Parameters!$B$32,$H347))*3),AJ359)</f>
        <v>0</v>
      </c>
      <c r="AL358" s="108">
        <f>MIN(((-PMT(Parameters!$B$31/12,Parameters!$B$32,$H347))*3),AK359)</f>
        <v>0</v>
      </c>
      <c r="AM358" s="108">
        <f>MIN(((-PMT(Parameters!$B$31/12,Parameters!$B$32,$H347))*3),AL359)</f>
        <v>0</v>
      </c>
    </row>
    <row r="359" spans="1:39" ht="15" customHeight="1" x14ac:dyDescent="0.2">
      <c r="A359" s="868"/>
      <c r="B359" s="860"/>
      <c r="C359" s="860"/>
      <c r="D359" s="860"/>
      <c r="E359" s="860"/>
      <c r="F359" s="860"/>
      <c r="G359" s="860"/>
      <c r="H359" s="860"/>
      <c r="I359" s="861"/>
      <c r="L359" s="109">
        <f>K358</f>
        <v>1165127.5379690148</v>
      </c>
      <c r="M359" s="109">
        <f>L359</f>
        <v>1165127.5379690148</v>
      </c>
      <c r="N359" s="109">
        <f t="shared" ref="N359:AM359" si="147">M359-N358</f>
        <v>1165127.5379690148</v>
      </c>
      <c r="O359" s="109">
        <f t="shared" si="147"/>
        <v>1116580.5572203058</v>
      </c>
      <c r="P359" s="109">
        <f t="shared" si="147"/>
        <v>1019486.5957228879</v>
      </c>
      <c r="Q359" s="109">
        <f t="shared" si="147"/>
        <v>922392.63422547001</v>
      </c>
      <c r="R359" s="109">
        <f t="shared" si="147"/>
        <v>825298.67272805213</v>
      </c>
      <c r="S359" s="109">
        <f t="shared" si="147"/>
        <v>728204.71123063425</v>
      </c>
      <c r="T359" s="109">
        <f t="shared" si="147"/>
        <v>631110.74973321636</v>
      </c>
      <c r="U359" s="109">
        <f t="shared" si="147"/>
        <v>534016.78823579848</v>
      </c>
      <c r="V359" s="109">
        <f t="shared" si="147"/>
        <v>436922.82673838059</v>
      </c>
      <c r="W359" s="109">
        <f t="shared" si="147"/>
        <v>339828.86524096271</v>
      </c>
      <c r="X359" s="109">
        <f t="shared" si="147"/>
        <v>242734.9037435448</v>
      </c>
      <c r="Y359" s="109">
        <f t="shared" si="147"/>
        <v>145640.94224612688</v>
      </c>
      <c r="Z359" s="109">
        <f t="shared" si="147"/>
        <v>48546.980748708971</v>
      </c>
      <c r="AA359" s="109">
        <f t="shared" si="147"/>
        <v>0</v>
      </c>
      <c r="AB359" s="109">
        <f t="shared" si="147"/>
        <v>0</v>
      </c>
      <c r="AC359" s="109">
        <f t="shared" si="147"/>
        <v>0</v>
      </c>
      <c r="AD359" s="109">
        <f t="shared" si="147"/>
        <v>0</v>
      </c>
      <c r="AE359" s="109">
        <f t="shared" si="147"/>
        <v>0</v>
      </c>
      <c r="AF359" s="109">
        <f t="shared" si="147"/>
        <v>0</v>
      </c>
      <c r="AG359" s="109">
        <f t="shared" si="147"/>
        <v>0</v>
      </c>
      <c r="AH359" s="109">
        <f t="shared" si="147"/>
        <v>0</v>
      </c>
      <c r="AI359" s="109">
        <f t="shared" si="147"/>
        <v>0</v>
      </c>
      <c r="AJ359" s="109">
        <f t="shared" si="147"/>
        <v>0</v>
      </c>
      <c r="AK359" s="109">
        <f t="shared" si="147"/>
        <v>0</v>
      </c>
      <c r="AL359" s="109">
        <f t="shared" si="147"/>
        <v>0</v>
      </c>
      <c r="AM359" s="109">
        <f t="shared" si="147"/>
        <v>0</v>
      </c>
    </row>
    <row r="360" spans="1:39" ht="15" customHeight="1" x14ac:dyDescent="0.2">
      <c r="A360" s="868"/>
      <c r="B360" s="860"/>
      <c r="C360" s="860"/>
      <c r="D360" s="860"/>
      <c r="E360" s="860"/>
      <c r="F360" s="860"/>
      <c r="G360" s="860"/>
      <c r="H360" s="860"/>
      <c r="I360" s="861"/>
      <c r="L360" s="109">
        <f>L352+L354+L356+L358</f>
        <v>38552.014123974746</v>
      </c>
      <c r="M360" s="109">
        <f t="shared" ref="M360:AM360" si="148">M352+M354+M356+M358</f>
        <v>115656.04237192424</v>
      </c>
      <c r="N360" s="109">
        <f t="shared" si="148"/>
        <v>199899.33249468388</v>
      </c>
      <c r="O360" s="109">
        <f t="shared" si="148"/>
        <v>294137.58924217772</v>
      </c>
      <c r="P360" s="109">
        <f t="shared" si="148"/>
        <v>342684.56999088672</v>
      </c>
      <c r="Q360" s="109">
        <f t="shared" si="148"/>
        <v>342684.56999088672</v>
      </c>
      <c r="R360" s="109">
        <f t="shared" si="148"/>
        <v>342684.56999088672</v>
      </c>
      <c r="S360" s="109">
        <f t="shared" si="148"/>
        <v>342684.56999088672</v>
      </c>
      <c r="T360" s="109">
        <f t="shared" si="148"/>
        <v>342684.56999088672</v>
      </c>
      <c r="U360" s="109">
        <f t="shared" si="148"/>
        <v>342684.56999088672</v>
      </c>
      <c r="V360" s="109">
        <f t="shared" si="148"/>
        <v>342684.56999088672</v>
      </c>
      <c r="W360" s="109">
        <f t="shared" si="148"/>
        <v>342684.56999088672</v>
      </c>
      <c r="X360" s="109">
        <f t="shared" si="148"/>
        <v>304132.55586691236</v>
      </c>
      <c r="Y360" s="109">
        <f t="shared" si="148"/>
        <v>227028.52761896281</v>
      </c>
      <c r="Z360" s="109">
        <f t="shared" si="148"/>
        <v>142785.23749620287</v>
      </c>
      <c r="AA360" s="109">
        <f t="shared" si="148"/>
        <v>48546.980748708971</v>
      </c>
      <c r="AB360" s="109">
        <f t="shared" si="148"/>
        <v>0</v>
      </c>
      <c r="AC360" s="109">
        <f t="shared" si="148"/>
        <v>0</v>
      </c>
      <c r="AD360" s="109">
        <f t="shared" si="148"/>
        <v>0</v>
      </c>
      <c r="AE360" s="109">
        <f t="shared" si="148"/>
        <v>0</v>
      </c>
      <c r="AF360" s="109">
        <f t="shared" si="148"/>
        <v>0</v>
      </c>
      <c r="AG360" s="109">
        <f t="shared" si="148"/>
        <v>0</v>
      </c>
      <c r="AH360" s="109">
        <f t="shared" si="148"/>
        <v>0</v>
      </c>
      <c r="AI360" s="109">
        <f t="shared" si="148"/>
        <v>0</v>
      </c>
      <c r="AJ360" s="109">
        <f t="shared" si="148"/>
        <v>0</v>
      </c>
      <c r="AK360" s="109">
        <f t="shared" si="148"/>
        <v>0</v>
      </c>
      <c r="AL360" s="109">
        <f t="shared" si="148"/>
        <v>0</v>
      </c>
      <c r="AM360" s="109">
        <f t="shared" si="148"/>
        <v>0</v>
      </c>
    </row>
    <row r="361" spans="1:39" ht="15" customHeight="1" thickBot="1" x14ac:dyDescent="0.25">
      <c r="A361" s="869"/>
      <c r="B361" s="862"/>
      <c r="C361" s="862"/>
      <c r="D361" s="862"/>
      <c r="E361" s="862"/>
      <c r="F361" s="862"/>
      <c r="G361" s="862"/>
      <c r="H361" s="862"/>
      <c r="I361" s="863"/>
      <c r="L361"/>
      <c r="M361"/>
      <c r="N361"/>
      <c r="O361"/>
      <c r="P361"/>
      <c r="Q361"/>
      <c r="R361"/>
      <c r="S361"/>
      <c r="T361"/>
      <c r="U361"/>
      <c r="V361"/>
      <c r="W361"/>
      <c r="X361"/>
      <c r="Y361"/>
      <c r="Z361"/>
      <c r="AA361"/>
      <c r="AB361"/>
      <c r="AC361"/>
      <c r="AD361"/>
      <c r="AE361"/>
      <c r="AF361"/>
      <c r="AG361"/>
      <c r="AH361"/>
      <c r="AI361"/>
      <c r="AJ361"/>
      <c r="AK361"/>
      <c r="AL361"/>
      <c r="AM361"/>
    </row>
    <row r="362" spans="1:39" ht="13.2" thickBot="1" x14ac:dyDescent="0.25"/>
    <row r="363" spans="1:39" ht="16.05" customHeight="1" x14ac:dyDescent="0.2">
      <c r="A363" s="889">
        <v>2014</v>
      </c>
      <c r="B363" s="890"/>
      <c r="C363" s="893" t="s">
        <v>198</v>
      </c>
      <c r="D363" s="894"/>
      <c r="E363" s="864" t="s">
        <v>406</v>
      </c>
      <c r="F363" s="883" t="s">
        <v>407</v>
      </c>
      <c r="G363" s="883" t="s">
        <v>408</v>
      </c>
      <c r="H363" s="885" t="s">
        <v>409</v>
      </c>
      <c r="I363" s="887" t="s">
        <v>498</v>
      </c>
      <c r="L363" s="85">
        <f>T297</f>
        <v>39813</v>
      </c>
      <c r="M363" s="85">
        <f t="shared" ref="M363:AM363" si="149">L364+1</f>
        <v>39903</v>
      </c>
      <c r="N363" s="85">
        <f t="shared" si="149"/>
        <v>39994</v>
      </c>
      <c r="O363" s="85">
        <f t="shared" si="149"/>
        <v>40086</v>
      </c>
      <c r="P363" s="85">
        <f t="shared" si="149"/>
        <v>40178</v>
      </c>
      <c r="Q363" s="85">
        <f t="shared" si="149"/>
        <v>40268</v>
      </c>
      <c r="R363" s="85">
        <f t="shared" si="149"/>
        <v>40359</v>
      </c>
      <c r="S363" s="85">
        <f t="shared" si="149"/>
        <v>40451</v>
      </c>
      <c r="T363" s="85">
        <f t="shared" si="149"/>
        <v>40543</v>
      </c>
      <c r="U363" s="85">
        <f t="shared" si="149"/>
        <v>40633</v>
      </c>
      <c r="V363" s="85">
        <f t="shared" si="149"/>
        <v>40724</v>
      </c>
      <c r="W363" s="85">
        <f t="shared" si="149"/>
        <v>40816</v>
      </c>
      <c r="X363" s="85">
        <f t="shared" si="149"/>
        <v>40908</v>
      </c>
      <c r="Y363" s="85">
        <f t="shared" si="149"/>
        <v>40999</v>
      </c>
      <c r="Z363" s="85">
        <f t="shared" si="149"/>
        <v>41090</v>
      </c>
      <c r="AA363" s="85">
        <f t="shared" si="149"/>
        <v>41182</v>
      </c>
      <c r="AB363" s="85">
        <f t="shared" si="149"/>
        <v>41274</v>
      </c>
      <c r="AC363" s="85">
        <f t="shared" si="149"/>
        <v>41364</v>
      </c>
      <c r="AD363" s="85">
        <f t="shared" si="149"/>
        <v>41455</v>
      </c>
      <c r="AE363" s="85">
        <f t="shared" si="149"/>
        <v>41547</v>
      </c>
      <c r="AF363" s="85">
        <f t="shared" si="149"/>
        <v>41639</v>
      </c>
      <c r="AG363" s="85">
        <f t="shared" si="149"/>
        <v>41729</v>
      </c>
      <c r="AH363" s="85">
        <f t="shared" si="149"/>
        <v>41820</v>
      </c>
      <c r="AI363" s="85">
        <f t="shared" si="149"/>
        <v>41912</v>
      </c>
      <c r="AJ363" s="85">
        <f t="shared" si="149"/>
        <v>42004</v>
      </c>
      <c r="AK363" s="85">
        <f t="shared" si="149"/>
        <v>42094</v>
      </c>
      <c r="AL363" s="85">
        <f t="shared" si="149"/>
        <v>42185</v>
      </c>
      <c r="AM363" s="85">
        <f t="shared" si="149"/>
        <v>42277</v>
      </c>
    </row>
    <row r="364" spans="1:39" ht="16.05" customHeight="1" thickBot="1" x14ac:dyDescent="0.25">
      <c r="A364" s="891"/>
      <c r="B364" s="892"/>
      <c r="C364" s="895"/>
      <c r="D364" s="896"/>
      <c r="E364" s="865"/>
      <c r="F364" s="884"/>
      <c r="G364" s="884"/>
      <c r="H364" s="886"/>
      <c r="I364" s="888"/>
      <c r="L364" s="85">
        <f>T298</f>
        <v>39902</v>
      </c>
      <c r="M364" s="85">
        <f t="shared" ref="M364:AM364" si="150">U298</f>
        <v>39993</v>
      </c>
      <c r="N364" s="85">
        <f t="shared" si="150"/>
        <v>40085</v>
      </c>
      <c r="O364" s="85">
        <f t="shared" si="150"/>
        <v>40177</v>
      </c>
      <c r="P364" s="85">
        <f t="shared" si="150"/>
        <v>40267</v>
      </c>
      <c r="Q364" s="85">
        <f t="shared" si="150"/>
        <v>40358</v>
      </c>
      <c r="R364" s="85">
        <f t="shared" si="150"/>
        <v>40450</v>
      </c>
      <c r="S364" s="85">
        <f t="shared" si="150"/>
        <v>40542</v>
      </c>
      <c r="T364" s="85">
        <f t="shared" si="150"/>
        <v>40632</v>
      </c>
      <c r="U364" s="85">
        <f t="shared" si="150"/>
        <v>40723</v>
      </c>
      <c r="V364" s="85">
        <f t="shared" si="150"/>
        <v>40815</v>
      </c>
      <c r="W364" s="85">
        <f t="shared" si="150"/>
        <v>40907</v>
      </c>
      <c r="X364" s="85">
        <f t="shared" si="150"/>
        <v>40998</v>
      </c>
      <c r="Y364" s="85">
        <f t="shared" si="150"/>
        <v>41089</v>
      </c>
      <c r="Z364" s="85">
        <f t="shared" si="150"/>
        <v>41181</v>
      </c>
      <c r="AA364" s="85">
        <f t="shared" si="150"/>
        <v>41273</v>
      </c>
      <c r="AB364" s="85">
        <f t="shared" si="150"/>
        <v>41363</v>
      </c>
      <c r="AC364" s="85">
        <f t="shared" si="150"/>
        <v>41454</v>
      </c>
      <c r="AD364" s="85">
        <f t="shared" si="150"/>
        <v>41546</v>
      </c>
      <c r="AE364" s="85">
        <f t="shared" si="150"/>
        <v>41638</v>
      </c>
      <c r="AF364" s="85">
        <f t="shared" si="150"/>
        <v>41728</v>
      </c>
      <c r="AG364" s="85">
        <f t="shared" si="150"/>
        <v>41819</v>
      </c>
      <c r="AH364" s="85">
        <f t="shared" si="150"/>
        <v>41911</v>
      </c>
      <c r="AI364" s="85">
        <f t="shared" si="150"/>
        <v>42003</v>
      </c>
      <c r="AJ364" s="85">
        <f t="shared" si="150"/>
        <v>42093</v>
      </c>
      <c r="AK364" s="85">
        <f t="shared" si="150"/>
        <v>42184</v>
      </c>
      <c r="AL364" s="85">
        <f t="shared" si="150"/>
        <v>42276</v>
      </c>
      <c r="AM364" s="85">
        <f t="shared" si="150"/>
        <v>42368</v>
      </c>
    </row>
    <row r="365" spans="1:39" ht="15" customHeight="1" x14ac:dyDescent="0.2">
      <c r="A365" s="878" t="s">
        <v>318</v>
      </c>
      <c r="B365" s="870" t="s">
        <v>347</v>
      </c>
      <c r="C365" s="385" t="s">
        <v>341</v>
      </c>
      <c r="D365" s="94">
        <f>1-Parameters!N$8</f>
        <v>0</v>
      </c>
      <c r="E365" s="96">
        <f>ROUND(Calculations!N5*$D365,0)</f>
        <v>0</v>
      </c>
      <c r="F365" s="96">
        <f>ROUND(Calculations!O5*$D365,0)</f>
        <v>0</v>
      </c>
      <c r="G365" s="96">
        <f>ROUND(Calculations!P5*$D365,0)</f>
        <v>0</v>
      </c>
      <c r="H365" s="96">
        <f>ROUND(Calculations!Q5*$D365,0)</f>
        <v>0</v>
      </c>
      <c r="I365" s="103">
        <f>SUM(E365:H365)</f>
        <v>0</v>
      </c>
      <c r="L365" s="88"/>
      <c r="M365" s="88"/>
      <c r="N365" s="88"/>
      <c r="O365" s="88"/>
      <c r="P365" s="85">
        <f>P363</f>
        <v>40178</v>
      </c>
      <c r="Q365" s="85">
        <f>Q363</f>
        <v>40268</v>
      </c>
      <c r="R365" s="85">
        <f>R363</f>
        <v>40359</v>
      </c>
      <c r="S365" s="85">
        <f>S363</f>
        <v>40451</v>
      </c>
      <c r="T365" s="88"/>
      <c r="U365" s="88"/>
      <c r="V365" s="88"/>
      <c r="W365" s="88"/>
      <c r="Y365"/>
    </row>
    <row r="366" spans="1:39" ht="15" customHeight="1" x14ac:dyDescent="0.2">
      <c r="A366" s="879"/>
      <c r="B366" s="605"/>
      <c r="C366" s="385" t="s">
        <v>117</v>
      </c>
      <c r="D366" s="150">
        <f>1-Parameters!N$9</f>
        <v>0</v>
      </c>
      <c r="E366" s="98">
        <f>ROUND(Calculations!N6*$D366,0)</f>
        <v>0</v>
      </c>
      <c r="F366" s="99">
        <f>ROUND(Calculations!O6*$D366,0)</f>
        <v>0</v>
      </c>
      <c r="G366" s="99">
        <f>ROUND(Calculations!P6*$D366,0)</f>
        <v>0</v>
      </c>
      <c r="H366" s="100">
        <f>ROUND(Calculations!Q6*$D366,0)</f>
        <v>0</v>
      </c>
      <c r="I366" s="102">
        <f>SUM(E366:H366)</f>
        <v>0</v>
      </c>
      <c r="L366" s="386"/>
      <c r="M366" s="386"/>
      <c r="N366" s="386"/>
      <c r="O366" s="386"/>
      <c r="P366" s="299"/>
      <c r="Q366" s="299"/>
      <c r="R366" s="299"/>
      <c r="S366" s="299"/>
      <c r="T366" s="386"/>
      <c r="U366" s="386"/>
      <c r="V366" s="386"/>
      <c r="W366" s="386"/>
      <c r="Y366"/>
    </row>
    <row r="367" spans="1:39" ht="15" customHeight="1" x14ac:dyDescent="0.2">
      <c r="A367" s="879"/>
      <c r="B367" s="605"/>
      <c r="C367" s="384" t="s">
        <v>247</v>
      </c>
      <c r="D367" s="150">
        <f>1-Parameters!N$10</f>
        <v>0</v>
      </c>
      <c r="E367" s="98">
        <f>ROUND(Calculations!N7*$D367,0)</f>
        <v>0</v>
      </c>
      <c r="F367" s="99">
        <f>ROUND(Calculations!O7*$D367,0)</f>
        <v>0</v>
      </c>
      <c r="G367" s="99">
        <f>ROUND(Calculations!P7*$D367,0)</f>
        <v>0</v>
      </c>
      <c r="H367" s="100">
        <f>ROUND(Calculations!Q7*$D367,0)</f>
        <v>0</v>
      </c>
      <c r="I367" s="102">
        <f>SUM(E367:H367)</f>
        <v>0</v>
      </c>
      <c r="L367"/>
      <c r="M367"/>
      <c r="N367"/>
      <c r="O367"/>
      <c r="P367"/>
      <c r="Q367"/>
      <c r="R367"/>
      <c r="S367"/>
      <c r="T367"/>
      <c r="U367"/>
      <c r="V367"/>
      <c r="W367"/>
      <c r="X367"/>
      <c r="Y367"/>
    </row>
    <row r="368" spans="1:39" ht="15" customHeight="1" x14ac:dyDescent="0.2">
      <c r="A368" s="880"/>
      <c r="B368" s="688"/>
      <c r="C368" s="688" t="s">
        <v>139</v>
      </c>
      <c r="D368" s="871"/>
      <c r="E368" s="92">
        <f>SUM(E365:E367)</f>
        <v>0</v>
      </c>
      <c r="F368" s="92">
        <f>SUM(F365:F367)</f>
        <v>0</v>
      </c>
      <c r="G368" s="92">
        <f>SUM(G365:G367)</f>
        <v>0</v>
      </c>
      <c r="H368" s="92">
        <f>SUM(H365:H367)</f>
        <v>0</v>
      </c>
      <c r="I368" s="872">
        <f>H369</f>
        <v>0</v>
      </c>
      <c r="L368" s="93">
        <f>IF($M370&lt;=L364,$E368,IF($N370&lt;=L364,$F368,IF($O370&lt;=L364,$G368,IF($P370&lt;=L364,$H368,))))</f>
        <v>0</v>
      </c>
      <c r="M368" s="93">
        <f t="shared" ref="M368:W368" si="151">IF(AND($M370&gt;L364,$M370&lt;=M364),$E368,IF(AND($N370&gt;L364,$N370&lt;=M364),$F368,IF(AND($O370&gt;L364,$O370&lt;=M364),$G368,IF(AND($P370&gt;L364,$P370&lt;=M364),$H368,))))</f>
        <v>0</v>
      </c>
      <c r="N368" s="93">
        <f t="shared" si="151"/>
        <v>0</v>
      </c>
      <c r="O368" s="93">
        <f t="shared" si="151"/>
        <v>0</v>
      </c>
      <c r="P368" s="93">
        <f t="shared" si="151"/>
        <v>0</v>
      </c>
      <c r="Q368" s="93">
        <f t="shared" si="151"/>
        <v>0</v>
      </c>
      <c r="R368" s="93">
        <f t="shared" si="151"/>
        <v>0</v>
      </c>
      <c r="S368" s="93">
        <f t="shared" si="151"/>
        <v>0</v>
      </c>
      <c r="T368" s="93">
        <f t="shared" si="151"/>
        <v>0</v>
      </c>
      <c r="U368" s="93">
        <f t="shared" si="151"/>
        <v>0</v>
      </c>
      <c r="V368" s="93">
        <f t="shared" si="151"/>
        <v>0</v>
      </c>
      <c r="W368" s="93">
        <f t="shared" si="151"/>
        <v>0</v>
      </c>
      <c r="X368" s="93">
        <f>SUM(L368:W368)</f>
        <v>0</v>
      </c>
      <c r="Y368"/>
    </row>
    <row r="369" spans="1:39" ht="15" customHeight="1" x14ac:dyDescent="0.2">
      <c r="A369" s="880"/>
      <c r="B369" s="688"/>
      <c r="C369" s="874" t="s">
        <v>331</v>
      </c>
      <c r="D369" s="875"/>
      <c r="E369" s="105">
        <f>E368</f>
        <v>0</v>
      </c>
      <c r="F369" s="15">
        <f>E369+F368</f>
        <v>0</v>
      </c>
      <c r="G369" s="15">
        <f>F369+G368</f>
        <v>0</v>
      </c>
      <c r="H369" s="15">
        <f>G369+H368</f>
        <v>0</v>
      </c>
      <c r="I369" s="873"/>
    </row>
    <row r="370" spans="1:39" ht="15" customHeight="1" x14ac:dyDescent="0.2">
      <c r="A370" s="880"/>
      <c r="B370" s="688" t="s">
        <v>411</v>
      </c>
      <c r="C370" s="65" t="s">
        <v>405</v>
      </c>
      <c r="D370" s="104">
        <f>Parameters!$D$21</f>
        <v>18000</v>
      </c>
      <c r="E370" s="72">
        <f>E368*$D370</f>
        <v>0</v>
      </c>
      <c r="F370" s="72">
        <f>F368*$D370</f>
        <v>0</v>
      </c>
      <c r="G370" s="72">
        <f>G368*$D370</f>
        <v>0</v>
      </c>
      <c r="H370" s="72">
        <f>H368*$D370</f>
        <v>0</v>
      </c>
      <c r="I370" s="106">
        <f>SUM(E370:H370)</f>
        <v>0</v>
      </c>
      <c r="L370" s="60" t="s">
        <v>196</v>
      </c>
      <c r="M370" s="79">
        <f>P365+$D371</f>
        <v>40178</v>
      </c>
      <c r="N370" s="79">
        <f>Q365+$D371</f>
        <v>40268</v>
      </c>
      <c r="O370" s="79">
        <f>R365+$D371</f>
        <v>40359</v>
      </c>
      <c r="P370" s="79">
        <f>S365+$D371</f>
        <v>40451</v>
      </c>
      <c r="X370" s="69" t="s">
        <v>366</v>
      </c>
    </row>
    <row r="371" spans="1:39" ht="15" customHeight="1" thickBot="1" x14ac:dyDescent="0.25">
      <c r="A371" s="881"/>
      <c r="B371" s="882"/>
      <c r="C371" s="70" t="s">
        <v>332</v>
      </c>
      <c r="D371" s="84">
        <f>Parameters!$B$36</f>
        <v>0</v>
      </c>
      <c r="E371" s="72">
        <f>SUM(L371:P371)+L404+T338</f>
        <v>0</v>
      </c>
      <c r="F371" s="66">
        <f>Q371+M404+U338</f>
        <v>0</v>
      </c>
      <c r="G371" s="66">
        <f>R371+N404+V338</f>
        <v>0</v>
      </c>
      <c r="H371" s="66">
        <f>S371+O404+W338</f>
        <v>0</v>
      </c>
      <c r="I371" s="89">
        <f>SUM(E371:H371)</f>
        <v>0</v>
      </c>
      <c r="L371" s="68">
        <f>IF($M370&lt;=L364,$E370,IF($N370&lt;=L364,$F370,IF($O370&lt;=L364,$G370,IF($P370&lt;=L364,$H370,))))</f>
        <v>0</v>
      </c>
      <c r="M371" s="68">
        <f t="shared" ref="M371:W371" si="152">IF(AND($M370&gt;L364,$M370&lt;=M364),$E370,IF(AND($N370&gt;L364,$N370&lt;=M364),$F370,IF(AND($O370&gt;L364,$O370&lt;=M364),$G370,IF(AND($P370&gt;L364,$P370&lt;=M364),$H370,))))</f>
        <v>0</v>
      </c>
      <c r="N371" s="68">
        <f t="shared" si="152"/>
        <v>0</v>
      </c>
      <c r="O371" s="68">
        <f t="shared" si="152"/>
        <v>0</v>
      </c>
      <c r="P371" s="68">
        <f t="shared" si="152"/>
        <v>0</v>
      </c>
      <c r="Q371" s="68">
        <f t="shared" si="152"/>
        <v>0</v>
      </c>
      <c r="R371" s="68">
        <f t="shared" si="152"/>
        <v>0</v>
      </c>
      <c r="S371" s="68">
        <f t="shared" si="152"/>
        <v>0</v>
      </c>
      <c r="T371" s="68">
        <f t="shared" si="152"/>
        <v>0</v>
      </c>
      <c r="U371" s="68">
        <f t="shared" si="152"/>
        <v>0</v>
      </c>
      <c r="V371" s="68">
        <f t="shared" si="152"/>
        <v>0</v>
      </c>
      <c r="W371" s="68">
        <f t="shared" si="152"/>
        <v>0</v>
      </c>
      <c r="X371" s="68">
        <f>SUM(L371:W371)</f>
        <v>0</v>
      </c>
    </row>
    <row r="372" spans="1:39" ht="15" customHeight="1" x14ac:dyDescent="0.2">
      <c r="A372" s="866" t="s">
        <v>206</v>
      </c>
      <c r="B372" s="870" t="s">
        <v>317</v>
      </c>
      <c r="C372" s="95" t="str">
        <f>C365</f>
        <v>Europe</v>
      </c>
      <c r="D372" s="94">
        <f>1-D365</f>
        <v>1</v>
      </c>
      <c r="E372" s="96">
        <f>Calculations!N5-E365</f>
        <v>47</v>
      </c>
      <c r="F372" s="97">
        <f>Calculations!O5-F365</f>
        <v>47</v>
      </c>
      <c r="G372" s="97">
        <f>Calculations!P5-G365</f>
        <v>47</v>
      </c>
      <c r="H372" s="96">
        <f>Calculations!Q5-H365</f>
        <v>49</v>
      </c>
      <c r="I372" s="103">
        <f>SUM(E372:H372)</f>
        <v>190</v>
      </c>
    </row>
    <row r="373" spans="1:39" ht="15" customHeight="1" x14ac:dyDescent="0.2">
      <c r="A373" s="867"/>
      <c r="B373" s="605"/>
      <c r="C373" s="385" t="str">
        <f>C366</f>
        <v>Africa</v>
      </c>
      <c r="D373" s="150">
        <f>1-D366</f>
        <v>1</v>
      </c>
      <c r="E373" s="98">
        <f>Calculations!N6-E366</f>
        <v>25</v>
      </c>
      <c r="F373" s="99">
        <f>Calculations!O6-F366</f>
        <v>25</v>
      </c>
      <c r="G373" s="99">
        <f>Calculations!P6-G366</f>
        <v>25</v>
      </c>
      <c r="H373" s="100">
        <f>Calculations!Q6-H366</f>
        <v>25</v>
      </c>
      <c r="I373" s="102">
        <f>SUM(E373:H373)</f>
        <v>100</v>
      </c>
    </row>
    <row r="374" spans="1:39" ht="15" customHeight="1" x14ac:dyDescent="0.2">
      <c r="A374" s="868"/>
      <c r="B374" s="605"/>
      <c r="C374" s="385" t="str">
        <f>C367</f>
        <v>Asia</v>
      </c>
      <c r="D374" s="150">
        <f>1-D367</f>
        <v>1</v>
      </c>
      <c r="E374" s="98">
        <f>Calculations!N7-E367</f>
        <v>5</v>
      </c>
      <c r="F374" s="99">
        <f>Calculations!O7-F367</f>
        <v>5</v>
      </c>
      <c r="G374" s="99">
        <f>Calculations!P7-G367</f>
        <v>5</v>
      </c>
      <c r="H374" s="100">
        <f>Calculations!Q7-H367</f>
        <v>5</v>
      </c>
      <c r="I374" s="102">
        <f>SUM(E374:H374)</f>
        <v>20</v>
      </c>
    </row>
    <row r="375" spans="1:39" ht="15" customHeight="1" x14ac:dyDescent="0.2">
      <c r="A375" s="868"/>
      <c r="B375" s="688"/>
      <c r="C375" s="688" t="s">
        <v>139</v>
      </c>
      <c r="D375" s="871"/>
      <c r="E375" s="92">
        <f>SUM(E372:E374)</f>
        <v>77</v>
      </c>
      <c r="F375" s="10">
        <f>SUM(F372:F374)</f>
        <v>77</v>
      </c>
      <c r="G375" s="10">
        <f>SUM(G372:G374)</f>
        <v>77</v>
      </c>
      <c r="H375" s="101">
        <f>SUM(H372:H374)</f>
        <v>79</v>
      </c>
      <c r="I375" s="872">
        <f>H376</f>
        <v>310</v>
      </c>
      <c r="L375"/>
      <c r="M375"/>
      <c r="N375"/>
      <c r="O375"/>
      <c r="P375"/>
      <c r="Q375"/>
      <c r="R375"/>
      <c r="S375"/>
      <c r="T375"/>
      <c r="U375"/>
      <c r="V375"/>
      <c r="W375"/>
      <c r="X375"/>
      <c r="Y375"/>
    </row>
    <row r="376" spans="1:39" ht="15" customHeight="1" x14ac:dyDescent="0.2">
      <c r="A376" s="868"/>
      <c r="B376" s="688"/>
      <c r="C376" s="874" t="s">
        <v>331</v>
      </c>
      <c r="D376" s="875"/>
      <c r="E376" s="105">
        <f>E375</f>
        <v>77</v>
      </c>
      <c r="F376" s="15">
        <f>F375+E376</f>
        <v>154</v>
      </c>
      <c r="G376" s="15">
        <f>G375+F376</f>
        <v>231</v>
      </c>
      <c r="H376" s="15">
        <f>H375+G376</f>
        <v>310</v>
      </c>
      <c r="I376" s="873"/>
      <c r="L376"/>
      <c r="M376"/>
      <c r="N376"/>
      <c r="O376"/>
      <c r="P376"/>
      <c r="Q376"/>
      <c r="R376"/>
      <c r="S376"/>
      <c r="T376"/>
      <c r="U376"/>
      <c r="V376"/>
      <c r="W376"/>
      <c r="X376"/>
      <c r="Y376"/>
    </row>
    <row r="377" spans="1:39" ht="15" customHeight="1" x14ac:dyDescent="0.2">
      <c r="A377" s="868"/>
      <c r="B377" s="566" t="s">
        <v>68</v>
      </c>
      <c r="C377" s="688" t="s">
        <v>412</v>
      </c>
      <c r="D377" s="871"/>
      <c r="E377" s="72">
        <f>E375*$D370</f>
        <v>1386000</v>
      </c>
      <c r="F377" s="66">
        <f>F375*$D370</f>
        <v>1386000</v>
      </c>
      <c r="G377" s="66">
        <f>G375*$D370</f>
        <v>1386000</v>
      </c>
      <c r="H377" s="86">
        <f>H375*$D370</f>
        <v>1422000</v>
      </c>
      <c r="I377" s="74">
        <f>SUM(E377:H377)</f>
        <v>5580000</v>
      </c>
    </row>
    <row r="378" spans="1:39" ht="15" customHeight="1" x14ac:dyDescent="0.2">
      <c r="A378" s="868"/>
      <c r="B378" s="566"/>
      <c r="C378" s="65" t="s">
        <v>413</v>
      </c>
      <c r="D378" s="87">
        <f>1-Parameters!$B$33</f>
        <v>0.19999999999999996</v>
      </c>
      <c r="E378" s="72">
        <f>E377*$D378</f>
        <v>277199.99999999994</v>
      </c>
      <c r="F378" s="66">
        <f>F377*$D378</f>
        <v>277199.99999999994</v>
      </c>
      <c r="G378" s="66">
        <f>G377*$D378</f>
        <v>277199.99999999994</v>
      </c>
      <c r="H378" s="86">
        <f>H377*$D378</f>
        <v>284399.99999999994</v>
      </c>
      <c r="I378" s="106">
        <f>SUM(E378:H378)</f>
        <v>1115999.9999999998</v>
      </c>
      <c r="L378" s="60" t="s">
        <v>196</v>
      </c>
      <c r="M378" s="79">
        <f>P365+$D379</f>
        <v>40178</v>
      </c>
      <c r="N378" s="79">
        <f>Q365+$D379</f>
        <v>40268</v>
      </c>
      <c r="O378" s="79">
        <f>R365+$D379</f>
        <v>40359</v>
      </c>
      <c r="P378" s="79">
        <f>S365+$D379</f>
        <v>40451</v>
      </c>
      <c r="X378" s="69" t="s">
        <v>366</v>
      </c>
    </row>
    <row r="379" spans="1:39" ht="15" customHeight="1" x14ac:dyDescent="0.2">
      <c r="A379" s="868"/>
      <c r="B379" s="566"/>
      <c r="C379" s="5" t="s">
        <v>332</v>
      </c>
      <c r="D379" s="73">
        <f>Parameters!$B$36</f>
        <v>0</v>
      </c>
      <c r="E379" s="72">
        <f>SUM(L379:P379)+L412+T346</f>
        <v>277199.99999999994</v>
      </c>
      <c r="F379" s="66">
        <f>Q379+M412+U346</f>
        <v>277199.99999999994</v>
      </c>
      <c r="G379" s="66">
        <f>R379+N412+V346</f>
        <v>277199.99999999994</v>
      </c>
      <c r="H379" s="66">
        <f>S379+O412+W346</f>
        <v>284399.99999999994</v>
      </c>
      <c r="I379" s="74">
        <f>SUM(E379:H379)</f>
        <v>1115999.9999999998</v>
      </c>
      <c r="L379" s="68">
        <f>IF($M378&lt;=L364,$E378,IF($N378&lt;=L364,$F378,IF($O378&lt;=L364,$G378,IF($P378&lt;=L364,$H378,))))</f>
        <v>0</v>
      </c>
      <c r="M379" s="68">
        <f t="shared" ref="M379:W379" si="153">IF(AND($M378&gt;L364,$M378&lt;=M364),$E378,IF(AND($N378&gt;L364,$N378&lt;=M364),$F378,IF(AND($O378&gt;L364,$O378&lt;=M364),$G378,IF(AND($P378&gt;L364,$P378&lt;=M364),$H378,))))</f>
        <v>0</v>
      </c>
      <c r="N379" s="68">
        <f t="shared" si="153"/>
        <v>0</v>
      </c>
      <c r="O379" s="68">
        <f t="shared" si="153"/>
        <v>0</v>
      </c>
      <c r="P379" s="68">
        <f t="shared" si="153"/>
        <v>277199.99999999994</v>
      </c>
      <c r="Q379" s="68">
        <f t="shared" si="153"/>
        <v>277199.99999999994</v>
      </c>
      <c r="R379" s="68">
        <f t="shared" si="153"/>
        <v>277199.99999999994</v>
      </c>
      <c r="S379" s="68">
        <f t="shared" si="153"/>
        <v>284399.99999999994</v>
      </c>
      <c r="T379" s="68">
        <f t="shared" si="153"/>
        <v>0</v>
      </c>
      <c r="U379" s="68">
        <f t="shared" si="153"/>
        <v>0</v>
      </c>
      <c r="V379" s="68">
        <f t="shared" si="153"/>
        <v>0</v>
      </c>
      <c r="W379" s="68">
        <f t="shared" si="153"/>
        <v>0</v>
      </c>
      <c r="X379" s="68">
        <f>SUM(L379:W379)</f>
        <v>1115999.9999999998</v>
      </c>
    </row>
    <row r="380" spans="1:39" ht="15" customHeight="1" x14ac:dyDescent="0.2">
      <c r="A380" s="868"/>
      <c r="B380" s="566"/>
      <c r="C380" s="65" t="s">
        <v>194</v>
      </c>
      <c r="D380" s="87">
        <f>Parameters!$B$33</f>
        <v>0.8</v>
      </c>
      <c r="E380" s="72">
        <f>E377*$D380</f>
        <v>1108800</v>
      </c>
      <c r="F380" s="72">
        <f>F377*$D380</f>
        <v>1108800</v>
      </c>
      <c r="G380" s="72">
        <f>G377*$D380</f>
        <v>1108800</v>
      </c>
      <c r="H380" s="72">
        <f>H377*$D380</f>
        <v>1137600</v>
      </c>
      <c r="I380" s="74">
        <f>SUM(E380:H380)</f>
        <v>4464000</v>
      </c>
      <c r="L380" s="91"/>
      <c r="M380" s="91"/>
      <c r="N380" s="91"/>
      <c r="O380" s="91"/>
      <c r="P380" s="91"/>
      <c r="Q380" s="91"/>
      <c r="R380" s="91"/>
      <c r="S380" s="91"/>
      <c r="T380" s="91"/>
      <c r="U380" s="91"/>
      <c r="V380" s="91"/>
      <c r="W380" s="91"/>
      <c r="X380" s="91"/>
    </row>
    <row r="381" spans="1:39" ht="15" customHeight="1" x14ac:dyDescent="0.2">
      <c r="A381" s="868"/>
      <c r="B381" s="566"/>
      <c r="C381" s="874" t="s">
        <v>331</v>
      </c>
      <c r="D381" s="875"/>
      <c r="E381" s="81">
        <f>E380</f>
        <v>1108800</v>
      </c>
      <c r="F381" s="81">
        <f>E381+F380</f>
        <v>2217600</v>
      </c>
      <c r="G381" s="81">
        <f>F381+G380</f>
        <v>3326400</v>
      </c>
      <c r="H381" s="81">
        <f>G381+H380</f>
        <v>4464000</v>
      </c>
      <c r="I381" s="78">
        <f>H381</f>
        <v>4464000</v>
      </c>
      <c r="L381" s="91"/>
      <c r="M381" s="91"/>
      <c r="N381" s="91"/>
      <c r="O381" s="91"/>
      <c r="P381" s="91"/>
      <c r="Q381" s="91"/>
      <c r="R381" s="91"/>
      <c r="S381" s="91"/>
      <c r="T381" s="91"/>
      <c r="U381" s="91"/>
      <c r="V381" s="91"/>
      <c r="W381" s="91"/>
      <c r="X381" s="91"/>
    </row>
    <row r="382" spans="1:39" ht="15" customHeight="1" x14ac:dyDescent="0.2">
      <c r="A382" s="868"/>
      <c r="B382" s="566"/>
      <c r="C382" s="876" t="s">
        <v>390</v>
      </c>
      <c r="D382" s="877"/>
      <c r="E382" s="107">
        <f>L393+T327+Q360</f>
        <v>439707.13886955648</v>
      </c>
      <c r="F382" s="107">
        <f>M393+U327+R360</f>
        <v>538657.30845442507</v>
      </c>
      <c r="G382" s="107">
        <f>N393+V327+S360</f>
        <v>637607.47803929355</v>
      </c>
      <c r="H382" s="107">
        <f>O393+W327+T360</f>
        <v>737842.71476162784</v>
      </c>
      <c r="I382" s="74">
        <f>SUM(E382:H382)</f>
        <v>2353814.6401249031</v>
      </c>
      <c r="L382" s="60" t="s">
        <v>196</v>
      </c>
      <c r="M382" s="79">
        <f>P365+$D383</f>
        <v>40208</v>
      </c>
      <c r="N382" s="79">
        <f>Q365+$D383</f>
        <v>40298</v>
      </c>
      <c r="O382" s="79">
        <f>R365+$D383</f>
        <v>40389</v>
      </c>
      <c r="P382" s="79">
        <f>S365+$D383</f>
        <v>40481</v>
      </c>
      <c r="X382" s="69" t="s">
        <v>366</v>
      </c>
    </row>
    <row r="383" spans="1:39" ht="15" customHeight="1" x14ac:dyDescent="0.2">
      <c r="A383" s="868"/>
      <c r="B383" s="566"/>
      <c r="C383" s="75" t="s">
        <v>332</v>
      </c>
      <c r="D383" s="76">
        <f>Parameters!$B$37</f>
        <v>30</v>
      </c>
      <c r="E383" s="112">
        <f>SUM(L383:P383)+L416</f>
        <v>439707.13886955648</v>
      </c>
      <c r="F383" s="71">
        <f>Q383+M416</f>
        <v>538657.30845442507</v>
      </c>
      <c r="G383" s="71">
        <f>R383+N416</f>
        <v>637607.47803929355</v>
      </c>
      <c r="H383" s="71">
        <f>S383+O416</f>
        <v>737842.71476162784</v>
      </c>
      <c r="I383" s="77">
        <f>SUM(E383:H383)</f>
        <v>2353814.6401249031</v>
      </c>
      <c r="L383" s="68">
        <f>IF($M382&lt;=L364,$E382,IF($N382&lt;=L364,$F382,IF($O382&lt;=L364,$G382,IF($P382&lt;=L364,$H382,))))</f>
        <v>0</v>
      </c>
      <c r="M383" s="68">
        <f t="shared" ref="M383:W383" si="154">IF(AND($M382&gt;L364,$M382&lt;=M364),$E382,IF(AND($N382&gt;L364,$N382&lt;=M364),$F382,IF(AND($O382&gt;L364,$O382&lt;=M364),$G382,IF(AND($P382&gt;L364,$P382&lt;=M364),$H382,))))</f>
        <v>0</v>
      </c>
      <c r="N383" s="68">
        <f t="shared" si="154"/>
        <v>0</v>
      </c>
      <c r="O383" s="68">
        <f t="shared" si="154"/>
        <v>0</v>
      </c>
      <c r="P383" s="68">
        <f t="shared" si="154"/>
        <v>439707.13886955648</v>
      </c>
      <c r="Q383" s="68">
        <f t="shared" si="154"/>
        <v>538657.30845442507</v>
      </c>
      <c r="R383" s="68">
        <f t="shared" si="154"/>
        <v>637607.47803929355</v>
      </c>
      <c r="S383" s="68">
        <f t="shared" si="154"/>
        <v>737842.71476162784</v>
      </c>
      <c r="T383" s="68">
        <f t="shared" si="154"/>
        <v>0</v>
      </c>
      <c r="U383" s="68">
        <f t="shared" si="154"/>
        <v>0</v>
      </c>
      <c r="V383" s="68">
        <f t="shared" si="154"/>
        <v>0</v>
      </c>
      <c r="W383" s="68">
        <f t="shared" si="154"/>
        <v>0</v>
      </c>
      <c r="X383" s="68">
        <f>SUM(L383:W383)</f>
        <v>2353814.6401249031</v>
      </c>
    </row>
    <row r="384" spans="1:39" ht="15" customHeight="1" x14ac:dyDescent="0.2">
      <c r="A384" s="868"/>
      <c r="B384" s="860" t="s">
        <v>410</v>
      </c>
      <c r="C384" s="860"/>
      <c r="D384" s="860"/>
      <c r="E384" s="860"/>
      <c r="F384" s="860"/>
      <c r="G384" s="860"/>
      <c r="H384" s="860"/>
      <c r="I384" s="861"/>
      <c r="L384" s="67">
        <f t="shared" ref="L384:AM384" si="155">P364</f>
        <v>40267</v>
      </c>
      <c r="M384" s="67">
        <f t="shared" si="155"/>
        <v>40358</v>
      </c>
      <c r="N384" s="67">
        <f t="shared" si="155"/>
        <v>40450</v>
      </c>
      <c r="O384" s="67">
        <f t="shared" si="155"/>
        <v>40542</v>
      </c>
      <c r="P384" s="67">
        <f t="shared" si="155"/>
        <v>40632</v>
      </c>
      <c r="Q384" s="67">
        <f t="shared" si="155"/>
        <v>40723</v>
      </c>
      <c r="R384" s="67">
        <f t="shared" si="155"/>
        <v>40815</v>
      </c>
      <c r="S384" s="67">
        <f t="shared" si="155"/>
        <v>40907</v>
      </c>
      <c r="T384" s="67">
        <f t="shared" si="155"/>
        <v>40998</v>
      </c>
      <c r="U384" s="67">
        <f t="shared" si="155"/>
        <v>41089</v>
      </c>
      <c r="V384" s="67">
        <f t="shared" si="155"/>
        <v>41181</v>
      </c>
      <c r="W384" s="67">
        <f t="shared" si="155"/>
        <v>41273</v>
      </c>
      <c r="X384" s="67">
        <f t="shared" si="155"/>
        <v>41363</v>
      </c>
      <c r="Y384" s="67">
        <f t="shared" si="155"/>
        <v>41454</v>
      </c>
      <c r="Z384" s="67">
        <f t="shared" si="155"/>
        <v>41546</v>
      </c>
      <c r="AA384" s="67">
        <f t="shared" si="155"/>
        <v>41638</v>
      </c>
      <c r="AB384" s="67">
        <f t="shared" si="155"/>
        <v>41728</v>
      </c>
      <c r="AC384" s="67">
        <f t="shared" si="155"/>
        <v>41819</v>
      </c>
      <c r="AD384" s="67">
        <f t="shared" si="155"/>
        <v>41911</v>
      </c>
      <c r="AE384" s="67">
        <f t="shared" si="155"/>
        <v>42003</v>
      </c>
      <c r="AF384" s="67">
        <f t="shared" si="155"/>
        <v>42093</v>
      </c>
      <c r="AG384" s="67">
        <f t="shared" si="155"/>
        <v>42184</v>
      </c>
      <c r="AH384" s="67">
        <f t="shared" si="155"/>
        <v>42276</v>
      </c>
      <c r="AI384" s="67">
        <f t="shared" si="155"/>
        <v>42368</v>
      </c>
      <c r="AJ384" s="67">
        <f t="shared" si="155"/>
        <v>0</v>
      </c>
      <c r="AK384" s="67">
        <f t="shared" si="155"/>
        <v>0</v>
      </c>
      <c r="AL384" s="67">
        <f t="shared" si="155"/>
        <v>0</v>
      </c>
      <c r="AM384" s="67">
        <f t="shared" si="155"/>
        <v>0</v>
      </c>
    </row>
    <row r="385" spans="1:39" ht="15" customHeight="1" x14ac:dyDescent="0.2">
      <c r="A385" s="868"/>
      <c r="B385" s="860"/>
      <c r="C385" s="860"/>
      <c r="D385" s="860"/>
      <c r="E385" s="860"/>
      <c r="F385" s="860"/>
      <c r="G385" s="860"/>
      <c r="H385" s="860"/>
      <c r="I385" s="861"/>
      <c r="K385" s="110">
        <f>(-PMT(Parameters!$B$31/12,Parameters!$B$32,$E380))*Parameters!$B$32</f>
        <v>1187402.0350184222</v>
      </c>
      <c r="L385" s="108">
        <f>(-PMT(Parameters!$B$31/12,Parameters!$B$32,$E380))*Parameters!$K$32</f>
        <v>49475.08479243426</v>
      </c>
      <c r="M385" s="108">
        <f>MIN(((-PMT(Parameters!$B$31/12,Parameters!$B$32,$E380))*3),L386)</f>
        <v>98950.169584868519</v>
      </c>
      <c r="N385" s="108">
        <f>MIN(((-PMT(Parameters!$B$31/12,Parameters!$B$32,$E380))*3),M386)</f>
        <v>98950.169584868519</v>
      </c>
      <c r="O385" s="108">
        <f>MIN(((-PMT(Parameters!$B$31/12,Parameters!$B$32,$E380))*3),N386)</f>
        <v>98950.169584868519</v>
      </c>
      <c r="P385" s="108">
        <f>MIN(((-PMT(Parameters!$B$31/12,Parameters!$B$32,$E380))*3),O386)</f>
        <v>98950.169584868519</v>
      </c>
      <c r="Q385" s="108">
        <f>MIN(((-PMT(Parameters!$B$31/12,Parameters!$B$32,$E380))*3),P386)</f>
        <v>98950.169584868519</v>
      </c>
      <c r="R385" s="108">
        <f>MIN(((-PMT(Parameters!$B$31/12,Parameters!$B$32,$E380))*3),Q386)</f>
        <v>98950.169584868519</v>
      </c>
      <c r="S385" s="108">
        <f>MIN(((-PMT(Parameters!$B$31/12,Parameters!$B$32,$E380))*3),R386)</f>
        <v>98950.169584868519</v>
      </c>
      <c r="T385" s="108">
        <f>MIN(((-PMT(Parameters!$B$31/12,Parameters!$B$32,$E380))*3),S386)</f>
        <v>98950.169584868519</v>
      </c>
      <c r="U385" s="108">
        <f>MIN(((-PMT(Parameters!$B$31/12,Parameters!$B$32,$E380))*3),T386)</f>
        <v>98950.169584868519</v>
      </c>
      <c r="V385" s="108">
        <f>MIN(((-PMT(Parameters!$B$31/12,Parameters!$B$32,$E380))*3),U386)</f>
        <v>98950.169584868519</v>
      </c>
      <c r="W385" s="108">
        <f>MIN(((-PMT(Parameters!$B$31/12,Parameters!$B$32,$E380))*3),V386)</f>
        <v>98950.169584868519</v>
      </c>
      <c r="X385" s="108">
        <f>MIN(((-PMT(Parameters!$B$31/12,Parameters!$B$32,$E380))*3),W386)</f>
        <v>49475.084792434427</v>
      </c>
      <c r="Y385" s="108">
        <f>MIN(((-PMT(Parameters!$B$31/12,Parameters!$B$32,$E380))*3),X386)</f>
        <v>0</v>
      </c>
      <c r="Z385" s="108">
        <f>MIN(((-PMT(Parameters!$B$31/12,Parameters!$B$32,$E380))*3),Y386)</f>
        <v>0</v>
      </c>
      <c r="AA385" s="108">
        <f>MIN(((-PMT(Parameters!$B$31/12,Parameters!$B$32,$E380))*3),Z386)</f>
        <v>0</v>
      </c>
      <c r="AB385" s="108">
        <f>MIN(((-PMT(Parameters!$B$31/12,Parameters!$B$32,$E380))*3),AA386)</f>
        <v>0</v>
      </c>
      <c r="AC385" s="108">
        <f>MIN(((-PMT(Parameters!$B$31/12,Parameters!$B$32,$E380))*3),AB386)</f>
        <v>0</v>
      </c>
      <c r="AD385" s="108">
        <f>MIN(((-PMT(Parameters!$B$31/12,Parameters!$B$32,$E380))*3),AC386)</f>
        <v>0</v>
      </c>
      <c r="AE385" s="108">
        <f>MIN(((-PMT(Parameters!$B$31/12,Parameters!$B$32,$E380))*3),AD386)</f>
        <v>0</v>
      </c>
      <c r="AF385" s="108">
        <f>MIN(((-PMT(Parameters!$B$31/12,Parameters!$B$32,$E380))*3),AE386)</f>
        <v>0</v>
      </c>
      <c r="AG385" s="108">
        <f>MIN(((-PMT(Parameters!$B$31/12,Parameters!$B$32,$E380))*3),AF386)</f>
        <v>0</v>
      </c>
      <c r="AH385" s="108">
        <f>MIN(((-PMT(Parameters!$B$31/12,Parameters!$B$32,$E380))*3),AG386)</f>
        <v>0</v>
      </c>
      <c r="AI385" s="108">
        <f>MIN(((-PMT(Parameters!$B$31/12,Parameters!$B$32,$E380))*3),AH386)</f>
        <v>0</v>
      </c>
      <c r="AJ385" s="108">
        <f>MIN(((-PMT(Parameters!$B$31/12,Parameters!$B$32,$E380))*3),AI386)</f>
        <v>0</v>
      </c>
      <c r="AK385" s="108">
        <f>MIN(((-PMT(Parameters!$B$31/12,Parameters!$B$32,$E380))*3),AJ386)</f>
        <v>0</v>
      </c>
      <c r="AL385" s="108">
        <f>MIN(((-PMT(Parameters!$B$31/12,Parameters!$B$32,$E380))*3),AK386)</f>
        <v>0</v>
      </c>
      <c r="AM385" s="108">
        <f>MIN(((-PMT(Parameters!$B$31/12,Parameters!$B$32,$E380))*3),AL386)</f>
        <v>0</v>
      </c>
    </row>
    <row r="386" spans="1:39" ht="15" customHeight="1" x14ac:dyDescent="0.2">
      <c r="A386" s="868"/>
      <c r="B386" s="860"/>
      <c r="C386" s="860"/>
      <c r="D386" s="860"/>
      <c r="E386" s="860"/>
      <c r="F386" s="860"/>
      <c r="G386" s="860"/>
      <c r="H386" s="860"/>
      <c r="I386" s="861"/>
      <c r="L386" s="109">
        <f>K385-L385</f>
        <v>1137926.9502259879</v>
      </c>
      <c r="M386" s="109">
        <f t="shared" ref="M386:AM386" si="156">L386-M385</f>
        <v>1038976.7806411195</v>
      </c>
      <c r="N386" s="109">
        <f t="shared" si="156"/>
        <v>940026.61105625099</v>
      </c>
      <c r="O386" s="109">
        <f t="shared" si="156"/>
        <v>841076.44147138251</v>
      </c>
      <c r="P386" s="109">
        <f t="shared" si="156"/>
        <v>742126.27188651403</v>
      </c>
      <c r="Q386" s="109">
        <f t="shared" si="156"/>
        <v>643176.10230164556</v>
      </c>
      <c r="R386" s="109">
        <f t="shared" si="156"/>
        <v>544225.93271677708</v>
      </c>
      <c r="S386" s="109">
        <f t="shared" si="156"/>
        <v>445275.76313190855</v>
      </c>
      <c r="T386" s="109">
        <f t="shared" si="156"/>
        <v>346325.59354704001</v>
      </c>
      <c r="U386" s="109">
        <f t="shared" si="156"/>
        <v>247375.42396217148</v>
      </c>
      <c r="V386" s="109">
        <f t="shared" si="156"/>
        <v>148425.25437730295</v>
      </c>
      <c r="W386" s="109">
        <f t="shared" si="156"/>
        <v>49475.084792434427</v>
      </c>
      <c r="X386" s="109">
        <f t="shared" si="156"/>
        <v>0</v>
      </c>
      <c r="Y386" s="109">
        <f t="shared" si="156"/>
        <v>0</v>
      </c>
      <c r="Z386" s="109">
        <f t="shared" si="156"/>
        <v>0</v>
      </c>
      <c r="AA386" s="109">
        <f t="shared" si="156"/>
        <v>0</v>
      </c>
      <c r="AB386" s="109">
        <f t="shared" si="156"/>
        <v>0</v>
      </c>
      <c r="AC386" s="109">
        <f t="shared" si="156"/>
        <v>0</v>
      </c>
      <c r="AD386" s="109">
        <f t="shared" si="156"/>
        <v>0</v>
      </c>
      <c r="AE386" s="109">
        <f t="shared" si="156"/>
        <v>0</v>
      </c>
      <c r="AF386" s="109">
        <f t="shared" si="156"/>
        <v>0</v>
      </c>
      <c r="AG386" s="109">
        <f t="shared" si="156"/>
        <v>0</v>
      </c>
      <c r="AH386" s="109">
        <f t="shared" si="156"/>
        <v>0</v>
      </c>
      <c r="AI386" s="109">
        <f t="shared" si="156"/>
        <v>0</v>
      </c>
      <c r="AJ386" s="109">
        <f t="shared" si="156"/>
        <v>0</v>
      </c>
      <c r="AK386" s="109">
        <f t="shared" si="156"/>
        <v>0</v>
      </c>
      <c r="AL386" s="109">
        <f t="shared" si="156"/>
        <v>0</v>
      </c>
      <c r="AM386" s="109">
        <f t="shared" si="156"/>
        <v>0</v>
      </c>
    </row>
    <row r="387" spans="1:39" ht="15" customHeight="1" x14ac:dyDescent="0.2">
      <c r="A387" s="868"/>
      <c r="B387" s="860"/>
      <c r="C387" s="860"/>
      <c r="D387" s="860"/>
      <c r="E387" s="860"/>
      <c r="F387" s="860"/>
      <c r="G387" s="860"/>
      <c r="H387" s="860"/>
      <c r="I387" s="861"/>
      <c r="K387" s="110">
        <f>(-PMT(Parameters!$B$31/12,Parameters!$B$32,$F380))*Parameters!$B$32</f>
        <v>1187402.0350184222</v>
      </c>
      <c r="L387" s="111"/>
      <c r="M387" s="108">
        <f>(-PMT(Parameters!$B$31/12,Parameters!$B$32,$F380))*Parameters!$K$32</f>
        <v>49475.08479243426</v>
      </c>
      <c r="N387" s="108">
        <f>MIN(((-PMT(Parameters!$B$31/12,Parameters!$B$32,$F380))*3),M388)</f>
        <v>98950.169584868519</v>
      </c>
      <c r="O387" s="108">
        <f>MIN(((-PMT(Parameters!$B$31/12,Parameters!$B$32,$F380))*3),N388)</f>
        <v>98950.169584868519</v>
      </c>
      <c r="P387" s="108">
        <f>MIN(((-PMT(Parameters!$B$31/12,Parameters!$B$32,$F380))*3),O388)</f>
        <v>98950.169584868519</v>
      </c>
      <c r="Q387" s="108">
        <f>MIN(((-PMT(Parameters!$B$31/12,Parameters!$B$32,$F380))*3),P388)</f>
        <v>98950.169584868519</v>
      </c>
      <c r="R387" s="108">
        <f>MIN(((-PMT(Parameters!$B$31/12,Parameters!$B$32,$F380))*3),Q388)</f>
        <v>98950.169584868519</v>
      </c>
      <c r="S387" s="108">
        <f>MIN(((-PMT(Parameters!$B$31/12,Parameters!$B$32,$F380))*3),R388)</f>
        <v>98950.169584868519</v>
      </c>
      <c r="T387" s="108">
        <f>MIN(((-PMT(Parameters!$B$31/12,Parameters!$B$32,$F380))*3),S388)</f>
        <v>98950.169584868519</v>
      </c>
      <c r="U387" s="108">
        <f>MIN(((-PMT(Parameters!$B$31/12,Parameters!$B$32,$F380))*3),T388)</f>
        <v>98950.169584868519</v>
      </c>
      <c r="V387" s="108">
        <f>MIN(((-PMT(Parameters!$B$31/12,Parameters!$B$32,$F380))*3),U388)</f>
        <v>98950.169584868519</v>
      </c>
      <c r="W387" s="108">
        <f>MIN(((-PMT(Parameters!$B$31/12,Parameters!$B$32,$F380))*3),V388)</f>
        <v>98950.169584868519</v>
      </c>
      <c r="X387" s="108">
        <f>MIN(((-PMT(Parameters!$B$31/12,Parameters!$B$32,$F380))*3),W388)</f>
        <v>98950.169584868519</v>
      </c>
      <c r="Y387" s="108">
        <f>MIN(((-PMT(Parameters!$B$31/12,Parameters!$B$32,$F380))*3),X388)</f>
        <v>49475.084792434427</v>
      </c>
      <c r="Z387" s="108">
        <f>MIN(((-PMT(Parameters!$B$31/12,Parameters!$B$32,$F380))*3),Y388)</f>
        <v>0</v>
      </c>
      <c r="AA387" s="108">
        <f>MIN(((-PMT(Parameters!$B$31/12,Parameters!$B$32,$F380))*3),Z388)</f>
        <v>0</v>
      </c>
      <c r="AB387" s="108">
        <f>MIN(((-PMT(Parameters!$B$31/12,Parameters!$B$32,$F380))*3),AA388)</f>
        <v>0</v>
      </c>
      <c r="AC387" s="108">
        <f>MIN(((-PMT(Parameters!$B$31/12,Parameters!$B$32,$F380))*3),AB388)</f>
        <v>0</v>
      </c>
      <c r="AD387" s="108">
        <f>MIN(((-PMT(Parameters!$B$31/12,Parameters!$B$32,$F380))*3),AC388)</f>
        <v>0</v>
      </c>
      <c r="AE387" s="108">
        <f>MIN(((-PMT(Parameters!$B$31/12,Parameters!$B$32,$F380))*3),AD388)</f>
        <v>0</v>
      </c>
      <c r="AF387" s="108">
        <f>MIN(((-PMT(Parameters!$B$31/12,Parameters!$B$32,$F380))*3),AE388)</f>
        <v>0</v>
      </c>
      <c r="AG387" s="108">
        <f>MIN(((-PMT(Parameters!$B$31/12,Parameters!$B$32,$F380))*3),AF388)</f>
        <v>0</v>
      </c>
      <c r="AH387" s="108">
        <f>MIN(((-PMT(Parameters!$B$31/12,Parameters!$B$32,$F380))*3),AG388)</f>
        <v>0</v>
      </c>
      <c r="AI387" s="108">
        <f>MIN(((-PMT(Parameters!$B$31/12,Parameters!$B$32,$F380))*3),AH388)</f>
        <v>0</v>
      </c>
      <c r="AJ387" s="108">
        <f>MIN(((-PMT(Parameters!$B$31/12,Parameters!$B$32,$F380))*3),AI388)</f>
        <v>0</v>
      </c>
      <c r="AK387" s="108">
        <f>MIN(((-PMT(Parameters!$B$31/12,Parameters!$B$32,$F380))*3),AJ388)</f>
        <v>0</v>
      </c>
      <c r="AL387" s="108">
        <f>MIN(((-PMT(Parameters!$B$31/12,Parameters!$B$32,$F380))*3),AK388)</f>
        <v>0</v>
      </c>
      <c r="AM387" s="108">
        <f>MIN(((-PMT(Parameters!$B$31/12,Parameters!$B$32,$F380))*3),AL388)</f>
        <v>0</v>
      </c>
    </row>
    <row r="388" spans="1:39" ht="15" customHeight="1" x14ac:dyDescent="0.2">
      <c r="A388" s="868"/>
      <c r="B388" s="860"/>
      <c r="C388" s="860"/>
      <c r="D388" s="860"/>
      <c r="E388" s="860"/>
      <c r="F388" s="860"/>
      <c r="G388" s="860"/>
      <c r="H388" s="860"/>
      <c r="I388" s="861"/>
      <c r="L388" s="109">
        <f>K387</f>
        <v>1187402.0350184222</v>
      </c>
      <c r="M388" s="109">
        <f t="shared" ref="M388:AM388" si="157">L388-M387</f>
        <v>1137926.9502259879</v>
      </c>
      <c r="N388" s="109">
        <f t="shared" si="157"/>
        <v>1038976.7806411195</v>
      </c>
      <c r="O388" s="109">
        <f t="shared" si="157"/>
        <v>940026.61105625099</v>
      </c>
      <c r="P388" s="109">
        <f t="shared" si="157"/>
        <v>841076.44147138251</v>
      </c>
      <c r="Q388" s="109">
        <f t="shared" si="157"/>
        <v>742126.27188651403</v>
      </c>
      <c r="R388" s="109">
        <f t="shared" si="157"/>
        <v>643176.10230164556</v>
      </c>
      <c r="S388" s="109">
        <f t="shared" si="157"/>
        <v>544225.93271677708</v>
      </c>
      <c r="T388" s="109">
        <f t="shared" si="157"/>
        <v>445275.76313190855</v>
      </c>
      <c r="U388" s="109">
        <f t="shared" si="157"/>
        <v>346325.59354704001</v>
      </c>
      <c r="V388" s="109">
        <f t="shared" si="157"/>
        <v>247375.42396217148</v>
      </c>
      <c r="W388" s="109">
        <f t="shared" si="157"/>
        <v>148425.25437730295</v>
      </c>
      <c r="X388" s="109">
        <f t="shared" si="157"/>
        <v>49475.084792434427</v>
      </c>
      <c r="Y388" s="109">
        <f t="shared" si="157"/>
        <v>0</v>
      </c>
      <c r="Z388" s="109">
        <f t="shared" si="157"/>
        <v>0</v>
      </c>
      <c r="AA388" s="109">
        <f t="shared" si="157"/>
        <v>0</v>
      </c>
      <c r="AB388" s="109">
        <f t="shared" si="157"/>
        <v>0</v>
      </c>
      <c r="AC388" s="109">
        <f t="shared" si="157"/>
        <v>0</v>
      </c>
      <c r="AD388" s="109">
        <f t="shared" si="157"/>
        <v>0</v>
      </c>
      <c r="AE388" s="109">
        <f t="shared" si="157"/>
        <v>0</v>
      </c>
      <c r="AF388" s="109">
        <f t="shared" si="157"/>
        <v>0</v>
      </c>
      <c r="AG388" s="109">
        <f t="shared" si="157"/>
        <v>0</v>
      </c>
      <c r="AH388" s="109">
        <f t="shared" si="157"/>
        <v>0</v>
      </c>
      <c r="AI388" s="109">
        <f t="shared" si="157"/>
        <v>0</v>
      </c>
      <c r="AJ388" s="109">
        <f t="shared" si="157"/>
        <v>0</v>
      </c>
      <c r="AK388" s="109">
        <f t="shared" si="157"/>
        <v>0</v>
      </c>
      <c r="AL388" s="109">
        <f t="shared" si="157"/>
        <v>0</v>
      </c>
      <c r="AM388" s="109">
        <f t="shared" si="157"/>
        <v>0</v>
      </c>
    </row>
    <row r="389" spans="1:39" ht="15" customHeight="1" x14ac:dyDescent="0.2">
      <c r="A389" s="868"/>
      <c r="B389" s="860"/>
      <c r="C389" s="860"/>
      <c r="D389" s="860"/>
      <c r="E389" s="860"/>
      <c r="F389" s="860"/>
      <c r="G389" s="860"/>
      <c r="H389" s="860"/>
      <c r="I389" s="861"/>
      <c r="K389" s="110">
        <f>(-PMT(Parameters!$B$31/12,Parameters!$B$32,$G380))*Parameters!$B$32</f>
        <v>1187402.0350184222</v>
      </c>
      <c r="L389" s="111"/>
      <c r="M389" s="111"/>
      <c r="N389" s="108">
        <f>(-PMT(Parameters!$B$31/12,Parameters!$B$32,$G380))*Parameters!$K$32</f>
        <v>49475.08479243426</v>
      </c>
      <c r="O389" s="108">
        <f>MIN(((-PMT(Parameters!$B$31/12,Parameters!$B$32,$G380))*3),N390)</f>
        <v>98950.169584868519</v>
      </c>
      <c r="P389" s="108">
        <f>MIN(((-PMT(Parameters!$B$31/12,Parameters!$B$32,$G380))*3),O390)</f>
        <v>98950.169584868519</v>
      </c>
      <c r="Q389" s="108">
        <f>MIN(((-PMT(Parameters!$B$31/12,Parameters!$B$32,$G380))*3),P390)</f>
        <v>98950.169584868519</v>
      </c>
      <c r="R389" s="108">
        <f>MIN(((-PMT(Parameters!$B$31/12,Parameters!$B$32,$G380))*3),Q390)</f>
        <v>98950.169584868519</v>
      </c>
      <c r="S389" s="108">
        <f>MIN(((-PMT(Parameters!$B$31/12,Parameters!$B$32,$G380))*3),R390)</f>
        <v>98950.169584868519</v>
      </c>
      <c r="T389" s="108">
        <f>MIN(((-PMT(Parameters!$B$31/12,Parameters!$B$32,$G380))*3),S390)</f>
        <v>98950.169584868519</v>
      </c>
      <c r="U389" s="108">
        <f>MIN(((-PMT(Parameters!$B$31/12,Parameters!$B$32,$G380))*3),T390)</f>
        <v>98950.169584868519</v>
      </c>
      <c r="V389" s="108">
        <f>MIN(((-PMT(Parameters!$B$31/12,Parameters!$B$32,$G380))*3),U390)</f>
        <v>98950.169584868519</v>
      </c>
      <c r="W389" s="108">
        <f>MIN(((-PMT(Parameters!$B$31/12,Parameters!$B$32,$G380))*3),V390)</f>
        <v>98950.169584868519</v>
      </c>
      <c r="X389" s="108">
        <f>MIN(((-PMT(Parameters!$B$31/12,Parameters!$B$32,$G380))*3),W390)</f>
        <v>98950.169584868519</v>
      </c>
      <c r="Y389" s="108">
        <f>MIN(((-PMT(Parameters!$B$31/12,Parameters!$B$32,$G380))*3),X390)</f>
        <v>98950.169584868519</v>
      </c>
      <c r="Z389" s="108">
        <f>MIN(((-PMT(Parameters!$B$31/12,Parameters!$B$32,$G380))*3),Y390)</f>
        <v>49475.084792434427</v>
      </c>
      <c r="AA389" s="108">
        <f>MIN(((-PMT(Parameters!$B$31/12,Parameters!$B$32,$G380))*3),Z390)</f>
        <v>0</v>
      </c>
      <c r="AB389" s="108">
        <f>MIN(((-PMT(Parameters!$B$31/12,Parameters!$B$32,$G380))*3),AA390)</f>
        <v>0</v>
      </c>
      <c r="AC389" s="108">
        <f>MIN(((-PMT(Parameters!$B$31/12,Parameters!$B$32,$G380))*3),AB390)</f>
        <v>0</v>
      </c>
      <c r="AD389" s="108">
        <f>MIN(((-PMT(Parameters!$B$31/12,Parameters!$B$32,$G380))*3),AC390)</f>
        <v>0</v>
      </c>
      <c r="AE389" s="108">
        <f>MIN(((-PMT(Parameters!$B$31/12,Parameters!$B$32,$G380))*3),AD390)</f>
        <v>0</v>
      </c>
      <c r="AF389" s="108">
        <f>MIN(((-PMT(Parameters!$B$31/12,Parameters!$B$32,$G380))*3),AE390)</f>
        <v>0</v>
      </c>
      <c r="AG389" s="108">
        <f>MIN(((-PMT(Parameters!$B$31/12,Parameters!$B$32,$G380))*3),AF390)</f>
        <v>0</v>
      </c>
      <c r="AH389" s="108">
        <f>MIN(((-PMT(Parameters!$B$31/12,Parameters!$B$32,$G380))*3),AG390)</f>
        <v>0</v>
      </c>
      <c r="AI389" s="108">
        <f>MIN(((-PMT(Parameters!$B$31/12,Parameters!$B$32,$G380))*3),AH390)</f>
        <v>0</v>
      </c>
      <c r="AJ389" s="108">
        <f>MIN(((-PMT(Parameters!$B$31/12,Parameters!$B$32,$G380))*3),AI390)</f>
        <v>0</v>
      </c>
      <c r="AK389" s="108">
        <f>MIN(((-PMT(Parameters!$B$31/12,Parameters!$B$32,$G380))*3),AJ390)</f>
        <v>0</v>
      </c>
      <c r="AL389" s="108">
        <f>MIN(((-PMT(Parameters!$B$31/12,Parameters!$B$32,$G380))*3),AK390)</f>
        <v>0</v>
      </c>
      <c r="AM389" s="108">
        <f>MIN(((-PMT(Parameters!$B$31/12,Parameters!$B$32,$G380))*3),AL390)</f>
        <v>0</v>
      </c>
    </row>
    <row r="390" spans="1:39" ht="15" customHeight="1" x14ac:dyDescent="0.2">
      <c r="A390" s="868"/>
      <c r="B390" s="860"/>
      <c r="C390" s="860"/>
      <c r="D390" s="860"/>
      <c r="E390" s="860"/>
      <c r="F390" s="860"/>
      <c r="G390" s="860"/>
      <c r="H390" s="860"/>
      <c r="I390" s="861"/>
      <c r="L390" s="109">
        <f>K389</f>
        <v>1187402.0350184222</v>
      </c>
      <c r="M390" s="109">
        <f>L390</f>
        <v>1187402.0350184222</v>
      </c>
      <c r="N390" s="109">
        <f t="shared" ref="N390:AM390" si="158">M390-N389</f>
        <v>1137926.9502259879</v>
      </c>
      <c r="O390" s="109">
        <f t="shared" si="158"/>
        <v>1038976.7806411195</v>
      </c>
      <c r="P390" s="109">
        <f t="shared" si="158"/>
        <v>940026.61105625099</v>
      </c>
      <c r="Q390" s="109">
        <f t="shared" si="158"/>
        <v>841076.44147138251</v>
      </c>
      <c r="R390" s="109">
        <f t="shared" si="158"/>
        <v>742126.27188651403</v>
      </c>
      <c r="S390" s="109">
        <f t="shared" si="158"/>
        <v>643176.10230164556</v>
      </c>
      <c r="T390" s="109">
        <f t="shared" si="158"/>
        <v>544225.93271677708</v>
      </c>
      <c r="U390" s="109">
        <f t="shared" si="158"/>
        <v>445275.76313190855</v>
      </c>
      <c r="V390" s="109">
        <f t="shared" si="158"/>
        <v>346325.59354704001</v>
      </c>
      <c r="W390" s="109">
        <f t="shared" si="158"/>
        <v>247375.42396217148</v>
      </c>
      <c r="X390" s="109">
        <f t="shared" si="158"/>
        <v>148425.25437730295</v>
      </c>
      <c r="Y390" s="109">
        <f t="shared" si="158"/>
        <v>49475.084792434427</v>
      </c>
      <c r="Z390" s="109">
        <f t="shared" si="158"/>
        <v>0</v>
      </c>
      <c r="AA390" s="109">
        <f t="shared" si="158"/>
        <v>0</v>
      </c>
      <c r="AB390" s="109">
        <f t="shared" si="158"/>
        <v>0</v>
      </c>
      <c r="AC390" s="109">
        <f t="shared" si="158"/>
        <v>0</v>
      </c>
      <c r="AD390" s="109">
        <f t="shared" si="158"/>
        <v>0</v>
      </c>
      <c r="AE390" s="109">
        <f t="shared" si="158"/>
        <v>0</v>
      </c>
      <c r="AF390" s="109">
        <f t="shared" si="158"/>
        <v>0</v>
      </c>
      <c r="AG390" s="109">
        <f t="shared" si="158"/>
        <v>0</v>
      </c>
      <c r="AH390" s="109">
        <f t="shared" si="158"/>
        <v>0</v>
      </c>
      <c r="AI390" s="109">
        <f t="shared" si="158"/>
        <v>0</v>
      </c>
      <c r="AJ390" s="109">
        <f t="shared" si="158"/>
        <v>0</v>
      </c>
      <c r="AK390" s="109">
        <f t="shared" si="158"/>
        <v>0</v>
      </c>
      <c r="AL390" s="109">
        <f t="shared" si="158"/>
        <v>0</v>
      </c>
      <c r="AM390" s="109">
        <f t="shared" si="158"/>
        <v>0</v>
      </c>
    </row>
    <row r="391" spans="1:39" ht="15" customHeight="1" x14ac:dyDescent="0.2">
      <c r="A391" s="868"/>
      <c r="B391" s="860"/>
      <c r="C391" s="860"/>
      <c r="D391" s="860"/>
      <c r="E391" s="860"/>
      <c r="F391" s="860"/>
      <c r="G391" s="860"/>
      <c r="H391" s="860"/>
      <c r="I391" s="861"/>
      <c r="K391" s="110">
        <f>(-PMT(Parameters!$B$31/12,Parameters!$B$32,$H380))*Parameters!$B$32</f>
        <v>1218243.6463176021</v>
      </c>
      <c r="L391" s="111"/>
      <c r="M391" s="111"/>
      <c r="N391" s="111"/>
      <c r="O391" s="108">
        <f>(-PMT(Parameters!$B$31/12,Parameters!$B$32,$H380))*Parameters!$K$32</f>
        <v>50760.151929900094</v>
      </c>
      <c r="P391" s="108">
        <f>MIN(((-PMT(Parameters!$B$31/12,Parameters!$B$32,$H380))*3),O392)</f>
        <v>101520.30385980019</v>
      </c>
      <c r="Q391" s="108">
        <f>MIN(((-PMT(Parameters!$B$31/12,Parameters!$B$32,$H380))*3),P392)</f>
        <v>101520.30385980019</v>
      </c>
      <c r="R391" s="108">
        <f>MIN(((-PMT(Parameters!$B$31/12,Parameters!$B$32,$H380))*3),Q392)</f>
        <v>101520.30385980019</v>
      </c>
      <c r="S391" s="108">
        <f>MIN(((-PMT(Parameters!$B$31/12,Parameters!$B$32,$H380))*3),R392)</f>
        <v>101520.30385980019</v>
      </c>
      <c r="T391" s="108">
        <f>MIN(((-PMT(Parameters!$B$31/12,Parameters!$B$32,$H380))*3),S392)</f>
        <v>101520.30385980019</v>
      </c>
      <c r="U391" s="108">
        <f>MIN(((-PMT(Parameters!$B$31/12,Parameters!$B$32,$H380))*3),T392)</f>
        <v>101520.30385980019</v>
      </c>
      <c r="V391" s="108">
        <f>MIN(((-PMT(Parameters!$B$31/12,Parameters!$B$32,$H380))*3),U392)</f>
        <v>101520.30385980019</v>
      </c>
      <c r="W391" s="108">
        <f>MIN(((-PMT(Parameters!$B$31/12,Parameters!$B$32,$H380))*3),V392)</f>
        <v>101520.30385980019</v>
      </c>
      <c r="X391" s="108">
        <f>MIN(((-PMT(Parameters!$B$31/12,Parameters!$B$32,$H380))*3),W392)</f>
        <v>101520.30385980019</v>
      </c>
      <c r="Y391" s="108">
        <f>MIN(((-PMT(Parameters!$B$31/12,Parameters!$B$32,$H380))*3),X392)</f>
        <v>101520.30385980019</v>
      </c>
      <c r="Z391" s="108">
        <f>MIN(((-PMT(Parameters!$B$31/12,Parameters!$B$32,$H380))*3),Y392)</f>
        <v>101520.30385980019</v>
      </c>
      <c r="AA391" s="108">
        <f>MIN(((-PMT(Parameters!$B$31/12,Parameters!$B$32,$H380))*3),Z392)</f>
        <v>50760.151929899905</v>
      </c>
      <c r="AB391" s="108">
        <f>MIN(((-PMT(Parameters!$B$31/12,Parameters!$B$32,$H380))*3),AA392)</f>
        <v>0</v>
      </c>
      <c r="AC391" s="108">
        <f>MIN(((-PMT(Parameters!$B$31/12,Parameters!$B$32,$H380))*3),AB392)</f>
        <v>0</v>
      </c>
      <c r="AD391" s="108">
        <f>MIN(((-PMT(Parameters!$B$31/12,Parameters!$B$32,$H380))*3),AC392)</f>
        <v>0</v>
      </c>
      <c r="AE391" s="108">
        <f>MIN(((-PMT(Parameters!$B$31/12,Parameters!$B$32,$H380))*3),AD392)</f>
        <v>0</v>
      </c>
      <c r="AF391" s="108">
        <f>MIN(((-PMT(Parameters!$B$31/12,Parameters!$B$32,$H380))*3),AE392)</f>
        <v>0</v>
      </c>
      <c r="AG391" s="108">
        <f>MIN(((-PMT(Parameters!$B$31/12,Parameters!$B$32,$H380))*3),AF392)</f>
        <v>0</v>
      </c>
      <c r="AH391" s="108">
        <f>MIN(((-PMT(Parameters!$B$31/12,Parameters!$B$32,$H380))*3),AG392)</f>
        <v>0</v>
      </c>
      <c r="AI391" s="108">
        <f>MIN(((-PMT(Parameters!$B$31/12,Parameters!$B$32,$H380))*3),AH392)</f>
        <v>0</v>
      </c>
      <c r="AJ391" s="108">
        <f>MIN(((-PMT(Parameters!$B$31/12,Parameters!$B$32,$H380))*3),AI392)</f>
        <v>0</v>
      </c>
      <c r="AK391" s="108">
        <f>MIN(((-PMT(Parameters!$B$31/12,Parameters!$B$32,$H380))*3),AJ392)</f>
        <v>0</v>
      </c>
      <c r="AL391" s="108">
        <f>MIN(((-PMT(Parameters!$B$31/12,Parameters!$B$32,$H380))*3),AK392)</f>
        <v>0</v>
      </c>
      <c r="AM391" s="108">
        <f>MIN(((-PMT(Parameters!$B$31/12,Parameters!$B$32,$H380))*3),AL392)</f>
        <v>0</v>
      </c>
    </row>
    <row r="392" spans="1:39" ht="15" customHeight="1" x14ac:dyDescent="0.2">
      <c r="A392" s="868"/>
      <c r="B392" s="860"/>
      <c r="C392" s="860"/>
      <c r="D392" s="860"/>
      <c r="E392" s="860"/>
      <c r="F392" s="860"/>
      <c r="G392" s="860"/>
      <c r="H392" s="860"/>
      <c r="I392" s="861"/>
      <c r="L392" s="109">
        <f>K391</f>
        <v>1218243.6463176021</v>
      </c>
      <c r="M392" s="109">
        <f>L392</f>
        <v>1218243.6463176021</v>
      </c>
      <c r="N392" s="109">
        <f t="shared" ref="N392:AM392" si="159">M392-N391</f>
        <v>1218243.6463176021</v>
      </c>
      <c r="O392" s="109">
        <f t="shared" si="159"/>
        <v>1167483.4943877021</v>
      </c>
      <c r="P392" s="109">
        <f t="shared" si="159"/>
        <v>1065963.190527902</v>
      </c>
      <c r="Q392" s="109">
        <f t="shared" si="159"/>
        <v>964442.88666810177</v>
      </c>
      <c r="R392" s="109">
        <f t="shared" si="159"/>
        <v>862922.58280830155</v>
      </c>
      <c r="S392" s="109">
        <f t="shared" si="159"/>
        <v>761402.27894850133</v>
      </c>
      <c r="T392" s="109">
        <f t="shared" si="159"/>
        <v>659881.97508870112</v>
      </c>
      <c r="U392" s="109">
        <f t="shared" si="159"/>
        <v>558361.6712289009</v>
      </c>
      <c r="V392" s="109">
        <f t="shared" si="159"/>
        <v>456841.36736910068</v>
      </c>
      <c r="W392" s="109">
        <f t="shared" si="159"/>
        <v>355321.06350930047</v>
      </c>
      <c r="X392" s="109">
        <f t="shared" si="159"/>
        <v>253800.75964950028</v>
      </c>
      <c r="Y392" s="109">
        <f t="shared" si="159"/>
        <v>152280.45578970009</v>
      </c>
      <c r="Z392" s="109">
        <f t="shared" si="159"/>
        <v>50760.151929899905</v>
      </c>
      <c r="AA392" s="109">
        <f t="shared" si="159"/>
        <v>0</v>
      </c>
      <c r="AB392" s="109">
        <f t="shared" si="159"/>
        <v>0</v>
      </c>
      <c r="AC392" s="109">
        <f t="shared" si="159"/>
        <v>0</v>
      </c>
      <c r="AD392" s="109">
        <f t="shared" si="159"/>
        <v>0</v>
      </c>
      <c r="AE392" s="109">
        <f t="shared" si="159"/>
        <v>0</v>
      </c>
      <c r="AF392" s="109">
        <f t="shared" si="159"/>
        <v>0</v>
      </c>
      <c r="AG392" s="109">
        <f t="shared" si="159"/>
        <v>0</v>
      </c>
      <c r="AH392" s="109">
        <f t="shared" si="159"/>
        <v>0</v>
      </c>
      <c r="AI392" s="109">
        <f t="shared" si="159"/>
        <v>0</v>
      </c>
      <c r="AJ392" s="109">
        <f t="shared" si="159"/>
        <v>0</v>
      </c>
      <c r="AK392" s="109">
        <f t="shared" si="159"/>
        <v>0</v>
      </c>
      <c r="AL392" s="109">
        <f t="shared" si="159"/>
        <v>0</v>
      </c>
      <c r="AM392" s="109">
        <f t="shared" si="159"/>
        <v>0</v>
      </c>
    </row>
    <row r="393" spans="1:39" ht="15" customHeight="1" x14ac:dyDescent="0.2">
      <c r="A393" s="868"/>
      <c r="B393" s="860"/>
      <c r="C393" s="860"/>
      <c r="D393" s="860"/>
      <c r="E393" s="860"/>
      <c r="F393" s="860"/>
      <c r="G393" s="860"/>
      <c r="H393" s="860"/>
      <c r="I393" s="861"/>
      <c r="L393" s="109">
        <f>L385+L387+L389+L391</f>
        <v>49475.08479243426</v>
      </c>
      <c r="M393" s="109">
        <f t="shared" ref="M393:AM393" si="160">M385+M387+M389+M391</f>
        <v>148425.25437730277</v>
      </c>
      <c r="N393" s="109">
        <f t="shared" si="160"/>
        <v>247375.42396217131</v>
      </c>
      <c r="O393" s="109">
        <f t="shared" si="160"/>
        <v>347610.66068450565</v>
      </c>
      <c r="P393" s="109">
        <f t="shared" si="160"/>
        <v>398370.81261440576</v>
      </c>
      <c r="Q393" s="109">
        <f t="shared" si="160"/>
        <v>398370.81261440576</v>
      </c>
      <c r="R393" s="109">
        <f t="shared" si="160"/>
        <v>398370.81261440576</v>
      </c>
      <c r="S393" s="109">
        <f t="shared" si="160"/>
        <v>398370.81261440576</v>
      </c>
      <c r="T393" s="109">
        <f t="shared" si="160"/>
        <v>398370.81261440576</v>
      </c>
      <c r="U393" s="109">
        <f t="shared" si="160"/>
        <v>398370.81261440576</v>
      </c>
      <c r="V393" s="109">
        <f t="shared" si="160"/>
        <v>398370.81261440576</v>
      </c>
      <c r="W393" s="109">
        <f t="shared" si="160"/>
        <v>398370.81261440576</v>
      </c>
      <c r="X393" s="109">
        <f t="shared" si="160"/>
        <v>348895.72782197164</v>
      </c>
      <c r="Y393" s="109">
        <f t="shared" si="160"/>
        <v>249945.55823710313</v>
      </c>
      <c r="Z393" s="109">
        <f t="shared" si="160"/>
        <v>150995.38865223463</v>
      </c>
      <c r="AA393" s="109">
        <f t="shared" si="160"/>
        <v>50760.151929899905</v>
      </c>
      <c r="AB393" s="109">
        <f t="shared" si="160"/>
        <v>0</v>
      </c>
      <c r="AC393" s="109">
        <f t="shared" si="160"/>
        <v>0</v>
      </c>
      <c r="AD393" s="109">
        <f t="shared" si="160"/>
        <v>0</v>
      </c>
      <c r="AE393" s="109">
        <f t="shared" si="160"/>
        <v>0</v>
      </c>
      <c r="AF393" s="109">
        <f t="shared" si="160"/>
        <v>0</v>
      </c>
      <c r="AG393" s="109">
        <f t="shared" si="160"/>
        <v>0</v>
      </c>
      <c r="AH393" s="109">
        <f t="shared" si="160"/>
        <v>0</v>
      </c>
      <c r="AI393" s="109">
        <f t="shared" si="160"/>
        <v>0</v>
      </c>
      <c r="AJ393" s="109">
        <f t="shared" si="160"/>
        <v>0</v>
      </c>
      <c r="AK393" s="109">
        <f t="shared" si="160"/>
        <v>0</v>
      </c>
      <c r="AL393" s="109">
        <f t="shared" si="160"/>
        <v>0</v>
      </c>
      <c r="AM393" s="109">
        <f t="shared" si="160"/>
        <v>0</v>
      </c>
    </row>
    <row r="394" spans="1:39" ht="15" customHeight="1" thickBot="1" x14ac:dyDescent="0.25">
      <c r="A394" s="869"/>
      <c r="B394" s="862"/>
      <c r="C394" s="862"/>
      <c r="D394" s="862"/>
      <c r="E394" s="862"/>
      <c r="F394" s="862"/>
      <c r="G394" s="862"/>
      <c r="H394" s="862"/>
      <c r="I394" s="863"/>
      <c r="L394"/>
      <c r="M394"/>
      <c r="N394"/>
      <c r="O394"/>
      <c r="P394"/>
      <c r="Q394"/>
      <c r="R394"/>
      <c r="S394"/>
      <c r="T394"/>
      <c r="U394"/>
      <c r="V394"/>
      <c r="W394"/>
      <c r="X394"/>
      <c r="Y394"/>
      <c r="Z394"/>
      <c r="AA394"/>
      <c r="AB394"/>
      <c r="AC394"/>
      <c r="AD394"/>
      <c r="AE394"/>
      <c r="AF394"/>
      <c r="AG394"/>
      <c r="AH394"/>
      <c r="AI394"/>
      <c r="AJ394"/>
      <c r="AK394"/>
      <c r="AL394"/>
      <c r="AM394"/>
    </row>
    <row r="395" spans="1:39" ht="13.2" thickBot="1" x14ac:dyDescent="0.25"/>
    <row r="396" spans="1:39" ht="16.05" customHeight="1" x14ac:dyDescent="0.2">
      <c r="A396" s="889">
        <v>2015</v>
      </c>
      <c r="B396" s="890"/>
      <c r="C396" s="893" t="s">
        <v>198</v>
      </c>
      <c r="D396" s="894"/>
      <c r="E396" s="864" t="s">
        <v>406</v>
      </c>
      <c r="F396" s="883" t="s">
        <v>407</v>
      </c>
      <c r="G396" s="883" t="s">
        <v>408</v>
      </c>
      <c r="H396" s="885" t="s">
        <v>409</v>
      </c>
      <c r="I396" s="887" t="s">
        <v>498</v>
      </c>
      <c r="L396" s="85">
        <f>X297</f>
        <v>40178</v>
      </c>
      <c r="M396" s="85">
        <f t="shared" ref="M396:AM396" si="161">L397+1</f>
        <v>40268</v>
      </c>
      <c r="N396" s="85">
        <f t="shared" si="161"/>
        <v>40359</v>
      </c>
      <c r="O396" s="85">
        <f t="shared" si="161"/>
        <v>40451</v>
      </c>
      <c r="P396" s="85">
        <f t="shared" si="161"/>
        <v>40543</v>
      </c>
      <c r="Q396" s="85">
        <f t="shared" si="161"/>
        <v>40633</v>
      </c>
      <c r="R396" s="85">
        <f t="shared" si="161"/>
        <v>40724</v>
      </c>
      <c r="S396" s="85">
        <f t="shared" si="161"/>
        <v>40816</v>
      </c>
      <c r="T396" s="85">
        <f t="shared" si="161"/>
        <v>40908</v>
      </c>
      <c r="U396" s="85">
        <f t="shared" si="161"/>
        <v>40999</v>
      </c>
      <c r="V396" s="85">
        <f t="shared" si="161"/>
        <v>41090</v>
      </c>
      <c r="W396" s="85">
        <f t="shared" si="161"/>
        <v>41182</v>
      </c>
      <c r="X396" s="85">
        <f t="shared" si="161"/>
        <v>41274</v>
      </c>
      <c r="Y396" s="85">
        <f t="shared" si="161"/>
        <v>41364</v>
      </c>
      <c r="Z396" s="85">
        <f t="shared" si="161"/>
        <v>41455</v>
      </c>
      <c r="AA396" s="85">
        <f t="shared" si="161"/>
        <v>41547</v>
      </c>
      <c r="AB396" s="85">
        <f t="shared" si="161"/>
        <v>41639</v>
      </c>
      <c r="AC396" s="85">
        <f t="shared" si="161"/>
        <v>41729</v>
      </c>
      <c r="AD396" s="85">
        <f t="shared" si="161"/>
        <v>41820</v>
      </c>
      <c r="AE396" s="85">
        <f t="shared" si="161"/>
        <v>41912</v>
      </c>
      <c r="AF396" s="85">
        <f t="shared" si="161"/>
        <v>42004</v>
      </c>
      <c r="AG396" s="85">
        <f t="shared" si="161"/>
        <v>42094</v>
      </c>
      <c r="AH396" s="85">
        <f t="shared" si="161"/>
        <v>42185</v>
      </c>
      <c r="AI396" s="85">
        <f t="shared" si="161"/>
        <v>42277</v>
      </c>
      <c r="AJ396" s="85">
        <f t="shared" si="161"/>
        <v>42369</v>
      </c>
      <c r="AK396" s="85">
        <f t="shared" si="161"/>
        <v>42460</v>
      </c>
      <c r="AL396" s="85">
        <f t="shared" si="161"/>
        <v>42551</v>
      </c>
      <c r="AM396" s="85">
        <f t="shared" si="161"/>
        <v>42643</v>
      </c>
    </row>
    <row r="397" spans="1:39" ht="16.05" customHeight="1" thickBot="1" x14ac:dyDescent="0.25">
      <c r="A397" s="891"/>
      <c r="B397" s="892"/>
      <c r="C397" s="895"/>
      <c r="D397" s="896"/>
      <c r="E397" s="865"/>
      <c r="F397" s="884"/>
      <c r="G397" s="884"/>
      <c r="H397" s="886"/>
      <c r="I397" s="888"/>
      <c r="L397" s="85">
        <f>X298</f>
        <v>40267</v>
      </c>
      <c r="M397" s="85">
        <f t="shared" ref="M397:AM397" si="162">Y298</f>
        <v>40358</v>
      </c>
      <c r="N397" s="85">
        <f t="shared" si="162"/>
        <v>40450</v>
      </c>
      <c r="O397" s="85">
        <f t="shared" si="162"/>
        <v>40542</v>
      </c>
      <c r="P397" s="85">
        <f t="shared" si="162"/>
        <v>40632</v>
      </c>
      <c r="Q397" s="85">
        <f t="shared" si="162"/>
        <v>40723</v>
      </c>
      <c r="R397" s="85">
        <f t="shared" si="162"/>
        <v>40815</v>
      </c>
      <c r="S397" s="85">
        <f t="shared" si="162"/>
        <v>40907</v>
      </c>
      <c r="T397" s="85">
        <f t="shared" si="162"/>
        <v>40998</v>
      </c>
      <c r="U397" s="85">
        <f t="shared" si="162"/>
        <v>41089</v>
      </c>
      <c r="V397" s="85">
        <f t="shared" si="162"/>
        <v>41181</v>
      </c>
      <c r="W397" s="85">
        <f t="shared" si="162"/>
        <v>41273</v>
      </c>
      <c r="X397" s="85">
        <f t="shared" si="162"/>
        <v>41363</v>
      </c>
      <c r="Y397" s="85">
        <f t="shared" si="162"/>
        <v>41454</v>
      </c>
      <c r="Z397" s="85">
        <f t="shared" si="162"/>
        <v>41546</v>
      </c>
      <c r="AA397" s="85">
        <f t="shared" si="162"/>
        <v>41638</v>
      </c>
      <c r="AB397" s="85">
        <f t="shared" si="162"/>
        <v>41728</v>
      </c>
      <c r="AC397" s="85">
        <f t="shared" si="162"/>
        <v>41819</v>
      </c>
      <c r="AD397" s="85">
        <f t="shared" si="162"/>
        <v>41911</v>
      </c>
      <c r="AE397" s="85">
        <f t="shared" si="162"/>
        <v>42003</v>
      </c>
      <c r="AF397" s="85">
        <f t="shared" si="162"/>
        <v>42093</v>
      </c>
      <c r="AG397" s="85">
        <f t="shared" si="162"/>
        <v>42184</v>
      </c>
      <c r="AH397" s="85">
        <f t="shared" si="162"/>
        <v>42276</v>
      </c>
      <c r="AI397" s="85">
        <f t="shared" si="162"/>
        <v>42368</v>
      </c>
      <c r="AJ397" s="85">
        <f t="shared" si="162"/>
        <v>42459</v>
      </c>
      <c r="AK397" s="85">
        <f t="shared" si="162"/>
        <v>42550</v>
      </c>
      <c r="AL397" s="85">
        <f t="shared" si="162"/>
        <v>42642</v>
      </c>
      <c r="AM397" s="85">
        <f t="shared" si="162"/>
        <v>42734</v>
      </c>
    </row>
    <row r="398" spans="1:39" ht="15" customHeight="1" x14ac:dyDescent="0.2">
      <c r="A398" s="878" t="s">
        <v>318</v>
      </c>
      <c r="B398" s="870" t="s">
        <v>347</v>
      </c>
      <c r="C398" s="385" t="s">
        <v>341</v>
      </c>
      <c r="D398" s="94">
        <f>1-Parameters!N$8</f>
        <v>0</v>
      </c>
      <c r="E398" s="96">
        <f>ROUND(Calculations!S5*$D398,0)</f>
        <v>0</v>
      </c>
      <c r="F398" s="96">
        <f>ROUND(Calculations!T5*$D398,0)</f>
        <v>0</v>
      </c>
      <c r="G398" s="96">
        <f>ROUND(Calculations!U5*$D398,0)</f>
        <v>0</v>
      </c>
      <c r="H398" s="96">
        <f>ROUND(Calculations!V5*$D398,0)</f>
        <v>0</v>
      </c>
      <c r="I398" s="103">
        <f>SUM(E398:H398)</f>
        <v>0</v>
      </c>
      <c r="L398" s="88"/>
      <c r="M398" s="88"/>
      <c r="N398" s="88"/>
      <c r="O398" s="88"/>
      <c r="P398" s="85">
        <f>P396</f>
        <v>40543</v>
      </c>
      <c r="Q398" s="85">
        <f>Q396</f>
        <v>40633</v>
      </c>
      <c r="R398" s="85">
        <f>R396</f>
        <v>40724</v>
      </c>
      <c r="S398" s="85">
        <f>S396</f>
        <v>40816</v>
      </c>
      <c r="T398" s="88"/>
      <c r="U398" s="88"/>
      <c r="V398" s="88"/>
      <c r="W398" s="88"/>
      <c r="Y398"/>
    </row>
    <row r="399" spans="1:39" ht="15" customHeight="1" x14ac:dyDescent="0.2">
      <c r="A399" s="879"/>
      <c r="B399" s="605"/>
      <c r="C399" s="385" t="s">
        <v>117</v>
      </c>
      <c r="D399" s="150">
        <f>1-Parameters!N$9</f>
        <v>0</v>
      </c>
      <c r="E399" s="98">
        <f>ROUND(Calculations!S6*$D399,0)</f>
        <v>0</v>
      </c>
      <c r="F399" s="99">
        <f>ROUND(Calculations!T6*$D399,0)</f>
        <v>0</v>
      </c>
      <c r="G399" s="99">
        <f>ROUND(Calculations!U6*$D399,0)</f>
        <v>0</v>
      </c>
      <c r="H399" s="100">
        <f>ROUND(Calculations!V6*$D399,0)</f>
        <v>0</v>
      </c>
      <c r="I399" s="102">
        <f>SUM(E399:H399)</f>
        <v>0</v>
      </c>
      <c r="L399" s="386"/>
      <c r="M399" s="386"/>
      <c r="N399" s="386"/>
      <c r="O399" s="386"/>
      <c r="P399" s="299"/>
      <c r="Q399" s="299"/>
      <c r="R399" s="299"/>
      <c r="S399" s="299"/>
      <c r="T399" s="386"/>
      <c r="U399" s="386"/>
      <c r="V399" s="386"/>
      <c r="W399" s="386"/>
      <c r="Y399"/>
    </row>
    <row r="400" spans="1:39" ht="15" customHeight="1" x14ac:dyDescent="0.2">
      <c r="A400" s="879"/>
      <c r="B400" s="605"/>
      <c r="C400" s="384" t="s">
        <v>247</v>
      </c>
      <c r="D400" s="150">
        <f>1-Parameters!N$10</f>
        <v>0</v>
      </c>
      <c r="E400" s="98">
        <f>ROUND(Calculations!S7*$D400,0)</f>
        <v>0</v>
      </c>
      <c r="F400" s="99">
        <f>ROUND(Calculations!T7*$D400,0)</f>
        <v>0</v>
      </c>
      <c r="G400" s="99">
        <f>ROUND(Calculations!U7*$D400,0)</f>
        <v>0</v>
      </c>
      <c r="H400" s="100">
        <f>ROUND(Calculations!V7*$D400,0)</f>
        <v>0</v>
      </c>
      <c r="I400" s="102">
        <f>SUM(E400:H400)</f>
        <v>0</v>
      </c>
      <c r="L400"/>
      <c r="M400"/>
      <c r="N400"/>
      <c r="O400"/>
      <c r="P400"/>
      <c r="Q400"/>
      <c r="R400"/>
      <c r="S400"/>
      <c r="T400"/>
      <c r="U400"/>
      <c r="V400"/>
      <c r="W400"/>
      <c r="X400"/>
      <c r="Y400"/>
    </row>
    <row r="401" spans="1:25" ht="15" customHeight="1" x14ac:dyDescent="0.2">
      <c r="A401" s="880"/>
      <c r="B401" s="688"/>
      <c r="C401" s="688" t="s">
        <v>139</v>
      </c>
      <c r="D401" s="871"/>
      <c r="E401" s="92">
        <f>SUM(E398:E400)</f>
        <v>0</v>
      </c>
      <c r="F401" s="92">
        <f>SUM(F398:F400)</f>
        <v>0</v>
      </c>
      <c r="G401" s="92">
        <f>SUM(G398:G400)</f>
        <v>0</v>
      </c>
      <c r="H401" s="92">
        <f>SUM(H398:H400)</f>
        <v>0</v>
      </c>
      <c r="I401" s="872">
        <f>H402</f>
        <v>0</v>
      </c>
      <c r="L401" s="93">
        <f>IF($M403&lt;=L397,$E401,IF($N403&lt;=L397,$F401,IF($O403&lt;=L397,$G401,IF($P403&lt;=L397,$H401,))))</f>
        <v>0</v>
      </c>
      <c r="M401" s="93">
        <f t="shared" ref="M401:W401" si="163">IF(AND($M403&gt;L397,$M403&lt;=M397),$E401,IF(AND($N403&gt;L397,$N403&lt;=M397),$F401,IF(AND($O403&gt;L397,$O403&lt;=M397),$G401,IF(AND($P403&gt;L397,$P403&lt;=M397),$H401,))))</f>
        <v>0</v>
      </c>
      <c r="N401" s="93">
        <f t="shared" si="163"/>
        <v>0</v>
      </c>
      <c r="O401" s="93">
        <f t="shared" si="163"/>
        <v>0</v>
      </c>
      <c r="P401" s="93">
        <f t="shared" si="163"/>
        <v>0</v>
      </c>
      <c r="Q401" s="93">
        <f t="shared" si="163"/>
        <v>0</v>
      </c>
      <c r="R401" s="93">
        <f t="shared" si="163"/>
        <v>0</v>
      </c>
      <c r="S401" s="93">
        <f t="shared" si="163"/>
        <v>0</v>
      </c>
      <c r="T401" s="93">
        <f t="shared" si="163"/>
        <v>0</v>
      </c>
      <c r="U401" s="93">
        <f t="shared" si="163"/>
        <v>0</v>
      </c>
      <c r="V401" s="93">
        <f t="shared" si="163"/>
        <v>0</v>
      </c>
      <c r="W401" s="93">
        <f t="shared" si="163"/>
        <v>0</v>
      </c>
      <c r="X401" s="93">
        <f>SUM(L401:W401)</f>
        <v>0</v>
      </c>
      <c r="Y401"/>
    </row>
    <row r="402" spans="1:25" ht="15" customHeight="1" x14ac:dyDescent="0.2">
      <c r="A402" s="880"/>
      <c r="B402" s="688"/>
      <c r="C402" s="874" t="s">
        <v>331</v>
      </c>
      <c r="D402" s="875"/>
      <c r="E402" s="105">
        <f>E401</f>
        <v>0</v>
      </c>
      <c r="F402" s="15">
        <f>E402+F401</f>
        <v>0</v>
      </c>
      <c r="G402" s="15">
        <f>F402+G401</f>
        <v>0</v>
      </c>
      <c r="H402" s="15">
        <f>G402+H401</f>
        <v>0</v>
      </c>
      <c r="I402" s="873"/>
    </row>
    <row r="403" spans="1:25" ht="15" customHeight="1" x14ac:dyDescent="0.2">
      <c r="A403" s="880"/>
      <c r="B403" s="688" t="s">
        <v>411</v>
      </c>
      <c r="C403" s="65" t="s">
        <v>405</v>
      </c>
      <c r="D403" s="104">
        <f>Parameters!$E$21</f>
        <v>17000</v>
      </c>
      <c r="E403" s="72">
        <f>E401*$D403</f>
        <v>0</v>
      </c>
      <c r="F403" s="72">
        <f>F401*$D403</f>
        <v>0</v>
      </c>
      <c r="G403" s="72">
        <f>G401*$D403</f>
        <v>0</v>
      </c>
      <c r="H403" s="72">
        <f>H401*$D403</f>
        <v>0</v>
      </c>
      <c r="I403" s="106">
        <f>SUM(E403:H403)</f>
        <v>0</v>
      </c>
      <c r="L403" s="60" t="s">
        <v>196</v>
      </c>
      <c r="M403" s="79">
        <f>P398+$D404</f>
        <v>40543</v>
      </c>
      <c r="N403" s="79">
        <f>Q398+$D404</f>
        <v>40633</v>
      </c>
      <c r="O403" s="79">
        <f>R398+$D404</f>
        <v>40724</v>
      </c>
      <c r="P403" s="79">
        <f>S398+$D404</f>
        <v>40816</v>
      </c>
      <c r="X403" s="69" t="s">
        <v>366</v>
      </c>
    </row>
    <row r="404" spans="1:25" ht="15" customHeight="1" thickBot="1" x14ac:dyDescent="0.25">
      <c r="A404" s="881"/>
      <c r="B404" s="882"/>
      <c r="C404" s="70" t="s">
        <v>332</v>
      </c>
      <c r="D404" s="84">
        <f>Parameters!$B$36</f>
        <v>0</v>
      </c>
      <c r="E404" s="72">
        <f>SUM(L404:P404)+L437+T371</f>
        <v>0</v>
      </c>
      <c r="F404" s="66">
        <f>Q404+M437+U371</f>
        <v>0</v>
      </c>
      <c r="G404" s="66">
        <f>R404+N437+V371</f>
        <v>0</v>
      </c>
      <c r="H404" s="66">
        <f>S404+O437+W371</f>
        <v>0</v>
      </c>
      <c r="I404" s="89">
        <f>SUM(E404:H404)</f>
        <v>0</v>
      </c>
      <c r="L404" s="68">
        <f>IF($M403&lt;=L397,$E403,IF($N403&lt;=L397,$F403,IF($O403&lt;=L397,$G403,IF($P403&lt;=L397,$H403,))))</f>
        <v>0</v>
      </c>
      <c r="M404" s="68">
        <f t="shared" ref="M404:W404" si="164">IF(AND($M403&gt;L397,$M403&lt;=M397),$E403,IF(AND($N403&gt;L397,$N403&lt;=M397),$F403,IF(AND($O403&gt;L397,$O403&lt;=M397),$G403,IF(AND($P403&gt;L397,$P403&lt;=M397),$H403,))))</f>
        <v>0</v>
      </c>
      <c r="N404" s="68">
        <f t="shared" si="164"/>
        <v>0</v>
      </c>
      <c r="O404" s="68">
        <f t="shared" si="164"/>
        <v>0</v>
      </c>
      <c r="P404" s="68">
        <f t="shared" si="164"/>
        <v>0</v>
      </c>
      <c r="Q404" s="68">
        <f t="shared" si="164"/>
        <v>0</v>
      </c>
      <c r="R404" s="68">
        <f t="shared" si="164"/>
        <v>0</v>
      </c>
      <c r="S404" s="68">
        <f t="shared" si="164"/>
        <v>0</v>
      </c>
      <c r="T404" s="68">
        <f t="shared" si="164"/>
        <v>0</v>
      </c>
      <c r="U404" s="68">
        <f t="shared" si="164"/>
        <v>0</v>
      </c>
      <c r="V404" s="68">
        <f t="shared" si="164"/>
        <v>0</v>
      </c>
      <c r="W404" s="68">
        <f t="shared" si="164"/>
        <v>0</v>
      </c>
      <c r="X404" s="68">
        <f>SUM(L404:W404)</f>
        <v>0</v>
      </c>
    </row>
    <row r="405" spans="1:25" ht="15" customHeight="1" x14ac:dyDescent="0.2">
      <c r="A405" s="866" t="s">
        <v>206</v>
      </c>
      <c r="B405" s="870" t="s">
        <v>317</v>
      </c>
      <c r="C405" s="95" t="str">
        <f>C398</f>
        <v>Europe</v>
      </c>
      <c r="D405" s="94">
        <f>1-D398</f>
        <v>1</v>
      </c>
      <c r="E405" s="96">
        <f>Calculations!S5-E398</f>
        <v>60</v>
      </c>
      <c r="F405" s="97">
        <f>Calculations!T5-F398</f>
        <v>60</v>
      </c>
      <c r="G405" s="97">
        <f>Calculations!U5-G398</f>
        <v>60</v>
      </c>
      <c r="H405" s="96">
        <f>Calculations!V5-H398</f>
        <v>60</v>
      </c>
      <c r="I405" s="103">
        <f>SUM(E405:H405)</f>
        <v>240</v>
      </c>
    </row>
    <row r="406" spans="1:25" ht="15" customHeight="1" x14ac:dyDescent="0.2">
      <c r="A406" s="867"/>
      <c r="B406" s="605"/>
      <c r="C406" s="385" t="str">
        <f>C399</f>
        <v>Africa</v>
      </c>
      <c r="D406" s="150">
        <f>1-D399</f>
        <v>1</v>
      </c>
      <c r="E406" s="98">
        <f>Calculations!S6-E399</f>
        <v>30</v>
      </c>
      <c r="F406" s="99">
        <f>Calculations!T6-F399</f>
        <v>30</v>
      </c>
      <c r="G406" s="99">
        <f>Calculations!U6-G399</f>
        <v>30</v>
      </c>
      <c r="H406" s="100">
        <f>Calculations!V6-H399</f>
        <v>30</v>
      </c>
      <c r="I406" s="102">
        <f>SUM(E406:H406)</f>
        <v>120</v>
      </c>
    </row>
    <row r="407" spans="1:25" ht="15" customHeight="1" x14ac:dyDescent="0.2">
      <c r="A407" s="868"/>
      <c r="B407" s="605"/>
      <c r="C407" s="385" t="str">
        <f>C400</f>
        <v>Asia</v>
      </c>
      <c r="D407" s="150">
        <f>1-D400</f>
        <v>1</v>
      </c>
      <c r="E407" s="98">
        <f>Calculations!S7-E400</f>
        <v>2</v>
      </c>
      <c r="F407" s="99">
        <f>Calculations!T7-F400</f>
        <v>2</v>
      </c>
      <c r="G407" s="99">
        <f>Calculations!U7-G400</f>
        <v>2</v>
      </c>
      <c r="H407" s="100">
        <f>Calculations!V7-H400</f>
        <v>4</v>
      </c>
      <c r="I407" s="102">
        <f>SUM(E407:H407)</f>
        <v>10</v>
      </c>
    </row>
    <row r="408" spans="1:25" ht="15" customHeight="1" x14ac:dyDescent="0.2">
      <c r="A408" s="868"/>
      <c r="B408" s="688"/>
      <c r="C408" s="688" t="s">
        <v>139</v>
      </c>
      <c r="D408" s="871"/>
      <c r="E408" s="92">
        <f>SUM(E405:E407)</f>
        <v>92</v>
      </c>
      <c r="F408" s="10">
        <f>SUM(F405:F407)</f>
        <v>92</v>
      </c>
      <c r="G408" s="10">
        <f>SUM(G405:G407)</f>
        <v>92</v>
      </c>
      <c r="H408" s="101">
        <f>SUM(H405:H407)</f>
        <v>94</v>
      </c>
      <c r="I408" s="872">
        <f>H409</f>
        <v>370</v>
      </c>
      <c r="L408"/>
      <c r="M408"/>
      <c r="N408"/>
      <c r="O408"/>
      <c r="P408"/>
      <c r="Q408"/>
      <c r="R408"/>
      <c r="S408"/>
      <c r="T408"/>
      <c r="U408"/>
      <c r="V408"/>
      <c r="W408"/>
      <c r="X408"/>
      <c r="Y408"/>
    </row>
    <row r="409" spans="1:25" ht="15" customHeight="1" x14ac:dyDescent="0.2">
      <c r="A409" s="868"/>
      <c r="B409" s="688"/>
      <c r="C409" s="874" t="s">
        <v>331</v>
      </c>
      <c r="D409" s="875"/>
      <c r="E409" s="105">
        <f>E408</f>
        <v>92</v>
      </c>
      <c r="F409" s="15">
        <f>F408+E409</f>
        <v>184</v>
      </c>
      <c r="G409" s="15">
        <f>G408+F409</f>
        <v>276</v>
      </c>
      <c r="H409" s="15">
        <f>H408+G409</f>
        <v>370</v>
      </c>
      <c r="I409" s="873"/>
      <c r="L409"/>
      <c r="M409"/>
      <c r="N409"/>
      <c r="O409"/>
      <c r="P409"/>
      <c r="Q409"/>
      <c r="R409"/>
      <c r="S409"/>
      <c r="T409"/>
      <c r="U409"/>
      <c r="V409"/>
      <c r="W409"/>
      <c r="X409"/>
      <c r="Y409"/>
    </row>
    <row r="410" spans="1:25" ht="15" customHeight="1" x14ac:dyDescent="0.2">
      <c r="A410" s="868"/>
      <c r="B410" s="566" t="s">
        <v>68</v>
      </c>
      <c r="C410" s="688" t="s">
        <v>412</v>
      </c>
      <c r="D410" s="871"/>
      <c r="E410" s="72">
        <f>E408*$D403</f>
        <v>1564000</v>
      </c>
      <c r="F410" s="66">
        <f>F408*$D403</f>
        <v>1564000</v>
      </c>
      <c r="G410" s="66">
        <f>G408*$D403</f>
        <v>1564000</v>
      </c>
      <c r="H410" s="86">
        <f>H408*$D403</f>
        <v>1598000</v>
      </c>
      <c r="I410" s="74">
        <f>SUM(E410:H410)</f>
        <v>6290000</v>
      </c>
    </row>
    <row r="411" spans="1:25" ht="15" customHeight="1" x14ac:dyDescent="0.2">
      <c r="A411" s="868"/>
      <c r="B411" s="566"/>
      <c r="C411" s="65" t="s">
        <v>413</v>
      </c>
      <c r="D411" s="87">
        <f>1-Parameters!$B$33</f>
        <v>0.19999999999999996</v>
      </c>
      <c r="E411" s="72">
        <f>E410*$D411</f>
        <v>312799.99999999994</v>
      </c>
      <c r="F411" s="66">
        <f>F410*$D411</f>
        <v>312799.99999999994</v>
      </c>
      <c r="G411" s="66">
        <f>G410*$D411</f>
        <v>312799.99999999994</v>
      </c>
      <c r="H411" s="86">
        <f>H410*$D411</f>
        <v>319599.99999999994</v>
      </c>
      <c r="I411" s="106">
        <f>SUM(E411:H411)</f>
        <v>1257999.9999999998</v>
      </c>
      <c r="L411" s="60" t="s">
        <v>196</v>
      </c>
      <c r="M411" s="79">
        <f>P398+$D412</f>
        <v>40543</v>
      </c>
      <c r="N411" s="79">
        <f>Q398+$D412</f>
        <v>40633</v>
      </c>
      <c r="O411" s="79">
        <f>R398+$D412</f>
        <v>40724</v>
      </c>
      <c r="P411" s="79">
        <f>S398+$D412</f>
        <v>40816</v>
      </c>
      <c r="X411" s="69" t="s">
        <v>366</v>
      </c>
    </row>
    <row r="412" spans="1:25" ht="15" customHeight="1" x14ac:dyDescent="0.2">
      <c r="A412" s="868"/>
      <c r="B412" s="566"/>
      <c r="C412" s="5" t="s">
        <v>332</v>
      </c>
      <c r="D412" s="73">
        <f>Parameters!$B$36</f>
        <v>0</v>
      </c>
      <c r="E412" s="72">
        <f>SUM(L412:P412)+L445+T379</f>
        <v>312799.99999999994</v>
      </c>
      <c r="F412" s="66">
        <f>Q412+M445+U379</f>
        <v>312799.99999999994</v>
      </c>
      <c r="G412" s="66">
        <f>R412+N445+V379</f>
        <v>312799.99999999994</v>
      </c>
      <c r="H412" s="66">
        <f>S412+O445+W379</f>
        <v>319599.99999999994</v>
      </c>
      <c r="I412" s="74">
        <f>SUM(E412:H412)</f>
        <v>1257999.9999999998</v>
      </c>
      <c r="L412" s="68">
        <f>IF($M411&lt;=L397,$E411,IF($N411&lt;=L397,$F411,IF($O411&lt;=L397,$G411,IF($P411&lt;=L397,$H411,))))</f>
        <v>0</v>
      </c>
      <c r="M412" s="68">
        <f t="shared" ref="M412:W412" si="165">IF(AND($M411&gt;L397,$M411&lt;=M397),$E411,IF(AND($N411&gt;L397,$N411&lt;=M397),$F411,IF(AND($O411&gt;L397,$O411&lt;=M397),$G411,IF(AND($P411&gt;L397,$P411&lt;=M397),$H411,))))</f>
        <v>0</v>
      </c>
      <c r="N412" s="68">
        <f t="shared" si="165"/>
        <v>0</v>
      </c>
      <c r="O412" s="68">
        <f t="shared" si="165"/>
        <v>0</v>
      </c>
      <c r="P412" s="68">
        <f t="shared" si="165"/>
        <v>312799.99999999994</v>
      </c>
      <c r="Q412" s="68">
        <f t="shared" si="165"/>
        <v>312799.99999999994</v>
      </c>
      <c r="R412" s="68">
        <f t="shared" si="165"/>
        <v>312799.99999999994</v>
      </c>
      <c r="S412" s="68">
        <f t="shared" si="165"/>
        <v>319599.99999999994</v>
      </c>
      <c r="T412" s="68">
        <f t="shared" si="165"/>
        <v>0</v>
      </c>
      <c r="U412" s="68">
        <f t="shared" si="165"/>
        <v>0</v>
      </c>
      <c r="V412" s="68">
        <f t="shared" si="165"/>
        <v>0</v>
      </c>
      <c r="W412" s="68">
        <f t="shared" si="165"/>
        <v>0</v>
      </c>
      <c r="X412" s="68">
        <f>SUM(L412:W412)</f>
        <v>1257999.9999999998</v>
      </c>
    </row>
    <row r="413" spans="1:25" ht="15" customHeight="1" x14ac:dyDescent="0.2">
      <c r="A413" s="868"/>
      <c r="B413" s="566"/>
      <c r="C413" s="65" t="s">
        <v>194</v>
      </c>
      <c r="D413" s="87">
        <f>Parameters!$B$33</f>
        <v>0.8</v>
      </c>
      <c r="E413" s="72">
        <f>E410*$D413</f>
        <v>1251200</v>
      </c>
      <c r="F413" s="72">
        <f>F410*$D413</f>
        <v>1251200</v>
      </c>
      <c r="G413" s="72">
        <f>G410*$D413</f>
        <v>1251200</v>
      </c>
      <c r="H413" s="72">
        <f>H410*$D413</f>
        <v>1278400</v>
      </c>
      <c r="I413" s="74">
        <f>SUM(E413:H413)</f>
        <v>5032000</v>
      </c>
      <c r="L413" s="91"/>
      <c r="M413" s="91"/>
      <c r="N413" s="91"/>
      <c r="O413" s="91"/>
      <c r="P413" s="91"/>
      <c r="Q413" s="91"/>
      <c r="R413" s="91"/>
      <c r="S413" s="91"/>
      <c r="T413" s="91"/>
      <c r="U413" s="91"/>
      <c r="V413" s="91"/>
      <c r="W413" s="91"/>
      <c r="X413" s="91"/>
    </row>
    <row r="414" spans="1:25" ht="15" customHeight="1" x14ac:dyDescent="0.2">
      <c r="A414" s="868"/>
      <c r="B414" s="566"/>
      <c r="C414" s="874" t="s">
        <v>331</v>
      </c>
      <c r="D414" s="875"/>
      <c r="E414" s="81">
        <f>E413</f>
        <v>1251200</v>
      </c>
      <c r="F414" s="81">
        <f>E414+F413</f>
        <v>2502400</v>
      </c>
      <c r="G414" s="81">
        <f>F414+G413</f>
        <v>3753600</v>
      </c>
      <c r="H414" s="81">
        <f>G414+H413</f>
        <v>5032000</v>
      </c>
      <c r="I414" s="78">
        <f>H414</f>
        <v>5032000</v>
      </c>
      <c r="L414" s="91"/>
      <c r="M414" s="91"/>
      <c r="N414" s="91"/>
      <c r="O414" s="91"/>
      <c r="P414" s="91"/>
      <c r="Q414" s="91"/>
      <c r="R414" s="91"/>
      <c r="S414" s="91"/>
      <c r="T414" s="91"/>
      <c r="U414" s="91"/>
      <c r="V414" s="91"/>
      <c r="W414" s="91"/>
      <c r="X414" s="91"/>
    </row>
    <row r="415" spans="1:25" ht="15" customHeight="1" x14ac:dyDescent="0.2">
      <c r="A415" s="868"/>
      <c r="B415" s="566"/>
      <c r="C415" s="876" t="s">
        <v>390</v>
      </c>
      <c r="D415" s="877"/>
      <c r="E415" s="107">
        <f>L426+P393+T360+X327</f>
        <v>844431.89455254329</v>
      </c>
      <c r="F415" s="107">
        <f>M426+Q393+U360+Y327</f>
        <v>956089.95027457387</v>
      </c>
      <c r="G415" s="107">
        <f>N426+R393+V360+Z327</f>
        <v>1060615.8833836692</v>
      </c>
      <c r="H415" s="107">
        <f>O426+S393+W360+AA327</f>
        <v>1149713.8715812997</v>
      </c>
      <c r="I415" s="74">
        <f>SUM(E415:H415)</f>
        <v>4010851.5997920861</v>
      </c>
      <c r="L415" s="60" t="s">
        <v>196</v>
      </c>
      <c r="M415" s="79">
        <f>P398+$D416</f>
        <v>40573</v>
      </c>
      <c r="N415" s="79">
        <f>Q398+$D416</f>
        <v>40663</v>
      </c>
      <c r="O415" s="79">
        <f>R398+$D416</f>
        <v>40754</v>
      </c>
      <c r="P415" s="79">
        <f>S398+$D416</f>
        <v>40846</v>
      </c>
      <c r="X415" s="69" t="s">
        <v>366</v>
      </c>
    </row>
    <row r="416" spans="1:25" ht="15" customHeight="1" x14ac:dyDescent="0.2">
      <c r="A416" s="868"/>
      <c r="B416" s="566"/>
      <c r="C416" s="75" t="s">
        <v>332</v>
      </c>
      <c r="D416" s="76">
        <f>Parameters!$B$37</f>
        <v>30</v>
      </c>
      <c r="E416" s="112">
        <f>SUM(L416:P416)+L449</f>
        <v>844431.89455254329</v>
      </c>
      <c r="F416" s="71">
        <f>Q416+M449</f>
        <v>956089.95027457387</v>
      </c>
      <c r="G416" s="71">
        <f>R416+N449</f>
        <v>1060615.8833836692</v>
      </c>
      <c r="H416" s="71">
        <f>S416+O449</f>
        <v>1149713.8715812997</v>
      </c>
      <c r="I416" s="77">
        <f>SUM(E416:H416)</f>
        <v>4010851.5997920861</v>
      </c>
      <c r="L416" s="68">
        <f>IF($M415&lt;=L397,$E415,IF($N415&lt;=L397,$F415,IF($O415&lt;=L397,$G415,IF($P415&lt;=L397,$H415,))))</f>
        <v>0</v>
      </c>
      <c r="M416" s="68">
        <f t="shared" ref="M416:W416" si="166">IF(AND($M415&gt;L397,$M415&lt;=M397),$E415,IF(AND($N415&gt;L397,$N415&lt;=M397),$F415,IF(AND($O415&gt;L397,$O415&lt;=M397),$G415,IF(AND($P415&gt;L397,$P415&lt;=M397),$H415,))))</f>
        <v>0</v>
      </c>
      <c r="N416" s="68">
        <f t="shared" si="166"/>
        <v>0</v>
      </c>
      <c r="O416" s="68">
        <f t="shared" si="166"/>
        <v>0</v>
      </c>
      <c r="P416" s="68">
        <f t="shared" si="166"/>
        <v>844431.89455254329</v>
      </c>
      <c r="Q416" s="68">
        <f t="shared" si="166"/>
        <v>956089.95027457387</v>
      </c>
      <c r="R416" s="68">
        <f t="shared" si="166"/>
        <v>1060615.8833836692</v>
      </c>
      <c r="S416" s="68">
        <f t="shared" si="166"/>
        <v>1149713.8715812997</v>
      </c>
      <c r="T416" s="68">
        <f t="shared" si="166"/>
        <v>0</v>
      </c>
      <c r="U416" s="68">
        <f t="shared" si="166"/>
        <v>0</v>
      </c>
      <c r="V416" s="68">
        <f t="shared" si="166"/>
        <v>0</v>
      </c>
      <c r="W416" s="68">
        <f t="shared" si="166"/>
        <v>0</v>
      </c>
      <c r="X416" s="68">
        <f>SUM(L416:W416)</f>
        <v>4010851.5997920861</v>
      </c>
    </row>
    <row r="417" spans="1:39" ht="15" customHeight="1" x14ac:dyDescent="0.2">
      <c r="A417" s="868"/>
      <c r="B417" s="860" t="s">
        <v>410</v>
      </c>
      <c r="C417" s="860"/>
      <c r="D417" s="860"/>
      <c r="E417" s="860"/>
      <c r="F417" s="860"/>
      <c r="G417" s="860"/>
      <c r="H417" s="860"/>
      <c r="I417" s="861"/>
      <c r="L417" s="67">
        <f t="shared" ref="L417:AM417" si="167">P397</f>
        <v>40632</v>
      </c>
      <c r="M417" s="67">
        <f t="shared" si="167"/>
        <v>40723</v>
      </c>
      <c r="N417" s="67">
        <f t="shared" si="167"/>
        <v>40815</v>
      </c>
      <c r="O417" s="67">
        <f t="shared" si="167"/>
        <v>40907</v>
      </c>
      <c r="P417" s="67">
        <f t="shared" si="167"/>
        <v>40998</v>
      </c>
      <c r="Q417" s="67">
        <f t="shared" si="167"/>
        <v>41089</v>
      </c>
      <c r="R417" s="67">
        <f t="shared" si="167"/>
        <v>41181</v>
      </c>
      <c r="S417" s="67">
        <f t="shared" si="167"/>
        <v>41273</v>
      </c>
      <c r="T417" s="67">
        <f t="shared" si="167"/>
        <v>41363</v>
      </c>
      <c r="U417" s="67">
        <f t="shared" si="167"/>
        <v>41454</v>
      </c>
      <c r="V417" s="67">
        <f t="shared" si="167"/>
        <v>41546</v>
      </c>
      <c r="W417" s="67">
        <f t="shared" si="167"/>
        <v>41638</v>
      </c>
      <c r="X417" s="67">
        <f t="shared" si="167"/>
        <v>41728</v>
      </c>
      <c r="Y417" s="67">
        <f t="shared" si="167"/>
        <v>41819</v>
      </c>
      <c r="Z417" s="67">
        <f t="shared" si="167"/>
        <v>41911</v>
      </c>
      <c r="AA417" s="67">
        <f t="shared" si="167"/>
        <v>42003</v>
      </c>
      <c r="AB417" s="67">
        <f t="shared" si="167"/>
        <v>42093</v>
      </c>
      <c r="AC417" s="67">
        <f t="shared" si="167"/>
        <v>42184</v>
      </c>
      <c r="AD417" s="67">
        <f t="shared" si="167"/>
        <v>42276</v>
      </c>
      <c r="AE417" s="67">
        <f t="shared" si="167"/>
        <v>42368</v>
      </c>
      <c r="AF417" s="67">
        <f t="shared" si="167"/>
        <v>42459</v>
      </c>
      <c r="AG417" s="67">
        <f t="shared" si="167"/>
        <v>42550</v>
      </c>
      <c r="AH417" s="67">
        <f t="shared" si="167"/>
        <v>42642</v>
      </c>
      <c r="AI417" s="67">
        <f t="shared" si="167"/>
        <v>42734</v>
      </c>
      <c r="AJ417" s="67">
        <f t="shared" si="167"/>
        <v>0</v>
      </c>
      <c r="AK417" s="67">
        <f t="shared" si="167"/>
        <v>0</v>
      </c>
      <c r="AL417" s="67">
        <f t="shared" si="167"/>
        <v>0</v>
      </c>
      <c r="AM417" s="67">
        <f t="shared" si="167"/>
        <v>0</v>
      </c>
    </row>
    <row r="418" spans="1:39" ht="15" customHeight="1" x14ac:dyDescent="0.2">
      <c r="A418" s="868"/>
      <c r="B418" s="860"/>
      <c r="C418" s="860"/>
      <c r="D418" s="860"/>
      <c r="E418" s="860"/>
      <c r="F418" s="860"/>
      <c r="G418" s="860"/>
      <c r="H418" s="860"/>
      <c r="I418" s="861"/>
      <c r="K418" s="110">
        <f>(-PMT(Parameters!$B$31/12,Parameters!$B$32,$E413))*Parameters!$B$32</f>
        <v>1339896.6686643672</v>
      </c>
      <c r="L418" s="108">
        <f>(-PMT(Parameters!$B$31/12,Parameters!$B$32,$E413))*Parameters!$K$32</f>
        <v>55829.027861015296</v>
      </c>
      <c r="M418" s="108">
        <f>MIN(((-PMT(Parameters!$B$31/12,Parameters!$B$32,$E413))*3),L419)</f>
        <v>111658.05572203059</v>
      </c>
      <c r="N418" s="108">
        <f>MIN(((-PMT(Parameters!$B$31/12,Parameters!$B$32,$E413))*3),M419)</f>
        <v>111658.05572203059</v>
      </c>
      <c r="O418" s="108">
        <f>MIN(((-PMT(Parameters!$B$31/12,Parameters!$B$32,$E413))*3),N419)</f>
        <v>111658.05572203059</v>
      </c>
      <c r="P418" s="108">
        <f>MIN(((-PMT(Parameters!$B$31/12,Parameters!$B$32,$E413))*3),O419)</f>
        <v>111658.05572203059</v>
      </c>
      <c r="Q418" s="108">
        <f>MIN(((-PMT(Parameters!$B$31/12,Parameters!$B$32,$E413))*3),P419)</f>
        <v>111658.05572203059</v>
      </c>
      <c r="R418" s="108">
        <f>MIN(((-PMT(Parameters!$B$31/12,Parameters!$B$32,$E413))*3),Q419)</f>
        <v>111658.05572203059</v>
      </c>
      <c r="S418" s="108">
        <f>MIN(((-PMT(Parameters!$B$31/12,Parameters!$B$32,$E413))*3),R419)</f>
        <v>111658.05572203059</v>
      </c>
      <c r="T418" s="108">
        <f>MIN(((-PMT(Parameters!$B$31/12,Parameters!$B$32,$E413))*3),S419)</f>
        <v>111658.05572203059</v>
      </c>
      <c r="U418" s="108">
        <f>MIN(((-PMT(Parameters!$B$31/12,Parameters!$B$32,$E413))*3),T419)</f>
        <v>111658.05572203059</v>
      </c>
      <c r="V418" s="108">
        <f>MIN(((-PMT(Parameters!$B$31/12,Parameters!$B$32,$E413))*3),U419)</f>
        <v>111658.05572203059</v>
      </c>
      <c r="W418" s="108">
        <f>MIN(((-PMT(Parameters!$B$31/12,Parameters!$B$32,$E413))*3),V419)</f>
        <v>111658.05572203059</v>
      </c>
      <c r="X418" s="108">
        <f>MIN(((-PMT(Parameters!$B$31/12,Parameters!$B$32,$E413))*3),W419)</f>
        <v>55829.027861015391</v>
      </c>
      <c r="Y418" s="108">
        <f>MIN(((-PMT(Parameters!$B$31/12,Parameters!$B$32,$E413))*3),X419)</f>
        <v>0</v>
      </c>
      <c r="Z418" s="108">
        <f>MIN(((-PMT(Parameters!$B$31/12,Parameters!$B$32,$E413))*3),Y419)</f>
        <v>0</v>
      </c>
      <c r="AA418" s="108">
        <f>MIN(((-PMT(Parameters!$B$31/12,Parameters!$B$32,$E413))*3),Z419)</f>
        <v>0</v>
      </c>
      <c r="AB418" s="108">
        <f>MIN(((-PMT(Parameters!$B$31/12,Parameters!$B$32,$E413))*3),AA419)</f>
        <v>0</v>
      </c>
      <c r="AC418" s="108">
        <f>MIN(((-PMT(Parameters!$B$31/12,Parameters!$B$32,$E413))*3),AB419)</f>
        <v>0</v>
      </c>
      <c r="AD418" s="108">
        <f>MIN(((-PMT(Parameters!$B$31/12,Parameters!$B$32,$E413))*3),AC419)</f>
        <v>0</v>
      </c>
      <c r="AE418" s="108">
        <f>MIN(((-PMT(Parameters!$B$31/12,Parameters!$B$32,$E413))*3),AD419)</f>
        <v>0</v>
      </c>
      <c r="AF418" s="108">
        <f>MIN(((-PMT(Parameters!$B$31/12,Parameters!$B$32,$E413))*3),AE419)</f>
        <v>0</v>
      </c>
      <c r="AG418" s="108">
        <f>MIN(((-PMT(Parameters!$B$31/12,Parameters!$B$32,$E413))*3),AF419)</f>
        <v>0</v>
      </c>
      <c r="AH418" s="108">
        <f>MIN(((-PMT(Parameters!$B$31/12,Parameters!$B$32,$E413))*3),AG419)</f>
        <v>0</v>
      </c>
      <c r="AI418" s="108">
        <f>MIN(((-PMT(Parameters!$B$31/12,Parameters!$B$32,$E413))*3),AH419)</f>
        <v>0</v>
      </c>
      <c r="AJ418" s="108">
        <f>MIN(((-PMT(Parameters!$B$31/12,Parameters!$B$32,$E413))*3),AI419)</f>
        <v>0</v>
      </c>
      <c r="AK418" s="108">
        <f>MIN(((-PMT(Parameters!$B$31/12,Parameters!$B$32,$E413))*3),AJ419)</f>
        <v>0</v>
      </c>
      <c r="AL418" s="108">
        <f>MIN(((-PMT(Parameters!$B$31/12,Parameters!$B$32,$E413))*3),AK419)</f>
        <v>0</v>
      </c>
      <c r="AM418" s="108">
        <f>MIN(((-PMT(Parameters!$B$31/12,Parameters!$B$32,$E413))*3),AL419)</f>
        <v>0</v>
      </c>
    </row>
    <row r="419" spans="1:39" ht="15" customHeight="1" x14ac:dyDescent="0.2">
      <c r="A419" s="868"/>
      <c r="B419" s="860"/>
      <c r="C419" s="860"/>
      <c r="D419" s="860"/>
      <c r="E419" s="860"/>
      <c r="F419" s="860"/>
      <c r="G419" s="860"/>
      <c r="H419" s="860"/>
      <c r="I419" s="861"/>
      <c r="L419" s="109">
        <f>K418-L418</f>
        <v>1284067.6408033518</v>
      </c>
      <c r="M419" s="109">
        <f t="shared" ref="M419:AM419" si="168">L419-M418</f>
        <v>1172409.5850813212</v>
      </c>
      <c r="N419" s="109">
        <f t="shared" si="168"/>
        <v>1060751.5293592906</v>
      </c>
      <c r="O419" s="109">
        <f t="shared" si="168"/>
        <v>949093.47363726003</v>
      </c>
      <c r="P419" s="109">
        <f t="shared" si="168"/>
        <v>837435.41791522945</v>
      </c>
      <c r="Q419" s="109">
        <f t="shared" si="168"/>
        <v>725777.36219319887</v>
      </c>
      <c r="R419" s="109">
        <f t="shared" si="168"/>
        <v>614119.3064711683</v>
      </c>
      <c r="S419" s="109">
        <f t="shared" si="168"/>
        <v>502461.25074913772</v>
      </c>
      <c r="T419" s="109">
        <f t="shared" si="168"/>
        <v>390803.19502710714</v>
      </c>
      <c r="U419" s="109">
        <f t="shared" si="168"/>
        <v>279145.13930507656</v>
      </c>
      <c r="V419" s="109">
        <f t="shared" si="168"/>
        <v>167487.08358304598</v>
      </c>
      <c r="W419" s="109">
        <f t="shared" si="168"/>
        <v>55829.027861015391</v>
      </c>
      <c r="X419" s="109">
        <f t="shared" si="168"/>
        <v>0</v>
      </c>
      <c r="Y419" s="109">
        <f t="shared" si="168"/>
        <v>0</v>
      </c>
      <c r="Z419" s="109">
        <f t="shared" si="168"/>
        <v>0</v>
      </c>
      <c r="AA419" s="109">
        <f t="shared" si="168"/>
        <v>0</v>
      </c>
      <c r="AB419" s="109">
        <f t="shared" si="168"/>
        <v>0</v>
      </c>
      <c r="AC419" s="109">
        <f t="shared" si="168"/>
        <v>0</v>
      </c>
      <c r="AD419" s="109">
        <f t="shared" si="168"/>
        <v>0</v>
      </c>
      <c r="AE419" s="109">
        <f t="shared" si="168"/>
        <v>0</v>
      </c>
      <c r="AF419" s="109">
        <f t="shared" si="168"/>
        <v>0</v>
      </c>
      <c r="AG419" s="109">
        <f t="shared" si="168"/>
        <v>0</v>
      </c>
      <c r="AH419" s="109">
        <f t="shared" si="168"/>
        <v>0</v>
      </c>
      <c r="AI419" s="109">
        <f t="shared" si="168"/>
        <v>0</v>
      </c>
      <c r="AJ419" s="109">
        <f t="shared" si="168"/>
        <v>0</v>
      </c>
      <c r="AK419" s="109">
        <f t="shared" si="168"/>
        <v>0</v>
      </c>
      <c r="AL419" s="109">
        <f t="shared" si="168"/>
        <v>0</v>
      </c>
      <c r="AM419" s="109">
        <f t="shared" si="168"/>
        <v>0</v>
      </c>
    </row>
    <row r="420" spans="1:39" ht="15" customHeight="1" x14ac:dyDescent="0.2">
      <c r="A420" s="868"/>
      <c r="B420" s="860"/>
      <c r="C420" s="860"/>
      <c r="D420" s="860"/>
      <c r="E420" s="860"/>
      <c r="F420" s="860"/>
      <c r="G420" s="860"/>
      <c r="H420" s="860"/>
      <c r="I420" s="861"/>
      <c r="K420" s="110">
        <f>(-PMT(Parameters!$B$31/12,Parameters!$B$32,$F413))*Parameters!$B$32</f>
        <v>1339896.6686643672</v>
      </c>
      <c r="L420" s="111"/>
      <c r="M420" s="108">
        <f>(-PMT(Parameters!$B$31/12,Parameters!$B$32,$F413))*Parameters!$K$32</f>
        <v>55829.027861015296</v>
      </c>
      <c r="N420" s="108">
        <f>MIN(((-PMT(Parameters!$B$31/12,Parameters!$B$32,$F413))*3),M421)</f>
        <v>111658.05572203059</v>
      </c>
      <c r="O420" s="108">
        <f>MIN(((-PMT(Parameters!$B$31/12,Parameters!$B$32,$F413))*3),N421)</f>
        <v>111658.05572203059</v>
      </c>
      <c r="P420" s="108">
        <f>MIN(((-PMT(Parameters!$B$31/12,Parameters!$B$32,$F413))*3),O421)</f>
        <v>111658.05572203059</v>
      </c>
      <c r="Q420" s="108">
        <f>MIN(((-PMT(Parameters!$B$31/12,Parameters!$B$32,$F413))*3),P421)</f>
        <v>111658.05572203059</v>
      </c>
      <c r="R420" s="108">
        <f>MIN(((-PMT(Parameters!$B$31/12,Parameters!$B$32,$F413))*3),Q421)</f>
        <v>111658.05572203059</v>
      </c>
      <c r="S420" s="108">
        <f>MIN(((-PMT(Parameters!$B$31/12,Parameters!$B$32,$F413))*3),R421)</f>
        <v>111658.05572203059</v>
      </c>
      <c r="T420" s="108">
        <f>MIN(((-PMT(Parameters!$B$31/12,Parameters!$B$32,$F413))*3),S421)</f>
        <v>111658.05572203059</v>
      </c>
      <c r="U420" s="108">
        <f>MIN(((-PMT(Parameters!$B$31/12,Parameters!$B$32,$F413))*3),T421)</f>
        <v>111658.05572203059</v>
      </c>
      <c r="V420" s="108">
        <f>MIN(((-PMT(Parameters!$B$31/12,Parameters!$B$32,$F413))*3),U421)</f>
        <v>111658.05572203059</v>
      </c>
      <c r="W420" s="108">
        <f>MIN(((-PMT(Parameters!$B$31/12,Parameters!$B$32,$F413))*3),V421)</f>
        <v>111658.05572203059</v>
      </c>
      <c r="X420" s="108">
        <f>MIN(((-PMT(Parameters!$B$31/12,Parameters!$B$32,$F413))*3),W421)</f>
        <v>111658.05572203059</v>
      </c>
      <c r="Y420" s="108">
        <f>MIN(((-PMT(Parameters!$B$31/12,Parameters!$B$32,$F413))*3),X421)</f>
        <v>55829.027861015391</v>
      </c>
      <c r="Z420" s="108">
        <f>MIN(((-PMT(Parameters!$B$31/12,Parameters!$B$32,$F413))*3),Y421)</f>
        <v>0</v>
      </c>
      <c r="AA420" s="108">
        <f>MIN(((-PMT(Parameters!$B$31/12,Parameters!$B$32,$F413))*3),Z421)</f>
        <v>0</v>
      </c>
      <c r="AB420" s="108">
        <f>MIN(((-PMT(Parameters!$B$31/12,Parameters!$B$32,$F413))*3),AA421)</f>
        <v>0</v>
      </c>
      <c r="AC420" s="108">
        <f>MIN(((-PMT(Parameters!$B$31/12,Parameters!$B$32,$F413))*3),AB421)</f>
        <v>0</v>
      </c>
      <c r="AD420" s="108">
        <f>MIN(((-PMT(Parameters!$B$31/12,Parameters!$B$32,$F413))*3),AC421)</f>
        <v>0</v>
      </c>
      <c r="AE420" s="108">
        <f>MIN(((-PMT(Parameters!$B$31/12,Parameters!$B$32,$F413))*3),AD421)</f>
        <v>0</v>
      </c>
      <c r="AF420" s="108">
        <f>MIN(((-PMT(Parameters!$B$31/12,Parameters!$B$32,$F413))*3),AE421)</f>
        <v>0</v>
      </c>
      <c r="AG420" s="108">
        <f>MIN(((-PMT(Parameters!$B$31/12,Parameters!$B$32,$F413))*3),AF421)</f>
        <v>0</v>
      </c>
      <c r="AH420" s="108">
        <f>MIN(((-PMT(Parameters!$B$31/12,Parameters!$B$32,$F413))*3),AG421)</f>
        <v>0</v>
      </c>
      <c r="AI420" s="108">
        <f>MIN(((-PMT(Parameters!$B$31/12,Parameters!$B$32,$F413))*3),AH421)</f>
        <v>0</v>
      </c>
      <c r="AJ420" s="108">
        <f>MIN(((-PMT(Parameters!$B$31/12,Parameters!$B$32,$F413))*3),AI421)</f>
        <v>0</v>
      </c>
      <c r="AK420" s="108">
        <f>MIN(((-PMT(Parameters!$B$31/12,Parameters!$B$32,$F413))*3),AJ421)</f>
        <v>0</v>
      </c>
      <c r="AL420" s="108">
        <f>MIN(((-PMT(Parameters!$B$31/12,Parameters!$B$32,$F413))*3),AK421)</f>
        <v>0</v>
      </c>
      <c r="AM420" s="108">
        <f>MIN(((-PMT(Parameters!$B$31/12,Parameters!$B$32,$F413))*3),AL421)</f>
        <v>0</v>
      </c>
    </row>
    <row r="421" spans="1:39" ht="15" customHeight="1" x14ac:dyDescent="0.2">
      <c r="A421" s="868"/>
      <c r="B421" s="860"/>
      <c r="C421" s="860"/>
      <c r="D421" s="860"/>
      <c r="E421" s="860"/>
      <c r="F421" s="860"/>
      <c r="G421" s="860"/>
      <c r="H421" s="860"/>
      <c r="I421" s="861"/>
      <c r="L421" s="109">
        <f>K420</f>
        <v>1339896.6686643672</v>
      </c>
      <c r="M421" s="109">
        <f t="shared" ref="M421:AM421" si="169">L421-M420</f>
        <v>1284067.6408033518</v>
      </c>
      <c r="N421" s="109">
        <f t="shared" si="169"/>
        <v>1172409.5850813212</v>
      </c>
      <c r="O421" s="109">
        <f t="shared" si="169"/>
        <v>1060751.5293592906</v>
      </c>
      <c r="P421" s="109">
        <f t="shared" si="169"/>
        <v>949093.47363726003</v>
      </c>
      <c r="Q421" s="109">
        <f t="shared" si="169"/>
        <v>837435.41791522945</v>
      </c>
      <c r="R421" s="109">
        <f t="shared" si="169"/>
        <v>725777.36219319887</v>
      </c>
      <c r="S421" s="109">
        <f t="shared" si="169"/>
        <v>614119.3064711683</v>
      </c>
      <c r="T421" s="109">
        <f t="shared" si="169"/>
        <v>502461.25074913772</v>
      </c>
      <c r="U421" s="109">
        <f t="shared" si="169"/>
        <v>390803.19502710714</v>
      </c>
      <c r="V421" s="109">
        <f t="shared" si="169"/>
        <v>279145.13930507656</v>
      </c>
      <c r="W421" s="109">
        <f t="shared" si="169"/>
        <v>167487.08358304598</v>
      </c>
      <c r="X421" s="109">
        <f t="shared" si="169"/>
        <v>55829.027861015391</v>
      </c>
      <c r="Y421" s="109">
        <f t="shared" si="169"/>
        <v>0</v>
      </c>
      <c r="Z421" s="109">
        <f t="shared" si="169"/>
        <v>0</v>
      </c>
      <c r="AA421" s="109">
        <f t="shared" si="169"/>
        <v>0</v>
      </c>
      <c r="AB421" s="109">
        <f t="shared" si="169"/>
        <v>0</v>
      </c>
      <c r="AC421" s="109">
        <f t="shared" si="169"/>
        <v>0</v>
      </c>
      <c r="AD421" s="109">
        <f t="shared" si="169"/>
        <v>0</v>
      </c>
      <c r="AE421" s="109">
        <f t="shared" si="169"/>
        <v>0</v>
      </c>
      <c r="AF421" s="109">
        <f t="shared" si="169"/>
        <v>0</v>
      </c>
      <c r="AG421" s="109">
        <f t="shared" si="169"/>
        <v>0</v>
      </c>
      <c r="AH421" s="109">
        <f t="shared" si="169"/>
        <v>0</v>
      </c>
      <c r="AI421" s="109">
        <f t="shared" si="169"/>
        <v>0</v>
      </c>
      <c r="AJ421" s="109">
        <f t="shared" si="169"/>
        <v>0</v>
      </c>
      <c r="AK421" s="109">
        <f t="shared" si="169"/>
        <v>0</v>
      </c>
      <c r="AL421" s="109">
        <f t="shared" si="169"/>
        <v>0</v>
      </c>
      <c r="AM421" s="109">
        <f t="shared" si="169"/>
        <v>0</v>
      </c>
    </row>
    <row r="422" spans="1:39" ht="15" customHeight="1" x14ac:dyDescent="0.2">
      <c r="A422" s="868"/>
      <c r="B422" s="860"/>
      <c r="C422" s="860"/>
      <c r="D422" s="860"/>
      <c r="E422" s="860"/>
      <c r="F422" s="860"/>
      <c r="G422" s="860"/>
      <c r="H422" s="860"/>
      <c r="I422" s="861"/>
      <c r="K422" s="110">
        <f>(-PMT(Parameters!$B$31/12,Parameters!$B$32,$G413))*Parameters!$B$32</f>
        <v>1339896.6686643672</v>
      </c>
      <c r="L422" s="111"/>
      <c r="M422" s="111"/>
      <c r="N422" s="108">
        <f>(-PMT(Parameters!$B$31/12,Parameters!$B$32,$G413))*Parameters!$K$32</f>
        <v>55829.027861015296</v>
      </c>
      <c r="O422" s="108">
        <f>MIN(((-PMT(Parameters!$B$31/12,Parameters!$B$32,$G413))*3),N423)</f>
        <v>111658.05572203059</v>
      </c>
      <c r="P422" s="108">
        <f>MIN(((-PMT(Parameters!$B$31/12,Parameters!$B$32,$G413))*3),O423)</f>
        <v>111658.05572203059</v>
      </c>
      <c r="Q422" s="108">
        <f>MIN(((-PMT(Parameters!$B$31/12,Parameters!$B$32,$G413))*3),P423)</f>
        <v>111658.05572203059</v>
      </c>
      <c r="R422" s="108">
        <f>MIN(((-PMT(Parameters!$B$31/12,Parameters!$B$32,$G413))*3),Q423)</f>
        <v>111658.05572203059</v>
      </c>
      <c r="S422" s="108">
        <f>MIN(((-PMT(Parameters!$B$31/12,Parameters!$B$32,$G413))*3),R423)</f>
        <v>111658.05572203059</v>
      </c>
      <c r="T422" s="108">
        <f>MIN(((-PMT(Parameters!$B$31/12,Parameters!$B$32,$G413))*3),S423)</f>
        <v>111658.05572203059</v>
      </c>
      <c r="U422" s="108">
        <f>MIN(((-PMT(Parameters!$B$31/12,Parameters!$B$32,$G413))*3),T423)</f>
        <v>111658.05572203059</v>
      </c>
      <c r="V422" s="108">
        <f>MIN(((-PMT(Parameters!$B$31/12,Parameters!$B$32,$G413))*3),U423)</f>
        <v>111658.05572203059</v>
      </c>
      <c r="W422" s="108">
        <f>MIN(((-PMT(Parameters!$B$31/12,Parameters!$B$32,$G413))*3),V423)</f>
        <v>111658.05572203059</v>
      </c>
      <c r="X422" s="108">
        <f>MIN(((-PMT(Parameters!$B$31/12,Parameters!$B$32,$G413))*3),W423)</f>
        <v>111658.05572203059</v>
      </c>
      <c r="Y422" s="108">
        <f>MIN(((-PMT(Parameters!$B$31/12,Parameters!$B$32,$G413))*3),X423)</f>
        <v>111658.05572203059</v>
      </c>
      <c r="Z422" s="108">
        <f>MIN(((-PMT(Parameters!$B$31/12,Parameters!$B$32,$G413))*3),Y423)</f>
        <v>55829.027861015391</v>
      </c>
      <c r="AA422" s="108">
        <f>MIN(((-PMT(Parameters!$B$31/12,Parameters!$B$32,$G413))*3),Z423)</f>
        <v>0</v>
      </c>
      <c r="AB422" s="108">
        <f>MIN(((-PMT(Parameters!$B$31/12,Parameters!$B$32,$G413))*3),AA423)</f>
        <v>0</v>
      </c>
      <c r="AC422" s="108">
        <f>MIN(((-PMT(Parameters!$B$31/12,Parameters!$B$32,$G413))*3),AB423)</f>
        <v>0</v>
      </c>
      <c r="AD422" s="108">
        <f>MIN(((-PMT(Parameters!$B$31/12,Parameters!$B$32,$G413))*3),AC423)</f>
        <v>0</v>
      </c>
      <c r="AE422" s="108">
        <f>MIN(((-PMT(Parameters!$B$31/12,Parameters!$B$32,$G413))*3),AD423)</f>
        <v>0</v>
      </c>
      <c r="AF422" s="108">
        <f>MIN(((-PMT(Parameters!$B$31/12,Parameters!$B$32,$G413))*3),AE423)</f>
        <v>0</v>
      </c>
      <c r="AG422" s="108">
        <f>MIN(((-PMT(Parameters!$B$31/12,Parameters!$B$32,$G413))*3),AF423)</f>
        <v>0</v>
      </c>
      <c r="AH422" s="108">
        <f>MIN(((-PMT(Parameters!$B$31/12,Parameters!$B$32,$G413))*3),AG423)</f>
        <v>0</v>
      </c>
      <c r="AI422" s="108">
        <f>MIN(((-PMT(Parameters!$B$31/12,Parameters!$B$32,$G413))*3),AH423)</f>
        <v>0</v>
      </c>
      <c r="AJ422" s="108">
        <f>MIN(((-PMT(Parameters!$B$31/12,Parameters!$B$32,$G413))*3),AI423)</f>
        <v>0</v>
      </c>
      <c r="AK422" s="108">
        <f>MIN(((-PMT(Parameters!$B$31/12,Parameters!$B$32,$G413))*3),AJ423)</f>
        <v>0</v>
      </c>
      <c r="AL422" s="108">
        <f>MIN(((-PMT(Parameters!$B$31/12,Parameters!$B$32,$G413))*3),AK423)</f>
        <v>0</v>
      </c>
      <c r="AM422" s="108">
        <f>MIN(((-PMT(Parameters!$B$31/12,Parameters!$B$32,$G413))*3),AL423)</f>
        <v>0</v>
      </c>
    </row>
    <row r="423" spans="1:39" ht="15" customHeight="1" x14ac:dyDescent="0.2">
      <c r="A423" s="868"/>
      <c r="B423" s="860"/>
      <c r="C423" s="860"/>
      <c r="D423" s="860"/>
      <c r="E423" s="860"/>
      <c r="F423" s="860"/>
      <c r="G423" s="860"/>
      <c r="H423" s="860"/>
      <c r="I423" s="861"/>
      <c r="L423" s="109">
        <f>K422</f>
        <v>1339896.6686643672</v>
      </c>
      <c r="M423" s="109">
        <f>L423</f>
        <v>1339896.6686643672</v>
      </c>
      <c r="N423" s="109">
        <f t="shared" ref="N423:AM423" si="170">M423-N422</f>
        <v>1284067.6408033518</v>
      </c>
      <c r="O423" s="109">
        <f t="shared" si="170"/>
        <v>1172409.5850813212</v>
      </c>
      <c r="P423" s="109">
        <f t="shared" si="170"/>
        <v>1060751.5293592906</v>
      </c>
      <c r="Q423" s="109">
        <f t="shared" si="170"/>
        <v>949093.47363726003</v>
      </c>
      <c r="R423" s="109">
        <f t="shared" si="170"/>
        <v>837435.41791522945</v>
      </c>
      <c r="S423" s="109">
        <f t="shared" si="170"/>
        <v>725777.36219319887</v>
      </c>
      <c r="T423" s="109">
        <f t="shared" si="170"/>
        <v>614119.3064711683</v>
      </c>
      <c r="U423" s="109">
        <f t="shared" si="170"/>
        <v>502461.25074913772</v>
      </c>
      <c r="V423" s="109">
        <f t="shared" si="170"/>
        <v>390803.19502710714</v>
      </c>
      <c r="W423" s="109">
        <f t="shared" si="170"/>
        <v>279145.13930507656</v>
      </c>
      <c r="X423" s="109">
        <f t="shared" si="170"/>
        <v>167487.08358304598</v>
      </c>
      <c r="Y423" s="109">
        <f t="shared" si="170"/>
        <v>55829.027861015391</v>
      </c>
      <c r="Z423" s="109">
        <f t="shared" si="170"/>
        <v>0</v>
      </c>
      <c r="AA423" s="109">
        <f t="shared" si="170"/>
        <v>0</v>
      </c>
      <c r="AB423" s="109">
        <f t="shared" si="170"/>
        <v>0</v>
      </c>
      <c r="AC423" s="109">
        <f t="shared" si="170"/>
        <v>0</v>
      </c>
      <c r="AD423" s="109">
        <f t="shared" si="170"/>
        <v>0</v>
      </c>
      <c r="AE423" s="109">
        <f t="shared" si="170"/>
        <v>0</v>
      </c>
      <c r="AF423" s="109">
        <f t="shared" si="170"/>
        <v>0</v>
      </c>
      <c r="AG423" s="109">
        <f t="shared" si="170"/>
        <v>0</v>
      </c>
      <c r="AH423" s="109">
        <f t="shared" si="170"/>
        <v>0</v>
      </c>
      <c r="AI423" s="109">
        <f t="shared" si="170"/>
        <v>0</v>
      </c>
      <c r="AJ423" s="109">
        <f t="shared" si="170"/>
        <v>0</v>
      </c>
      <c r="AK423" s="109">
        <f t="shared" si="170"/>
        <v>0</v>
      </c>
      <c r="AL423" s="109">
        <f t="shared" si="170"/>
        <v>0</v>
      </c>
      <c r="AM423" s="109">
        <f t="shared" si="170"/>
        <v>0</v>
      </c>
    </row>
    <row r="424" spans="1:39" ht="15" customHeight="1" x14ac:dyDescent="0.2">
      <c r="A424" s="868"/>
      <c r="B424" s="860"/>
      <c r="C424" s="860"/>
      <c r="D424" s="860"/>
      <c r="E424" s="860"/>
      <c r="F424" s="860"/>
      <c r="G424" s="860"/>
      <c r="H424" s="860"/>
      <c r="I424" s="861"/>
      <c r="K424" s="110">
        <f>(-PMT(Parameters!$B$31/12,Parameters!$B$32,$H413))*Parameters!$B$32</f>
        <v>1369024.8571135923</v>
      </c>
      <c r="L424" s="111"/>
      <c r="M424" s="111"/>
      <c r="N424" s="111"/>
      <c r="O424" s="108">
        <f>(-PMT(Parameters!$B$31/12,Parameters!$B$32,$H413))*Parameters!$K$32</f>
        <v>57042.702379733011</v>
      </c>
      <c r="P424" s="108">
        <f>MIN(((-PMT(Parameters!$B$31/12,Parameters!$B$32,$H413))*3),O425)</f>
        <v>114085.40475946602</v>
      </c>
      <c r="Q424" s="108">
        <f>MIN(((-PMT(Parameters!$B$31/12,Parameters!$B$32,$H413))*3),P425)</f>
        <v>114085.40475946602</v>
      </c>
      <c r="R424" s="108">
        <f>MIN(((-PMT(Parameters!$B$31/12,Parameters!$B$32,$H413))*3),Q425)</f>
        <v>114085.40475946602</v>
      </c>
      <c r="S424" s="108">
        <f>MIN(((-PMT(Parameters!$B$31/12,Parameters!$B$32,$H413))*3),R425)</f>
        <v>114085.40475946602</v>
      </c>
      <c r="T424" s="108">
        <f>MIN(((-PMT(Parameters!$B$31/12,Parameters!$B$32,$H413))*3),S425)</f>
        <v>114085.40475946602</v>
      </c>
      <c r="U424" s="108">
        <f>MIN(((-PMT(Parameters!$B$31/12,Parameters!$B$32,$H413))*3),T425)</f>
        <v>114085.40475946602</v>
      </c>
      <c r="V424" s="108">
        <f>MIN(((-PMT(Parameters!$B$31/12,Parameters!$B$32,$H413))*3),U425)</f>
        <v>114085.40475946602</v>
      </c>
      <c r="W424" s="108">
        <f>MIN(((-PMT(Parameters!$B$31/12,Parameters!$B$32,$H413))*3),V425)</f>
        <v>114085.40475946602</v>
      </c>
      <c r="X424" s="108">
        <f>MIN(((-PMT(Parameters!$B$31/12,Parameters!$B$32,$H413))*3),W425)</f>
        <v>114085.40475946602</v>
      </c>
      <c r="Y424" s="108">
        <f>MIN(((-PMT(Parameters!$B$31/12,Parameters!$B$32,$H413))*3),X425)</f>
        <v>114085.40475946602</v>
      </c>
      <c r="Z424" s="108">
        <f>MIN(((-PMT(Parameters!$B$31/12,Parameters!$B$32,$H413))*3),Y425)</f>
        <v>114085.40475946602</v>
      </c>
      <c r="AA424" s="108">
        <f>MIN(((-PMT(Parameters!$B$31/12,Parameters!$B$32,$H413))*3),Z425)</f>
        <v>57042.702379733018</v>
      </c>
      <c r="AB424" s="108">
        <f>MIN(((-PMT(Parameters!$B$31/12,Parameters!$B$32,$H413))*3),AA425)</f>
        <v>0</v>
      </c>
      <c r="AC424" s="108">
        <f>MIN(((-PMT(Parameters!$B$31/12,Parameters!$B$32,$H413))*3),AB425)</f>
        <v>0</v>
      </c>
      <c r="AD424" s="108">
        <f>MIN(((-PMT(Parameters!$B$31/12,Parameters!$B$32,$H413))*3),AC425)</f>
        <v>0</v>
      </c>
      <c r="AE424" s="108">
        <f>MIN(((-PMT(Parameters!$B$31/12,Parameters!$B$32,$H413))*3),AD425)</f>
        <v>0</v>
      </c>
      <c r="AF424" s="108">
        <f>MIN(((-PMT(Parameters!$B$31/12,Parameters!$B$32,$H413))*3),AE425)</f>
        <v>0</v>
      </c>
      <c r="AG424" s="108">
        <f>MIN(((-PMT(Parameters!$B$31/12,Parameters!$B$32,$H413))*3),AF425)</f>
        <v>0</v>
      </c>
      <c r="AH424" s="108">
        <f>MIN(((-PMT(Parameters!$B$31/12,Parameters!$B$32,$H413))*3),AG425)</f>
        <v>0</v>
      </c>
      <c r="AI424" s="108">
        <f>MIN(((-PMT(Parameters!$B$31/12,Parameters!$B$32,$H413))*3),AH425)</f>
        <v>0</v>
      </c>
      <c r="AJ424" s="108">
        <f>MIN(((-PMT(Parameters!$B$31/12,Parameters!$B$32,$H413))*3),AI425)</f>
        <v>0</v>
      </c>
      <c r="AK424" s="108">
        <f>MIN(((-PMT(Parameters!$B$31/12,Parameters!$B$32,$H413))*3),AJ425)</f>
        <v>0</v>
      </c>
      <c r="AL424" s="108">
        <f>MIN(((-PMT(Parameters!$B$31/12,Parameters!$B$32,$H413))*3),AK425)</f>
        <v>0</v>
      </c>
      <c r="AM424" s="108">
        <f>MIN(((-PMT(Parameters!$B$31/12,Parameters!$B$32,$H413))*3),AL425)</f>
        <v>0</v>
      </c>
    </row>
    <row r="425" spans="1:39" ht="15" customHeight="1" x14ac:dyDescent="0.2">
      <c r="A425" s="868"/>
      <c r="B425" s="860"/>
      <c r="C425" s="860"/>
      <c r="D425" s="860"/>
      <c r="E425" s="860"/>
      <c r="F425" s="860"/>
      <c r="G425" s="860"/>
      <c r="H425" s="860"/>
      <c r="I425" s="861"/>
      <c r="L425" s="109">
        <f>K424</f>
        <v>1369024.8571135923</v>
      </c>
      <c r="M425" s="109">
        <f>L425</f>
        <v>1369024.8571135923</v>
      </c>
      <c r="N425" s="109">
        <f t="shared" ref="N425:AM425" si="171">M425-N424</f>
        <v>1369024.8571135923</v>
      </c>
      <c r="O425" s="109">
        <f t="shared" si="171"/>
        <v>1311982.1547338592</v>
      </c>
      <c r="P425" s="109">
        <f t="shared" si="171"/>
        <v>1197896.7499743933</v>
      </c>
      <c r="Q425" s="109">
        <f t="shared" si="171"/>
        <v>1083811.3452149273</v>
      </c>
      <c r="R425" s="109">
        <f t="shared" si="171"/>
        <v>969725.94045546127</v>
      </c>
      <c r="S425" s="109">
        <f t="shared" si="171"/>
        <v>855640.5356959952</v>
      </c>
      <c r="T425" s="109">
        <f t="shared" si="171"/>
        <v>741555.13093652914</v>
      </c>
      <c r="U425" s="109">
        <f t="shared" si="171"/>
        <v>627469.72617706307</v>
      </c>
      <c r="V425" s="109">
        <f t="shared" si="171"/>
        <v>513384.32141759706</v>
      </c>
      <c r="W425" s="109">
        <f t="shared" si="171"/>
        <v>399298.91665813106</v>
      </c>
      <c r="X425" s="109">
        <f t="shared" si="171"/>
        <v>285213.51189866505</v>
      </c>
      <c r="Y425" s="109">
        <f t="shared" si="171"/>
        <v>171128.10713919904</v>
      </c>
      <c r="Z425" s="109">
        <f t="shared" si="171"/>
        <v>57042.702379733018</v>
      </c>
      <c r="AA425" s="109">
        <f t="shared" si="171"/>
        <v>0</v>
      </c>
      <c r="AB425" s="109">
        <f t="shared" si="171"/>
        <v>0</v>
      </c>
      <c r="AC425" s="109">
        <f t="shared" si="171"/>
        <v>0</v>
      </c>
      <c r="AD425" s="109">
        <f t="shared" si="171"/>
        <v>0</v>
      </c>
      <c r="AE425" s="109">
        <f t="shared" si="171"/>
        <v>0</v>
      </c>
      <c r="AF425" s="109">
        <f t="shared" si="171"/>
        <v>0</v>
      </c>
      <c r="AG425" s="109">
        <f t="shared" si="171"/>
        <v>0</v>
      </c>
      <c r="AH425" s="109">
        <f t="shared" si="171"/>
        <v>0</v>
      </c>
      <c r="AI425" s="109">
        <f t="shared" si="171"/>
        <v>0</v>
      </c>
      <c r="AJ425" s="109">
        <f t="shared" si="171"/>
        <v>0</v>
      </c>
      <c r="AK425" s="109">
        <f t="shared" si="171"/>
        <v>0</v>
      </c>
      <c r="AL425" s="109">
        <f t="shared" si="171"/>
        <v>0</v>
      </c>
      <c r="AM425" s="109">
        <f t="shared" si="171"/>
        <v>0</v>
      </c>
    </row>
    <row r="426" spans="1:39" ht="15" customHeight="1" x14ac:dyDescent="0.2">
      <c r="A426" s="868"/>
      <c r="B426" s="860"/>
      <c r="C426" s="860"/>
      <c r="D426" s="860"/>
      <c r="E426" s="860"/>
      <c r="F426" s="860"/>
      <c r="G426" s="860"/>
      <c r="H426" s="860"/>
      <c r="I426" s="861"/>
      <c r="L426" s="109">
        <f>L418+L420+L422+L424</f>
        <v>55829.027861015296</v>
      </c>
      <c r="M426" s="109">
        <f t="shared" ref="M426:AM426" si="172">M418+M420+M422+M424</f>
        <v>167487.0835830459</v>
      </c>
      <c r="N426" s="109">
        <f t="shared" si="172"/>
        <v>279145.1393050765</v>
      </c>
      <c r="O426" s="109">
        <f t="shared" si="172"/>
        <v>392016.86954582483</v>
      </c>
      <c r="P426" s="109">
        <f t="shared" si="172"/>
        <v>449059.5719255578</v>
      </c>
      <c r="Q426" s="109">
        <f t="shared" si="172"/>
        <v>449059.5719255578</v>
      </c>
      <c r="R426" s="109">
        <f t="shared" si="172"/>
        <v>449059.5719255578</v>
      </c>
      <c r="S426" s="109">
        <f t="shared" si="172"/>
        <v>449059.5719255578</v>
      </c>
      <c r="T426" s="109">
        <f t="shared" si="172"/>
        <v>449059.5719255578</v>
      </c>
      <c r="U426" s="109">
        <f t="shared" si="172"/>
        <v>449059.5719255578</v>
      </c>
      <c r="V426" s="109">
        <f t="shared" si="172"/>
        <v>449059.5719255578</v>
      </c>
      <c r="W426" s="109">
        <f t="shared" si="172"/>
        <v>449059.5719255578</v>
      </c>
      <c r="X426" s="109">
        <f t="shared" si="172"/>
        <v>393230.54406454257</v>
      </c>
      <c r="Y426" s="109">
        <f t="shared" si="172"/>
        <v>281572.48834251199</v>
      </c>
      <c r="Z426" s="109">
        <f t="shared" si="172"/>
        <v>169914.43262048141</v>
      </c>
      <c r="AA426" s="109">
        <f t="shared" si="172"/>
        <v>57042.702379733018</v>
      </c>
      <c r="AB426" s="109">
        <f t="shared" si="172"/>
        <v>0</v>
      </c>
      <c r="AC426" s="109">
        <f t="shared" si="172"/>
        <v>0</v>
      </c>
      <c r="AD426" s="109">
        <f t="shared" si="172"/>
        <v>0</v>
      </c>
      <c r="AE426" s="109">
        <f t="shared" si="172"/>
        <v>0</v>
      </c>
      <c r="AF426" s="109">
        <f t="shared" si="172"/>
        <v>0</v>
      </c>
      <c r="AG426" s="109">
        <f t="shared" si="172"/>
        <v>0</v>
      </c>
      <c r="AH426" s="109">
        <f t="shared" si="172"/>
        <v>0</v>
      </c>
      <c r="AI426" s="109">
        <f t="shared" si="172"/>
        <v>0</v>
      </c>
      <c r="AJ426" s="109">
        <f t="shared" si="172"/>
        <v>0</v>
      </c>
      <c r="AK426" s="109">
        <f t="shared" si="172"/>
        <v>0</v>
      </c>
      <c r="AL426" s="109">
        <f t="shared" si="172"/>
        <v>0</v>
      </c>
      <c r="AM426" s="109">
        <f t="shared" si="172"/>
        <v>0</v>
      </c>
    </row>
    <row r="427" spans="1:39" ht="15" customHeight="1" thickBot="1" x14ac:dyDescent="0.25">
      <c r="A427" s="869"/>
      <c r="B427" s="862"/>
      <c r="C427" s="862"/>
      <c r="D427" s="862"/>
      <c r="E427" s="862"/>
      <c r="F427" s="862"/>
      <c r="G427" s="862"/>
      <c r="H427" s="862"/>
      <c r="I427" s="863"/>
      <c r="L427"/>
      <c r="M427"/>
      <c r="N427"/>
      <c r="O427"/>
      <c r="P427"/>
      <c r="Q427"/>
      <c r="R427"/>
      <c r="S427"/>
      <c r="T427"/>
      <c r="U427"/>
      <c r="V427"/>
      <c r="W427"/>
      <c r="X427"/>
      <c r="Y427"/>
      <c r="Z427"/>
      <c r="AA427"/>
      <c r="AB427"/>
      <c r="AC427"/>
      <c r="AD427"/>
      <c r="AE427"/>
      <c r="AF427"/>
      <c r="AG427"/>
      <c r="AH427"/>
      <c r="AI427"/>
      <c r="AJ427"/>
      <c r="AK427"/>
      <c r="AL427"/>
      <c r="AM427"/>
    </row>
    <row r="428" spans="1:39" ht="13.2" thickBot="1" x14ac:dyDescent="0.25"/>
    <row r="429" spans="1:39" ht="16.05" customHeight="1" x14ac:dyDescent="0.2">
      <c r="A429" s="889">
        <v>2016</v>
      </c>
      <c r="B429" s="890"/>
      <c r="C429" s="893" t="s">
        <v>198</v>
      </c>
      <c r="D429" s="894"/>
      <c r="E429" s="864" t="s">
        <v>406</v>
      </c>
      <c r="F429" s="883" t="s">
        <v>407</v>
      </c>
      <c r="G429" s="883" t="s">
        <v>408</v>
      </c>
      <c r="H429" s="885" t="s">
        <v>409</v>
      </c>
      <c r="I429" s="887" t="s">
        <v>498</v>
      </c>
      <c r="L429" s="85">
        <f>AB297</f>
        <v>40543</v>
      </c>
      <c r="M429" s="85">
        <f t="shared" ref="M429:AM429" si="173">L430+1</f>
        <v>40633</v>
      </c>
      <c r="N429" s="85">
        <f t="shared" si="173"/>
        <v>40724</v>
      </c>
      <c r="O429" s="85">
        <f t="shared" si="173"/>
        <v>40816</v>
      </c>
      <c r="P429" s="85">
        <f t="shared" si="173"/>
        <v>40908</v>
      </c>
      <c r="Q429" s="85">
        <f t="shared" si="173"/>
        <v>40999</v>
      </c>
      <c r="R429" s="85">
        <f t="shared" si="173"/>
        <v>41090</v>
      </c>
      <c r="S429" s="85">
        <f t="shared" si="173"/>
        <v>41182</v>
      </c>
      <c r="T429" s="85">
        <f t="shared" si="173"/>
        <v>41274</v>
      </c>
      <c r="U429" s="85">
        <f t="shared" si="173"/>
        <v>41364</v>
      </c>
      <c r="V429" s="85">
        <f t="shared" si="173"/>
        <v>41455</v>
      </c>
      <c r="W429" s="85">
        <f t="shared" si="173"/>
        <v>41547</v>
      </c>
      <c r="X429" s="85">
        <f t="shared" si="173"/>
        <v>41639</v>
      </c>
      <c r="Y429" s="85">
        <f t="shared" si="173"/>
        <v>41729</v>
      </c>
      <c r="Z429" s="85">
        <f t="shared" si="173"/>
        <v>41820</v>
      </c>
      <c r="AA429" s="85">
        <f t="shared" si="173"/>
        <v>41912</v>
      </c>
      <c r="AB429" s="85">
        <f t="shared" si="173"/>
        <v>42004</v>
      </c>
      <c r="AC429" s="85">
        <f t="shared" si="173"/>
        <v>42094</v>
      </c>
      <c r="AD429" s="85">
        <f t="shared" si="173"/>
        <v>42185</v>
      </c>
      <c r="AE429" s="85">
        <f t="shared" si="173"/>
        <v>42277</v>
      </c>
      <c r="AF429" s="85">
        <f t="shared" si="173"/>
        <v>42369</v>
      </c>
      <c r="AG429" s="85">
        <f t="shared" si="173"/>
        <v>42460</v>
      </c>
      <c r="AH429" s="85">
        <f t="shared" si="173"/>
        <v>42551</v>
      </c>
      <c r="AI429" s="85">
        <f t="shared" si="173"/>
        <v>42643</v>
      </c>
      <c r="AJ429" s="85">
        <f t="shared" si="173"/>
        <v>42735</v>
      </c>
      <c r="AK429" s="85">
        <f t="shared" si="173"/>
        <v>42825</v>
      </c>
      <c r="AL429" s="85">
        <f t="shared" si="173"/>
        <v>42916</v>
      </c>
      <c r="AM429" s="85">
        <f t="shared" si="173"/>
        <v>43008</v>
      </c>
    </row>
    <row r="430" spans="1:39" ht="16.05" customHeight="1" thickBot="1" x14ac:dyDescent="0.25">
      <c r="A430" s="891"/>
      <c r="B430" s="892"/>
      <c r="C430" s="895"/>
      <c r="D430" s="896"/>
      <c r="E430" s="865"/>
      <c r="F430" s="884"/>
      <c r="G430" s="884"/>
      <c r="H430" s="886"/>
      <c r="I430" s="888"/>
      <c r="L430" s="85">
        <f>AB298</f>
        <v>40632</v>
      </c>
      <c r="M430" s="85">
        <f t="shared" ref="M430:AM430" si="174">AC298</f>
        <v>40723</v>
      </c>
      <c r="N430" s="85">
        <f t="shared" si="174"/>
        <v>40815</v>
      </c>
      <c r="O430" s="85">
        <f t="shared" si="174"/>
        <v>40907</v>
      </c>
      <c r="P430" s="85">
        <f t="shared" si="174"/>
        <v>40998</v>
      </c>
      <c r="Q430" s="85">
        <f t="shared" si="174"/>
        <v>41089</v>
      </c>
      <c r="R430" s="85">
        <f t="shared" si="174"/>
        <v>41181</v>
      </c>
      <c r="S430" s="85">
        <f t="shared" si="174"/>
        <v>41273</v>
      </c>
      <c r="T430" s="85">
        <f t="shared" si="174"/>
        <v>41363</v>
      </c>
      <c r="U430" s="85">
        <f t="shared" si="174"/>
        <v>41454</v>
      </c>
      <c r="V430" s="85">
        <f t="shared" si="174"/>
        <v>41546</v>
      </c>
      <c r="W430" s="85">
        <f t="shared" si="174"/>
        <v>41638</v>
      </c>
      <c r="X430" s="85">
        <f t="shared" si="174"/>
        <v>41728</v>
      </c>
      <c r="Y430" s="85">
        <f t="shared" si="174"/>
        <v>41819</v>
      </c>
      <c r="Z430" s="85">
        <f t="shared" si="174"/>
        <v>41911</v>
      </c>
      <c r="AA430" s="85">
        <f t="shared" si="174"/>
        <v>42003</v>
      </c>
      <c r="AB430" s="85">
        <f t="shared" si="174"/>
        <v>42093</v>
      </c>
      <c r="AC430" s="85">
        <f t="shared" si="174"/>
        <v>42184</v>
      </c>
      <c r="AD430" s="85">
        <f t="shared" si="174"/>
        <v>42276</v>
      </c>
      <c r="AE430" s="85">
        <f t="shared" si="174"/>
        <v>42368</v>
      </c>
      <c r="AF430" s="85">
        <f t="shared" si="174"/>
        <v>42459</v>
      </c>
      <c r="AG430" s="85">
        <f t="shared" si="174"/>
        <v>42550</v>
      </c>
      <c r="AH430" s="85">
        <f t="shared" si="174"/>
        <v>42642</v>
      </c>
      <c r="AI430" s="85">
        <f t="shared" si="174"/>
        <v>42734</v>
      </c>
      <c r="AJ430" s="85">
        <f t="shared" si="174"/>
        <v>42824</v>
      </c>
      <c r="AK430" s="85">
        <f t="shared" si="174"/>
        <v>42915</v>
      </c>
      <c r="AL430" s="85">
        <f t="shared" si="174"/>
        <v>43007</v>
      </c>
      <c r="AM430" s="85">
        <f t="shared" si="174"/>
        <v>43099</v>
      </c>
    </row>
    <row r="431" spans="1:39" ht="15" customHeight="1" x14ac:dyDescent="0.2">
      <c r="A431" s="878" t="s">
        <v>318</v>
      </c>
      <c r="B431" s="870" t="s">
        <v>347</v>
      </c>
      <c r="C431" s="385" t="s">
        <v>341</v>
      </c>
      <c r="D431" s="94">
        <f>1-Parameters!N$8</f>
        <v>0</v>
      </c>
      <c r="E431" s="96">
        <f>ROUND(Calculations!X5*$D431,0)</f>
        <v>0</v>
      </c>
      <c r="F431" s="96">
        <f>ROUND(Calculations!Y5*$D431,0)</f>
        <v>0</v>
      </c>
      <c r="G431" s="96">
        <f>ROUND(Calculations!Z5*$D431,0)</f>
        <v>0</v>
      </c>
      <c r="H431" s="96">
        <f>ROUND(Calculations!AA5*$D431,0)</f>
        <v>0</v>
      </c>
      <c r="I431" s="103">
        <f>SUM(E431:H431)</f>
        <v>0</v>
      </c>
      <c r="L431" s="88"/>
      <c r="M431" s="88"/>
      <c r="N431" s="88"/>
      <c r="O431" s="88"/>
      <c r="P431" s="85">
        <f>P429</f>
        <v>40908</v>
      </c>
      <c r="Q431" s="85">
        <f>Q429</f>
        <v>40999</v>
      </c>
      <c r="R431" s="85">
        <f>R429</f>
        <v>41090</v>
      </c>
      <c r="S431" s="85">
        <f>S429</f>
        <v>41182</v>
      </c>
      <c r="T431" s="88"/>
      <c r="U431" s="88"/>
      <c r="V431" s="88"/>
      <c r="W431" s="88"/>
      <c r="Y431"/>
    </row>
    <row r="432" spans="1:39" ht="15" customHeight="1" x14ac:dyDescent="0.2">
      <c r="A432" s="879"/>
      <c r="B432" s="605"/>
      <c r="C432" s="385" t="s">
        <v>117</v>
      </c>
      <c r="D432" s="150">
        <f>1-Parameters!N$9</f>
        <v>0</v>
      </c>
      <c r="E432" s="98">
        <f>ROUND(Calculations!X6*$D432,0)</f>
        <v>0</v>
      </c>
      <c r="F432" s="99">
        <f>ROUND(Calculations!Y6*$D432,0)</f>
        <v>0</v>
      </c>
      <c r="G432" s="99">
        <f>ROUND(Calculations!Z6*$D432,0)</f>
        <v>0</v>
      </c>
      <c r="H432" s="100">
        <f>ROUND(Calculations!AA6*$D432,0)</f>
        <v>0</v>
      </c>
      <c r="I432" s="102">
        <f>SUM(E432:H432)</f>
        <v>0</v>
      </c>
      <c r="L432" s="386"/>
      <c r="M432" s="386"/>
      <c r="N432" s="386"/>
      <c r="O432" s="386"/>
      <c r="P432" s="299"/>
      <c r="Q432" s="299"/>
      <c r="R432" s="299"/>
      <c r="S432" s="299"/>
      <c r="T432" s="386"/>
      <c r="U432" s="386"/>
      <c r="V432" s="386"/>
      <c r="W432" s="386"/>
      <c r="Y432"/>
    </row>
    <row r="433" spans="1:25" ht="15" customHeight="1" x14ac:dyDescent="0.2">
      <c r="A433" s="879"/>
      <c r="B433" s="605"/>
      <c r="C433" s="384" t="s">
        <v>247</v>
      </c>
      <c r="D433" s="150">
        <f>1-Parameters!N$10</f>
        <v>0</v>
      </c>
      <c r="E433" s="98">
        <f>ROUND(Calculations!X7*$D433,0)</f>
        <v>0</v>
      </c>
      <c r="F433" s="99">
        <f>ROUND(Calculations!Y7*$D433,0)</f>
        <v>0</v>
      </c>
      <c r="G433" s="99">
        <f>ROUND(Calculations!Z7*$D433,0)</f>
        <v>0</v>
      </c>
      <c r="H433" s="100">
        <f>ROUND(Calculations!AA7*$D433,0)</f>
        <v>0</v>
      </c>
      <c r="I433" s="102">
        <f>SUM(E433:H433)</f>
        <v>0</v>
      </c>
      <c r="L433"/>
      <c r="M433"/>
      <c r="N433"/>
      <c r="O433"/>
      <c r="P433"/>
      <c r="Q433"/>
      <c r="R433"/>
      <c r="S433"/>
      <c r="T433"/>
      <c r="U433"/>
      <c r="V433"/>
      <c r="W433"/>
      <c r="Y433"/>
    </row>
    <row r="434" spans="1:25" ht="15" customHeight="1" x14ac:dyDescent="0.2">
      <c r="A434" s="880"/>
      <c r="B434" s="688"/>
      <c r="C434" s="688" t="s">
        <v>139</v>
      </c>
      <c r="D434" s="871"/>
      <c r="E434" s="92">
        <f>SUM(E431:E433)</f>
        <v>0</v>
      </c>
      <c r="F434" s="92">
        <f>SUM(F431:F433)</f>
        <v>0</v>
      </c>
      <c r="G434" s="92">
        <f>SUM(G431:G433)</f>
        <v>0</v>
      </c>
      <c r="H434" s="92">
        <f>SUM(H431:H433)</f>
        <v>0</v>
      </c>
      <c r="I434" s="872">
        <f>H435</f>
        <v>0</v>
      </c>
      <c r="L434" s="93">
        <f>IF($M436&lt;=L430,$E434,IF($N436&lt;=L430,$F434,IF($O436&lt;=L430,$G434,IF($P436&lt;=L430,$H434,))))</f>
        <v>0</v>
      </c>
      <c r="M434" s="93">
        <f t="shared" ref="M434:W434" si="175">IF(AND($M436&gt;L430,$M436&lt;=M430),$E434,IF(AND($N436&gt;L430,$N436&lt;=M430),$F434,IF(AND($O436&gt;L430,$O436&lt;=M430),$G434,IF(AND($P436&gt;L430,$P436&lt;=M430),$H434,))))</f>
        <v>0</v>
      </c>
      <c r="N434" s="93">
        <f t="shared" si="175"/>
        <v>0</v>
      </c>
      <c r="O434" s="93">
        <f t="shared" si="175"/>
        <v>0</v>
      </c>
      <c r="P434" s="93">
        <f t="shared" si="175"/>
        <v>0</v>
      </c>
      <c r="Q434" s="93">
        <f t="shared" si="175"/>
        <v>0</v>
      </c>
      <c r="R434" s="93">
        <f t="shared" si="175"/>
        <v>0</v>
      </c>
      <c r="S434" s="93">
        <f t="shared" si="175"/>
        <v>0</v>
      </c>
      <c r="T434" s="93">
        <f t="shared" si="175"/>
        <v>0</v>
      </c>
      <c r="U434" s="93">
        <f t="shared" si="175"/>
        <v>0</v>
      </c>
      <c r="V434" s="93">
        <f t="shared" si="175"/>
        <v>0</v>
      </c>
      <c r="W434" s="93">
        <f t="shared" si="175"/>
        <v>0</v>
      </c>
      <c r="X434" s="93">
        <f>SUM(L434:W434)</f>
        <v>0</v>
      </c>
      <c r="Y434"/>
    </row>
    <row r="435" spans="1:25" ht="15" customHeight="1" x14ac:dyDescent="0.2">
      <c r="A435" s="880"/>
      <c r="B435" s="688"/>
      <c r="C435" s="874" t="s">
        <v>331</v>
      </c>
      <c r="D435" s="875"/>
      <c r="E435" s="105">
        <f>E434</f>
        <v>0</v>
      </c>
      <c r="F435" s="15">
        <f>E435+F434</f>
        <v>0</v>
      </c>
      <c r="G435" s="15">
        <f>F435+G434</f>
        <v>0</v>
      </c>
      <c r="H435" s="15">
        <f>G435+H434</f>
        <v>0</v>
      </c>
      <c r="I435" s="873"/>
    </row>
    <row r="436" spans="1:25" ht="15" customHeight="1" x14ac:dyDescent="0.2">
      <c r="A436" s="880"/>
      <c r="B436" s="688" t="s">
        <v>411</v>
      </c>
      <c r="C436" s="65" t="s">
        <v>405</v>
      </c>
      <c r="D436" s="104">
        <f>Parameters!$F$21</f>
        <v>17000</v>
      </c>
      <c r="E436" s="72">
        <f>E434*$D436</f>
        <v>0</v>
      </c>
      <c r="F436" s="72">
        <f>F434*$D436</f>
        <v>0</v>
      </c>
      <c r="G436" s="72">
        <f>G434*$D436</f>
        <v>0</v>
      </c>
      <c r="H436" s="72">
        <f>H434*$D436</f>
        <v>0</v>
      </c>
      <c r="I436" s="106">
        <f>SUM(E436:H436)</f>
        <v>0</v>
      </c>
      <c r="L436" s="60" t="s">
        <v>196</v>
      </c>
      <c r="M436" s="79">
        <f>P431+$D437</f>
        <v>40908</v>
      </c>
      <c r="N436" s="79">
        <f>Q431+$D437</f>
        <v>40999</v>
      </c>
      <c r="O436" s="79">
        <f>R431+$D437</f>
        <v>41090</v>
      </c>
      <c r="P436" s="79">
        <f>S431+$D437</f>
        <v>41182</v>
      </c>
      <c r="X436" s="69" t="s">
        <v>366</v>
      </c>
    </row>
    <row r="437" spans="1:25" ht="15" customHeight="1" thickBot="1" x14ac:dyDescent="0.25">
      <c r="A437" s="881"/>
      <c r="B437" s="882"/>
      <c r="C437" s="70" t="s">
        <v>332</v>
      </c>
      <c r="D437" s="84">
        <f>Parameters!$B$36</f>
        <v>0</v>
      </c>
      <c r="E437" s="72">
        <f>SUM(L437:P437)+T404</f>
        <v>0</v>
      </c>
      <c r="F437" s="66">
        <f>Q437+U404</f>
        <v>0</v>
      </c>
      <c r="G437" s="66">
        <f>R437+V404</f>
        <v>0</v>
      </c>
      <c r="H437" s="66">
        <f>S437+W404</f>
        <v>0</v>
      </c>
      <c r="I437" s="89">
        <f>SUM(E437:H437)</f>
        <v>0</v>
      </c>
      <c r="L437" s="68">
        <f>IF($M436&lt;=L430,$E436,IF($N436&lt;=L430,$F436,IF($O436&lt;=L430,$G436,IF($P436&lt;=L430,$H436,))))</f>
        <v>0</v>
      </c>
      <c r="M437" s="68">
        <f t="shared" ref="M437:W437" si="176">IF(AND($M436&gt;L430,$M436&lt;=M430),$E436,IF(AND($N436&gt;L430,$N436&lt;=M430),$F436,IF(AND($O436&gt;L430,$O436&lt;=M430),$G436,IF(AND($P436&gt;L430,$P436&lt;=M430),$H436,))))</f>
        <v>0</v>
      </c>
      <c r="N437" s="68">
        <f t="shared" si="176"/>
        <v>0</v>
      </c>
      <c r="O437" s="68">
        <f t="shared" si="176"/>
        <v>0</v>
      </c>
      <c r="P437" s="68">
        <f t="shared" si="176"/>
        <v>0</v>
      </c>
      <c r="Q437" s="68">
        <f t="shared" si="176"/>
        <v>0</v>
      </c>
      <c r="R437" s="68">
        <f t="shared" si="176"/>
        <v>0</v>
      </c>
      <c r="S437" s="68">
        <f t="shared" si="176"/>
        <v>0</v>
      </c>
      <c r="T437" s="68">
        <f t="shared" si="176"/>
        <v>0</v>
      </c>
      <c r="U437" s="68">
        <f t="shared" si="176"/>
        <v>0</v>
      </c>
      <c r="V437" s="68">
        <f t="shared" si="176"/>
        <v>0</v>
      </c>
      <c r="W437" s="68">
        <f t="shared" si="176"/>
        <v>0</v>
      </c>
      <c r="X437" s="68">
        <f>SUM(L437:W437)</f>
        <v>0</v>
      </c>
    </row>
    <row r="438" spans="1:25" ht="15" customHeight="1" x14ac:dyDescent="0.2">
      <c r="A438" s="866" t="s">
        <v>206</v>
      </c>
      <c r="B438" s="870" t="s">
        <v>317</v>
      </c>
      <c r="C438" s="95" t="str">
        <f>C431</f>
        <v>Europe</v>
      </c>
      <c r="D438" s="94">
        <f>1-D431</f>
        <v>1</v>
      </c>
      <c r="E438" s="96">
        <f>Calculations!X5-E431</f>
        <v>47</v>
      </c>
      <c r="F438" s="97">
        <f>Calculations!Y5-F431</f>
        <v>47</v>
      </c>
      <c r="G438" s="97">
        <f>Calculations!Z5-G431</f>
        <v>47</v>
      </c>
      <c r="H438" s="96">
        <f>Calculations!AA5-H431</f>
        <v>49</v>
      </c>
      <c r="I438" s="103">
        <f>SUM(E438:H438)</f>
        <v>190</v>
      </c>
    </row>
    <row r="439" spans="1:25" ht="15" customHeight="1" x14ac:dyDescent="0.2">
      <c r="A439" s="867"/>
      <c r="B439" s="605"/>
      <c r="C439" s="385" t="str">
        <f>C432</f>
        <v>Africa</v>
      </c>
      <c r="D439" s="150">
        <f>1-D432</f>
        <v>1</v>
      </c>
      <c r="E439" s="98">
        <f>Calculations!X6-E432</f>
        <v>22</v>
      </c>
      <c r="F439" s="99">
        <f>Calculations!Y6-F432</f>
        <v>22</v>
      </c>
      <c r="G439" s="99">
        <f>Calculations!Z6-G432</f>
        <v>22</v>
      </c>
      <c r="H439" s="100">
        <f>Calculations!AA6-H432</f>
        <v>24</v>
      </c>
      <c r="I439" s="102">
        <f>SUM(E439:H439)</f>
        <v>90</v>
      </c>
    </row>
    <row r="440" spans="1:25" ht="15" customHeight="1" x14ac:dyDescent="0.2">
      <c r="A440" s="868"/>
      <c r="B440" s="605"/>
      <c r="C440" s="385" t="str">
        <f>C433</f>
        <v>Asia</v>
      </c>
      <c r="D440" s="150">
        <f>1-D433</f>
        <v>1</v>
      </c>
      <c r="E440" s="98">
        <f>Calculations!X7-E433</f>
        <v>0</v>
      </c>
      <c r="F440" s="99">
        <f>Calculations!Y7-F433</f>
        <v>0</v>
      </c>
      <c r="G440" s="99">
        <f>Calculations!Z7-G433</f>
        <v>0</v>
      </c>
      <c r="H440" s="100">
        <f>Calculations!AA7-H433</f>
        <v>0</v>
      </c>
      <c r="I440" s="102">
        <f>SUM(E440:H440)</f>
        <v>0</v>
      </c>
    </row>
    <row r="441" spans="1:25" ht="15" customHeight="1" x14ac:dyDescent="0.2">
      <c r="A441" s="868"/>
      <c r="B441" s="688"/>
      <c r="C441" s="688" t="s">
        <v>139</v>
      </c>
      <c r="D441" s="871"/>
      <c r="E441" s="92">
        <f>SUM(E438:E440)</f>
        <v>69</v>
      </c>
      <c r="F441" s="10">
        <f>SUM(F438:F440)</f>
        <v>69</v>
      </c>
      <c r="G441" s="10">
        <f>SUM(G438:G440)</f>
        <v>69</v>
      </c>
      <c r="H441" s="101">
        <f>SUM(H438:H440)</f>
        <v>73</v>
      </c>
      <c r="I441" s="872">
        <f>H442</f>
        <v>280</v>
      </c>
      <c r="L441"/>
      <c r="M441"/>
      <c r="N441"/>
      <c r="O441"/>
      <c r="P441"/>
      <c r="Q441"/>
      <c r="R441"/>
      <c r="S441"/>
      <c r="T441"/>
      <c r="U441"/>
      <c r="V441"/>
      <c r="W441"/>
      <c r="X441"/>
      <c r="Y441"/>
    </row>
    <row r="442" spans="1:25" ht="15" customHeight="1" x14ac:dyDescent="0.2">
      <c r="A442" s="868"/>
      <c r="B442" s="688"/>
      <c r="C442" s="874" t="s">
        <v>331</v>
      </c>
      <c r="D442" s="875"/>
      <c r="E442" s="105">
        <f>E441</f>
        <v>69</v>
      </c>
      <c r="F442" s="15">
        <f>F441+E442</f>
        <v>138</v>
      </c>
      <c r="G442" s="15">
        <f>G441+F442</f>
        <v>207</v>
      </c>
      <c r="H442" s="15">
        <f>H441+G442</f>
        <v>280</v>
      </c>
      <c r="I442" s="873"/>
      <c r="L442"/>
      <c r="M442"/>
      <c r="N442"/>
      <c r="O442"/>
      <c r="P442"/>
      <c r="Q442"/>
      <c r="R442"/>
      <c r="S442"/>
      <c r="T442"/>
      <c r="U442"/>
      <c r="V442"/>
      <c r="W442"/>
      <c r="X442"/>
      <c r="Y442"/>
    </row>
    <row r="443" spans="1:25" ht="15" customHeight="1" x14ac:dyDescent="0.2">
      <c r="A443" s="868"/>
      <c r="B443" s="566" t="s">
        <v>68</v>
      </c>
      <c r="C443" s="688" t="s">
        <v>412</v>
      </c>
      <c r="D443" s="871"/>
      <c r="E443" s="72">
        <f>E441*$D436</f>
        <v>1173000</v>
      </c>
      <c r="F443" s="66">
        <f>F441*$D436</f>
        <v>1173000</v>
      </c>
      <c r="G443" s="66">
        <f>G441*$D436</f>
        <v>1173000</v>
      </c>
      <c r="H443" s="86">
        <f>H441*$D436</f>
        <v>1241000</v>
      </c>
      <c r="I443" s="74">
        <f>SUM(E443:H443)</f>
        <v>4760000</v>
      </c>
    </row>
    <row r="444" spans="1:25" ht="15" customHeight="1" x14ac:dyDescent="0.2">
      <c r="A444" s="868"/>
      <c r="B444" s="566"/>
      <c r="C444" s="65" t="s">
        <v>413</v>
      </c>
      <c r="D444" s="87">
        <f>1-Parameters!$B$33</f>
        <v>0.19999999999999996</v>
      </c>
      <c r="E444" s="72">
        <f>E443*$D444</f>
        <v>234599.99999999994</v>
      </c>
      <c r="F444" s="66">
        <f>F443*$D444</f>
        <v>234599.99999999994</v>
      </c>
      <c r="G444" s="66">
        <f>G443*$D444</f>
        <v>234599.99999999994</v>
      </c>
      <c r="H444" s="86">
        <f>H443*$D444</f>
        <v>248199.99999999994</v>
      </c>
      <c r="I444" s="106">
        <f>SUM(E444:H444)</f>
        <v>951999.99999999977</v>
      </c>
      <c r="L444" s="60" t="s">
        <v>196</v>
      </c>
      <c r="M444" s="79">
        <f>P431+$D445</f>
        <v>40908</v>
      </c>
      <c r="N444" s="79">
        <f>Q431+$D445</f>
        <v>40999</v>
      </c>
      <c r="O444" s="79">
        <f>R431+$D445</f>
        <v>41090</v>
      </c>
      <c r="P444" s="79">
        <f>S431+$D445</f>
        <v>41182</v>
      </c>
      <c r="X444" s="69" t="s">
        <v>366</v>
      </c>
    </row>
    <row r="445" spans="1:25" ht="15" customHeight="1" x14ac:dyDescent="0.2">
      <c r="A445" s="868"/>
      <c r="B445" s="566"/>
      <c r="C445" s="5" t="s">
        <v>332</v>
      </c>
      <c r="D445" s="73">
        <f>Parameters!$B$36</f>
        <v>0</v>
      </c>
      <c r="E445" s="72">
        <f>SUM(L445:P445)+T412</f>
        <v>234599.99999999994</v>
      </c>
      <c r="F445" s="66">
        <f>Q445+U412</f>
        <v>234599.99999999994</v>
      </c>
      <c r="G445" s="66">
        <f>R445+V412</f>
        <v>234599.99999999994</v>
      </c>
      <c r="H445" s="66">
        <f>S445+W412</f>
        <v>248199.99999999994</v>
      </c>
      <c r="I445" s="74">
        <f>SUM(E445:H445)</f>
        <v>951999.99999999977</v>
      </c>
      <c r="L445" s="68">
        <f>IF($M444&lt;=L430,$E444,IF($N444&lt;=L430,$F444,IF($O444&lt;=L430,$G444,IF($P444&lt;=L430,$H444,))))</f>
        <v>0</v>
      </c>
      <c r="M445" s="68">
        <f t="shared" ref="M445:W445" si="177">IF(AND($M444&gt;L430,$M444&lt;=M430),$E444,IF(AND($N444&gt;L430,$N444&lt;=M430),$F444,IF(AND($O444&gt;L430,$O444&lt;=M430),$G444,IF(AND($P444&gt;L430,$P444&lt;=M430),$H444,))))</f>
        <v>0</v>
      </c>
      <c r="N445" s="68">
        <f t="shared" si="177"/>
        <v>0</v>
      </c>
      <c r="O445" s="68">
        <f t="shared" si="177"/>
        <v>0</v>
      </c>
      <c r="P445" s="68">
        <f t="shared" si="177"/>
        <v>234599.99999999994</v>
      </c>
      <c r="Q445" s="68">
        <f t="shared" si="177"/>
        <v>234599.99999999994</v>
      </c>
      <c r="R445" s="68">
        <f t="shared" si="177"/>
        <v>234599.99999999994</v>
      </c>
      <c r="S445" s="68">
        <f t="shared" si="177"/>
        <v>248199.99999999994</v>
      </c>
      <c r="T445" s="68">
        <f t="shared" si="177"/>
        <v>0</v>
      </c>
      <c r="U445" s="68">
        <f t="shared" si="177"/>
        <v>0</v>
      </c>
      <c r="V445" s="68">
        <f t="shared" si="177"/>
        <v>0</v>
      </c>
      <c r="W445" s="68">
        <f t="shared" si="177"/>
        <v>0</v>
      </c>
      <c r="X445" s="68">
        <f>SUM(L445:W445)</f>
        <v>951999.99999999977</v>
      </c>
    </row>
    <row r="446" spans="1:25" ht="15" customHeight="1" x14ac:dyDescent="0.2">
      <c r="A446" s="868"/>
      <c r="B446" s="566"/>
      <c r="C446" s="65" t="s">
        <v>194</v>
      </c>
      <c r="D446" s="87">
        <f>Parameters!$B$33</f>
        <v>0.8</v>
      </c>
      <c r="E446" s="72">
        <f>E443*$D446</f>
        <v>938400</v>
      </c>
      <c r="F446" s="72">
        <f>F443*$D446</f>
        <v>938400</v>
      </c>
      <c r="G446" s="72">
        <f>G443*$D446</f>
        <v>938400</v>
      </c>
      <c r="H446" s="72">
        <f>H443*$D446</f>
        <v>992800</v>
      </c>
      <c r="I446" s="74">
        <f>SUM(E446:H446)</f>
        <v>3808000</v>
      </c>
      <c r="L446" s="91"/>
      <c r="M446" s="91"/>
      <c r="N446" s="91"/>
      <c r="O446" s="91"/>
      <c r="P446" s="91"/>
      <c r="Q446" s="91"/>
      <c r="R446" s="91"/>
      <c r="S446" s="91"/>
      <c r="T446" s="91"/>
      <c r="U446" s="91"/>
      <c r="V446" s="91"/>
      <c r="W446" s="91"/>
      <c r="X446" s="91"/>
    </row>
    <row r="447" spans="1:25" ht="15" customHeight="1" x14ac:dyDescent="0.2">
      <c r="A447" s="868"/>
      <c r="B447" s="566"/>
      <c r="C447" s="874" t="s">
        <v>331</v>
      </c>
      <c r="D447" s="875"/>
      <c r="E447" s="81">
        <f>E446</f>
        <v>938400</v>
      </c>
      <c r="F447" s="81">
        <f>E447+F446</f>
        <v>1876800</v>
      </c>
      <c r="G447" s="81">
        <f>F447+G446</f>
        <v>2815200</v>
      </c>
      <c r="H447" s="81">
        <f>G447+H446</f>
        <v>3808000</v>
      </c>
      <c r="I447" s="78">
        <f>H447</f>
        <v>3808000</v>
      </c>
      <c r="L447" s="91"/>
      <c r="M447" s="91"/>
      <c r="N447" s="91"/>
      <c r="O447" s="91"/>
      <c r="P447" s="91"/>
      <c r="Q447" s="91"/>
      <c r="R447" s="91"/>
      <c r="S447" s="91"/>
      <c r="T447" s="91"/>
      <c r="U447" s="91"/>
      <c r="V447" s="91"/>
      <c r="W447" s="91"/>
      <c r="X447" s="91"/>
    </row>
    <row r="448" spans="1:25" ht="15" customHeight="1" x14ac:dyDescent="0.2">
      <c r="A448" s="868"/>
      <c r="B448" s="566"/>
      <c r="C448" s="876" t="s">
        <v>390</v>
      </c>
      <c r="D448" s="877"/>
      <c r="E448" s="107">
        <f>L459+P426+T393+X360+AB327</f>
        <v>1193434.7113026374</v>
      </c>
      <c r="F448" s="107">
        <f>M459+Q426+U393+Y360+AC327</f>
        <v>1200074.2248462108</v>
      </c>
      <c r="G448" s="107">
        <f>N459+R426+V393+Z360+AD327</f>
        <v>1199574.4765149737</v>
      </c>
      <c r="H448" s="107">
        <f>O459+S426+W393+AA360+AE327</f>
        <v>1191507.1105964382</v>
      </c>
      <c r="I448" s="74">
        <f>SUM(E448:H448)</f>
        <v>4784590.52326026</v>
      </c>
      <c r="L448" s="60" t="s">
        <v>196</v>
      </c>
      <c r="M448" s="79">
        <f>P431+$D449</f>
        <v>40938</v>
      </c>
      <c r="N448" s="79">
        <f>Q431+$D449</f>
        <v>41029</v>
      </c>
      <c r="O448" s="79">
        <f>R431+$D449</f>
        <v>41120</v>
      </c>
      <c r="P448" s="79">
        <f>S431+$D449</f>
        <v>41212</v>
      </c>
      <c r="X448" s="69" t="s">
        <v>366</v>
      </c>
    </row>
    <row r="449" spans="1:39" ht="15" customHeight="1" x14ac:dyDescent="0.2">
      <c r="A449" s="868"/>
      <c r="B449" s="566"/>
      <c r="C449" s="75" t="s">
        <v>332</v>
      </c>
      <c r="D449" s="76">
        <f>Parameters!$B$37</f>
        <v>30</v>
      </c>
      <c r="E449" s="112">
        <f>SUM(L449:P449)</f>
        <v>1193434.7113026374</v>
      </c>
      <c r="F449" s="71">
        <f>Q449</f>
        <v>1200074.2248462108</v>
      </c>
      <c r="G449" s="71">
        <f>R449</f>
        <v>1199574.4765149737</v>
      </c>
      <c r="H449" s="71">
        <f>S449</f>
        <v>1191507.1105964382</v>
      </c>
      <c r="I449" s="77">
        <f>SUM(E449:H449)</f>
        <v>4784590.52326026</v>
      </c>
      <c r="L449" s="68">
        <f>IF($M448&lt;=L430,$E448,IF($N448&lt;=L430,$F448,IF($O448&lt;=L430,$G448,IF($P448&lt;=L430,$H448,))))</f>
        <v>0</v>
      </c>
      <c r="M449" s="68">
        <f t="shared" ref="M449:W449" si="178">IF(AND($M448&gt;L430,$M448&lt;=M430),$E448,IF(AND($N448&gt;L430,$N448&lt;=M430),$F448,IF(AND($O448&gt;L430,$O448&lt;=M430),$G448,IF(AND($P448&gt;L430,$P448&lt;=M430),$H448,))))</f>
        <v>0</v>
      </c>
      <c r="N449" s="68">
        <f t="shared" si="178"/>
        <v>0</v>
      </c>
      <c r="O449" s="68">
        <f t="shared" si="178"/>
        <v>0</v>
      </c>
      <c r="P449" s="68">
        <f t="shared" si="178"/>
        <v>1193434.7113026374</v>
      </c>
      <c r="Q449" s="68">
        <f t="shared" si="178"/>
        <v>1200074.2248462108</v>
      </c>
      <c r="R449" s="68">
        <f t="shared" si="178"/>
        <v>1199574.4765149737</v>
      </c>
      <c r="S449" s="68">
        <f t="shared" si="178"/>
        <v>1191507.1105964382</v>
      </c>
      <c r="T449" s="68">
        <f t="shared" si="178"/>
        <v>0</v>
      </c>
      <c r="U449" s="68">
        <f t="shared" si="178"/>
        <v>0</v>
      </c>
      <c r="V449" s="68">
        <f t="shared" si="178"/>
        <v>0</v>
      </c>
      <c r="W449" s="68">
        <f t="shared" si="178"/>
        <v>0</v>
      </c>
      <c r="X449" s="68">
        <f>SUM(L449:W449)</f>
        <v>4784590.52326026</v>
      </c>
    </row>
    <row r="450" spans="1:39" ht="15" customHeight="1" x14ac:dyDescent="0.2">
      <c r="A450" s="868"/>
      <c r="B450" s="860" t="s">
        <v>410</v>
      </c>
      <c r="C450" s="860"/>
      <c r="D450" s="860"/>
      <c r="E450" s="860"/>
      <c r="F450" s="860"/>
      <c r="G450" s="860"/>
      <c r="H450" s="860"/>
      <c r="I450" s="861"/>
      <c r="L450" s="67">
        <f t="shared" ref="L450:AM450" si="179">P430</f>
        <v>40998</v>
      </c>
      <c r="M450" s="67">
        <f t="shared" si="179"/>
        <v>41089</v>
      </c>
      <c r="N450" s="67">
        <f t="shared" si="179"/>
        <v>41181</v>
      </c>
      <c r="O450" s="67">
        <f t="shared" si="179"/>
        <v>41273</v>
      </c>
      <c r="P450" s="67">
        <f t="shared" si="179"/>
        <v>41363</v>
      </c>
      <c r="Q450" s="67">
        <f t="shared" si="179"/>
        <v>41454</v>
      </c>
      <c r="R450" s="67">
        <f t="shared" si="179"/>
        <v>41546</v>
      </c>
      <c r="S450" s="67">
        <f t="shared" si="179"/>
        <v>41638</v>
      </c>
      <c r="T450" s="67">
        <f t="shared" si="179"/>
        <v>41728</v>
      </c>
      <c r="U450" s="67">
        <f t="shared" si="179"/>
        <v>41819</v>
      </c>
      <c r="V450" s="67">
        <f t="shared" si="179"/>
        <v>41911</v>
      </c>
      <c r="W450" s="67">
        <f t="shared" si="179"/>
        <v>42003</v>
      </c>
      <c r="X450" s="67">
        <f t="shared" si="179"/>
        <v>42093</v>
      </c>
      <c r="Y450" s="67">
        <f t="shared" si="179"/>
        <v>42184</v>
      </c>
      <c r="Z450" s="67">
        <f t="shared" si="179"/>
        <v>42276</v>
      </c>
      <c r="AA450" s="67">
        <f t="shared" si="179"/>
        <v>42368</v>
      </c>
      <c r="AB450" s="67">
        <f t="shared" si="179"/>
        <v>42459</v>
      </c>
      <c r="AC450" s="67">
        <f t="shared" si="179"/>
        <v>42550</v>
      </c>
      <c r="AD450" s="67">
        <f t="shared" si="179"/>
        <v>42642</v>
      </c>
      <c r="AE450" s="67">
        <f t="shared" si="179"/>
        <v>42734</v>
      </c>
      <c r="AF450" s="67">
        <f t="shared" si="179"/>
        <v>42824</v>
      </c>
      <c r="AG450" s="67">
        <f t="shared" si="179"/>
        <v>42915</v>
      </c>
      <c r="AH450" s="67">
        <f t="shared" si="179"/>
        <v>43007</v>
      </c>
      <c r="AI450" s="67">
        <f t="shared" si="179"/>
        <v>43099</v>
      </c>
      <c r="AJ450" s="67">
        <f t="shared" si="179"/>
        <v>0</v>
      </c>
      <c r="AK450" s="67">
        <f t="shared" si="179"/>
        <v>0</v>
      </c>
      <c r="AL450" s="67">
        <f t="shared" si="179"/>
        <v>0</v>
      </c>
      <c r="AM450" s="67">
        <f t="shared" si="179"/>
        <v>0</v>
      </c>
    </row>
    <row r="451" spans="1:39" ht="15" customHeight="1" x14ac:dyDescent="0.2">
      <c r="A451" s="868"/>
      <c r="B451" s="860"/>
      <c r="C451" s="860"/>
      <c r="D451" s="860"/>
      <c r="E451" s="860"/>
      <c r="F451" s="860"/>
      <c r="G451" s="860"/>
      <c r="H451" s="860"/>
      <c r="I451" s="861"/>
      <c r="K451" s="110">
        <f>(-PMT(Parameters!$B$31/12,Parameters!$B$32,$E446))*Parameters!$B$32</f>
        <v>1004922.5014982751</v>
      </c>
      <c r="L451" s="108">
        <f>(-PMT(Parameters!$B$31/12,Parameters!$B$32,$E446))*Parameters!$K$32</f>
        <v>41871.77089576146</v>
      </c>
      <c r="M451" s="108">
        <f>MIN(((-PMT(Parameters!$B$31/12,Parameters!$B$32,$E446))*3),L452)</f>
        <v>83743.541791522919</v>
      </c>
      <c r="N451" s="108">
        <f>MIN(((-PMT(Parameters!$B$31/12,Parameters!$B$32,$E446))*3),M452)</f>
        <v>83743.541791522919</v>
      </c>
      <c r="O451" s="108">
        <f>MIN(((-PMT(Parameters!$B$31/12,Parameters!$B$32,$E446))*3),N452)</f>
        <v>83743.541791522919</v>
      </c>
      <c r="P451" s="108">
        <f>MIN(((-PMT(Parameters!$B$31/12,Parameters!$B$32,$E446))*3),O452)</f>
        <v>83743.541791522919</v>
      </c>
      <c r="Q451" s="108">
        <f>MIN(((-PMT(Parameters!$B$31/12,Parameters!$B$32,$E446))*3),P452)</f>
        <v>83743.541791522919</v>
      </c>
      <c r="R451" s="108">
        <f>MIN(((-PMT(Parameters!$B$31/12,Parameters!$B$32,$E446))*3),Q452)</f>
        <v>83743.541791522919</v>
      </c>
      <c r="S451" s="108">
        <f>MIN(((-PMT(Parameters!$B$31/12,Parameters!$B$32,$E446))*3),R452)</f>
        <v>83743.541791522919</v>
      </c>
      <c r="T451" s="108">
        <f>MIN(((-PMT(Parameters!$B$31/12,Parameters!$B$32,$E446))*3),S452)</f>
        <v>83743.541791522919</v>
      </c>
      <c r="U451" s="108">
        <f>MIN(((-PMT(Parameters!$B$31/12,Parameters!$B$32,$E446))*3),T452)</f>
        <v>83743.541791522919</v>
      </c>
      <c r="V451" s="108">
        <f>MIN(((-PMT(Parameters!$B$31/12,Parameters!$B$32,$E446))*3),U452)</f>
        <v>83743.541791522919</v>
      </c>
      <c r="W451" s="108">
        <f>MIN(((-PMT(Parameters!$B$31/12,Parameters!$B$32,$E446))*3),V452)</f>
        <v>83743.541791522919</v>
      </c>
      <c r="X451" s="108">
        <f>MIN(((-PMT(Parameters!$B$31/12,Parameters!$B$32,$E446))*3),W452)</f>
        <v>41871.7708957617</v>
      </c>
      <c r="Y451" s="108">
        <f>MIN(((-PMT(Parameters!$B$31/12,Parameters!$B$32,$E446))*3),X452)</f>
        <v>0</v>
      </c>
      <c r="Z451" s="108">
        <f>MIN(((-PMT(Parameters!$B$31/12,Parameters!$B$32,$E446))*3),Y452)</f>
        <v>0</v>
      </c>
      <c r="AA451" s="108">
        <f>MIN(((-PMT(Parameters!$B$31/12,Parameters!$B$32,$E446))*3),Z452)</f>
        <v>0</v>
      </c>
      <c r="AB451" s="108">
        <f>MIN(((-PMT(Parameters!$B$31/12,Parameters!$B$32,$E446))*3),AA452)</f>
        <v>0</v>
      </c>
      <c r="AC451" s="108">
        <f>MIN(((-PMT(Parameters!$B$31/12,Parameters!$B$32,$E446))*3),AB452)</f>
        <v>0</v>
      </c>
      <c r="AD451" s="108">
        <f>MIN(((-PMT(Parameters!$B$31/12,Parameters!$B$32,$E446))*3),AC452)</f>
        <v>0</v>
      </c>
      <c r="AE451" s="108">
        <f>MIN(((-PMT(Parameters!$B$31/12,Parameters!$B$32,$E446))*3),AD452)</f>
        <v>0</v>
      </c>
      <c r="AF451" s="108">
        <f>MIN(((-PMT(Parameters!$B$31/12,Parameters!$B$32,$E446))*3),AE452)</f>
        <v>0</v>
      </c>
      <c r="AG451" s="108">
        <f>MIN(((-PMT(Parameters!$B$31/12,Parameters!$B$32,$E446))*3),AF452)</f>
        <v>0</v>
      </c>
      <c r="AH451" s="108">
        <f>MIN(((-PMT(Parameters!$B$31/12,Parameters!$B$32,$E446))*3),AG452)</f>
        <v>0</v>
      </c>
      <c r="AI451" s="108">
        <f>MIN(((-PMT(Parameters!$B$31/12,Parameters!$B$32,$E446))*3),AH452)</f>
        <v>0</v>
      </c>
      <c r="AJ451" s="108">
        <f>MIN(((-PMT(Parameters!$B$31/12,Parameters!$B$32,$E446))*3),AI452)</f>
        <v>0</v>
      </c>
      <c r="AK451" s="108">
        <f>MIN(((-PMT(Parameters!$B$31/12,Parameters!$B$32,$E446))*3),AJ452)</f>
        <v>0</v>
      </c>
      <c r="AL451" s="108">
        <f>MIN(((-PMT(Parameters!$B$31/12,Parameters!$B$32,$E446))*3),AK452)</f>
        <v>0</v>
      </c>
      <c r="AM451" s="108">
        <f>MIN(((-PMT(Parameters!$B$31/12,Parameters!$B$32,$E446))*3),AL452)</f>
        <v>0</v>
      </c>
    </row>
    <row r="452" spans="1:39" ht="15" customHeight="1" x14ac:dyDescent="0.2">
      <c r="A452" s="868"/>
      <c r="B452" s="860"/>
      <c r="C452" s="860"/>
      <c r="D452" s="860"/>
      <c r="E452" s="860"/>
      <c r="F452" s="860"/>
      <c r="G452" s="860"/>
      <c r="H452" s="860"/>
      <c r="I452" s="861"/>
      <c r="L452" s="109">
        <f>K451-L451</f>
        <v>963050.73060251365</v>
      </c>
      <c r="M452" s="109">
        <f t="shared" ref="M452:AM452" si="180">L452-M451</f>
        <v>879307.18881099077</v>
      </c>
      <c r="N452" s="109">
        <f t="shared" si="180"/>
        <v>795563.6470194679</v>
      </c>
      <c r="O452" s="109">
        <f t="shared" si="180"/>
        <v>711820.10522794502</v>
      </c>
      <c r="P452" s="109">
        <f t="shared" si="180"/>
        <v>628076.56343642215</v>
      </c>
      <c r="Q452" s="109">
        <f t="shared" si="180"/>
        <v>544333.02164489927</v>
      </c>
      <c r="R452" s="109">
        <f t="shared" si="180"/>
        <v>460589.47985337634</v>
      </c>
      <c r="S452" s="109">
        <f t="shared" si="180"/>
        <v>376845.93806185341</v>
      </c>
      <c r="T452" s="109">
        <f t="shared" si="180"/>
        <v>293102.39627033047</v>
      </c>
      <c r="U452" s="109">
        <f t="shared" si="180"/>
        <v>209358.85447880754</v>
      </c>
      <c r="V452" s="109">
        <f t="shared" si="180"/>
        <v>125615.31268728462</v>
      </c>
      <c r="W452" s="109">
        <f t="shared" si="180"/>
        <v>41871.7708957617</v>
      </c>
      <c r="X452" s="109">
        <f t="shared" si="180"/>
        <v>0</v>
      </c>
      <c r="Y452" s="109">
        <f t="shared" si="180"/>
        <v>0</v>
      </c>
      <c r="Z452" s="109">
        <f t="shared" si="180"/>
        <v>0</v>
      </c>
      <c r="AA452" s="109">
        <f t="shared" si="180"/>
        <v>0</v>
      </c>
      <c r="AB452" s="109">
        <f t="shared" si="180"/>
        <v>0</v>
      </c>
      <c r="AC452" s="109">
        <f t="shared" si="180"/>
        <v>0</v>
      </c>
      <c r="AD452" s="109">
        <f t="shared" si="180"/>
        <v>0</v>
      </c>
      <c r="AE452" s="109">
        <f t="shared" si="180"/>
        <v>0</v>
      </c>
      <c r="AF452" s="109">
        <f t="shared" si="180"/>
        <v>0</v>
      </c>
      <c r="AG452" s="109">
        <f t="shared" si="180"/>
        <v>0</v>
      </c>
      <c r="AH452" s="109">
        <f t="shared" si="180"/>
        <v>0</v>
      </c>
      <c r="AI452" s="109">
        <f t="shared" si="180"/>
        <v>0</v>
      </c>
      <c r="AJ452" s="109">
        <f t="shared" si="180"/>
        <v>0</v>
      </c>
      <c r="AK452" s="109">
        <f t="shared" si="180"/>
        <v>0</v>
      </c>
      <c r="AL452" s="109">
        <f t="shared" si="180"/>
        <v>0</v>
      </c>
      <c r="AM452" s="109">
        <f t="shared" si="180"/>
        <v>0</v>
      </c>
    </row>
    <row r="453" spans="1:39" ht="15" customHeight="1" x14ac:dyDescent="0.2">
      <c r="A453" s="868"/>
      <c r="B453" s="860"/>
      <c r="C453" s="860"/>
      <c r="D453" s="860"/>
      <c r="E453" s="860"/>
      <c r="F453" s="860"/>
      <c r="G453" s="860"/>
      <c r="H453" s="860"/>
      <c r="I453" s="861"/>
      <c r="K453" s="110">
        <f>(-PMT(Parameters!$B$31/12,Parameters!$B$32,$F446))*Parameters!$B$32</f>
        <v>1004922.5014982751</v>
      </c>
      <c r="L453" s="111"/>
      <c r="M453" s="108">
        <f>(-PMT(Parameters!$B$31/12,Parameters!$B$32,$F446))*Parameters!$K$32</f>
        <v>41871.77089576146</v>
      </c>
      <c r="N453" s="108">
        <f>MIN(((-PMT(Parameters!$B$31/12,Parameters!$B$32,$F446))*3),M454)</f>
        <v>83743.541791522919</v>
      </c>
      <c r="O453" s="108">
        <f>MIN(((-PMT(Parameters!$B$31/12,Parameters!$B$32,$F446))*3),N454)</f>
        <v>83743.541791522919</v>
      </c>
      <c r="P453" s="108">
        <f>MIN(((-PMT(Parameters!$B$31/12,Parameters!$B$32,$F446))*3),O454)</f>
        <v>83743.541791522919</v>
      </c>
      <c r="Q453" s="108">
        <f>MIN(((-PMT(Parameters!$B$31/12,Parameters!$B$32,$F446))*3),P454)</f>
        <v>83743.541791522919</v>
      </c>
      <c r="R453" s="108">
        <f>MIN(((-PMT(Parameters!$B$31/12,Parameters!$B$32,$F446))*3),Q454)</f>
        <v>83743.541791522919</v>
      </c>
      <c r="S453" s="108">
        <f>MIN(((-PMT(Parameters!$B$31/12,Parameters!$B$32,$F446))*3),R454)</f>
        <v>83743.541791522919</v>
      </c>
      <c r="T453" s="108">
        <f>MIN(((-PMT(Parameters!$B$31/12,Parameters!$B$32,$F446))*3),S454)</f>
        <v>83743.541791522919</v>
      </c>
      <c r="U453" s="108">
        <f>MIN(((-PMT(Parameters!$B$31/12,Parameters!$B$32,$F446))*3),T454)</f>
        <v>83743.541791522919</v>
      </c>
      <c r="V453" s="108">
        <f>MIN(((-PMT(Parameters!$B$31/12,Parameters!$B$32,$F446))*3),U454)</f>
        <v>83743.541791522919</v>
      </c>
      <c r="W453" s="108">
        <f>MIN(((-PMT(Parameters!$B$31/12,Parameters!$B$32,$F446))*3),V454)</f>
        <v>83743.541791522919</v>
      </c>
      <c r="X453" s="108">
        <f>MIN(((-PMT(Parameters!$B$31/12,Parameters!$B$32,$F446))*3),W454)</f>
        <v>83743.541791522919</v>
      </c>
      <c r="Y453" s="108">
        <f>MIN(((-PMT(Parameters!$B$31/12,Parameters!$B$32,$F446))*3),X454)</f>
        <v>41871.7708957617</v>
      </c>
      <c r="Z453" s="108">
        <f>MIN(((-PMT(Parameters!$B$31/12,Parameters!$B$32,$F446))*3),Y454)</f>
        <v>0</v>
      </c>
      <c r="AA453" s="108">
        <f>MIN(((-PMT(Parameters!$B$31/12,Parameters!$B$32,$F446))*3),Z454)</f>
        <v>0</v>
      </c>
      <c r="AB453" s="108">
        <f>MIN(((-PMT(Parameters!$B$31/12,Parameters!$B$32,$F446))*3),AA454)</f>
        <v>0</v>
      </c>
      <c r="AC453" s="108">
        <f>MIN(((-PMT(Parameters!$B$31/12,Parameters!$B$32,$F446))*3),AB454)</f>
        <v>0</v>
      </c>
      <c r="AD453" s="108">
        <f>MIN(((-PMT(Parameters!$B$31/12,Parameters!$B$32,$F446))*3),AC454)</f>
        <v>0</v>
      </c>
      <c r="AE453" s="108">
        <f>MIN(((-PMT(Parameters!$B$31/12,Parameters!$B$32,$F446))*3),AD454)</f>
        <v>0</v>
      </c>
      <c r="AF453" s="108">
        <f>MIN(((-PMT(Parameters!$B$31/12,Parameters!$B$32,$F446))*3),AE454)</f>
        <v>0</v>
      </c>
      <c r="AG453" s="108">
        <f>MIN(((-PMT(Parameters!$B$31/12,Parameters!$B$32,$F446))*3),AF454)</f>
        <v>0</v>
      </c>
      <c r="AH453" s="108">
        <f>MIN(((-PMT(Parameters!$B$31/12,Parameters!$B$32,$F446))*3),AG454)</f>
        <v>0</v>
      </c>
      <c r="AI453" s="108">
        <f>MIN(((-PMT(Parameters!$B$31/12,Parameters!$B$32,$F446))*3),AH454)</f>
        <v>0</v>
      </c>
      <c r="AJ453" s="108">
        <f>MIN(((-PMT(Parameters!$B$31/12,Parameters!$B$32,$F446))*3),AI454)</f>
        <v>0</v>
      </c>
      <c r="AK453" s="108">
        <f>MIN(((-PMT(Parameters!$B$31/12,Parameters!$B$32,$F446))*3),AJ454)</f>
        <v>0</v>
      </c>
      <c r="AL453" s="108">
        <f>MIN(((-PMT(Parameters!$B$31/12,Parameters!$B$32,$F446))*3),AK454)</f>
        <v>0</v>
      </c>
      <c r="AM453" s="108">
        <f>MIN(((-PMT(Parameters!$B$31/12,Parameters!$B$32,$F446))*3),AL454)</f>
        <v>0</v>
      </c>
    </row>
    <row r="454" spans="1:39" ht="15" customHeight="1" x14ac:dyDescent="0.2">
      <c r="A454" s="868"/>
      <c r="B454" s="860"/>
      <c r="C454" s="860"/>
      <c r="D454" s="860"/>
      <c r="E454" s="860"/>
      <c r="F454" s="860"/>
      <c r="G454" s="860"/>
      <c r="H454" s="860"/>
      <c r="I454" s="861"/>
      <c r="L454" s="109">
        <f>K453</f>
        <v>1004922.5014982751</v>
      </c>
      <c r="M454" s="109">
        <f t="shared" ref="M454:AM454" si="181">L454-M453</f>
        <v>963050.73060251365</v>
      </c>
      <c r="N454" s="109">
        <f t="shared" si="181"/>
        <v>879307.18881099077</v>
      </c>
      <c r="O454" s="109">
        <f t="shared" si="181"/>
        <v>795563.6470194679</v>
      </c>
      <c r="P454" s="109">
        <f t="shared" si="181"/>
        <v>711820.10522794502</v>
      </c>
      <c r="Q454" s="109">
        <f t="shared" si="181"/>
        <v>628076.56343642215</v>
      </c>
      <c r="R454" s="109">
        <f t="shared" si="181"/>
        <v>544333.02164489927</v>
      </c>
      <c r="S454" s="109">
        <f t="shared" si="181"/>
        <v>460589.47985337634</v>
      </c>
      <c r="T454" s="109">
        <f t="shared" si="181"/>
        <v>376845.93806185341</v>
      </c>
      <c r="U454" s="109">
        <f t="shared" si="181"/>
        <v>293102.39627033047</v>
      </c>
      <c r="V454" s="109">
        <f t="shared" si="181"/>
        <v>209358.85447880754</v>
      </c>
      <c r="W454" s="109">
        <f t="shared" si="181"/>
        <v>125615.31268728462</v>
      </c>
      <c r="X454" s="109">
        <f t="shared" si="181"/>
        <v>41871.7708957617</v>
      </c>
      <c r="Y454" s="109">
        <f t="shared" si="181"/>
        <v>0</v>
      </c>
      <c r="Z454" s="109">
        <f t="shared" si="181"/>
        <v>0</v>
      </c>
      <c r="AA454" s="109">
        <f t="shared" si="181"/>
        <v>0</v>
      </c>
      <c r="AB454" s="109">
        <f t="shared" si="181"/>
        <v>0</v>
      </c>
      <c r="AC454" s="109">
        <f t="shared" si="181"/>
        <v>0</v>
      </c>
      <c r="AD454" s="109">
        <f t="shared" si="181"/>
        <v>0</v>
      </c>
      <c r="AE454" s="109">
        <f t="shared" si="181"/>
        <v>0</v>
      </c>
      <c r="AF454" s="109">
        <f t="shared" si="181"/>
        <v>0</v>
      </c>
      <c r="AG454" s="109">
        <f t="shared" si="181"/>
        <v>0</v>
      </c>
      <c r="AH454" s="109">
        <f t="shared" si="181"/>
        <v>0</v>
      </c>
      <c r="AI454" s="109">
        <f t="shared" si="181"/>
        <v>0</v>
      </c>
      <c r="AJ454" s="109">
        <f t="shared" si="181"/>
        <v>0</v>
      </c>
      <c r="AK454" s="109">
        <f t="shared" si="181"/>
        <v>0</v>
      </c>
      <c r="AL454" s="109">
        <f t="shared" si="181"/>
        <v>0</v>
      </c>
      <c r="AM454" s="109">
        <f t="shared" si="181"/>
        <v>0</v>
      </c>
    </row>
    <row r="455" spans="1:39" ht="15" customHeight="1" x14ac:dyDescent="0.2">
      <c r="A455" s="868"/>
      <c r="B455" s="860"/>
      <c r="C455" s="860"/>
      <c r="D455" s="860"/>
      <c r="E455" s="860"/>
      <c r="F455" s="860"/>
      <c r="G455" s="860"/>
      <c r="H455" s="860"/>
      <c r="I455" s="861"/>
      <c r="K455" s="110">
        <f>(-PMT(Parameters!$B$31/12,Parameters!$B$32,$G446))*Parameters!$B$32</f>
        <v>1004922.5014982751</v>
      </c>
      <c r="L455" s="111"/>
      <c r="M455" s="111"/>
      <c r="N455" s="108">
        <f>(-PMT(Parameters!$B$31/12,Parameters!$B$32,$G446))*Parameters!$K$32</f>
        <v>41871.77089576146</v>
      </c>
      <c r="O455" s="108">
        <f>MIN(((-PMT(Parameters!$B$31/12,Parameters!$B$32,$G446))*3),N456)</f>
        <v>83743.541791522919</v>
      </c>
      <c r="P455" s="108">
        <f>MIN(((-PMT(Parameters!$B$31/12,Parameters!$B$32,$G446))*3),O456)</f>
        <v>83743.541791522919</v>
      </c>
      <c r="Q455" s="108">
        <f>MIN(((-PMT(Parameters!$B$31/12,Parameters!$B$32,$G446))*3),P456)</f>
        <v>83743.541791522919</v>
      </c>
      <c r="R455" s="108">
        <f>MIN(((-PMT(Parameters!$B$31/12,Parameters!$B$32,$G446))*3),Q456)</f>
        <v>83743.541791522919</v>
      </c>
      <c r="S455" s="108">
        <f>MIN(((-PMT(Parameters!$B$31/12,Parameters!$B$32,$G446))*3),R456)</f>
        <v>83743.541791522919</v>
      </c>
      <c r="T455" s="108">
        <f>MIN(((-PMT(Parameters!$B$31/12,Parameters!$B$32,$G446))*3),S456)</f>
        <v>83743.541791522919</v>
      </c>
      <c r="U455" s="108">
        <f>MIN(((-PMT(Parameters!$B$31/12,Parameters!$B$32,$G446))*3),T456)</f>
        <v>83743.541791522919</v>
      </c>
      <c r="V455" s="108">
        <f>MIN(((-PMT(Parameters!$B$31/12,Parameters!$B$32,$G446))*3),U456)</f>
        <v>83743.541791522919</v>
      </c>
      <c r="W455" s="108">
        <f>MIN(((-PMT(Parameters!$B$31/12,Parameters!$B$32,$G446))*3),V456)</f>
        <v>83743.541791522919</v>
      </c>
      <c r="X455" s="108">
        <f>MIN(((-PMT(Parameters!$B$31/12,Parameters!$B$32,$G446))*3),W456)</f>
        <v>83743.541791522919</v>
      </c>
      <c r="Y455" s="108">
        <f>MIN(((-PMT(Parameters!$B$31/12,Parameters!$B$32,$G446))*3),X456)</f>
        <v>83743.541791522919</v>
      </c>
      <c r="Z455" s="108">
        <f>MIN(((-PMT(Parameters!$B$31/12,Parameters!$B$32,$G446))*3),Y456)</f>
        <v>41871.7708957617</v>
      </c>
      <c r="AA455" s="108">
        <f>MIN(((-PMT(Parameters!$B$31/12,Parameters!$B$32,$G446))*3),Z456)</f>
        <v>0</v>
      </c>
      <c r="AB455" s="108">
        <f>MIN(((-PMT(Parameters!$B$31/12,Parameters!$B$32,$G446))*3),AA456)</f>
        <v>0</v>
      </c>
      <c r="AC455" s="108">
        <f>MIN(((-PMT(Parameters!$B$31/12,Parameters!$B$32,$G446))*3),AB456)</f>
        <v>0</v>
      </c>
      <c r="AD455" s="108">
        <f>MIN(((-PMT(Parameters!$B$31/12,Parameters!$B$32,$G446))*3),AC456)</f>
        <v>0</v>
      </c>
      <c r="AE455" s="108">
        <f>MIN(((-PMT(Parameters!$B$31/12,Parameters!$B$32,$G446))*3),AD456)</f>
        <v>0</v>
      </c>
      <c r="AF455" s="108">
        <f>MIN(((-PMT(Parameters!$B$31/12,Parameters!$B$32,$G446))*3),AE456)</f>
        <v>0</v>
      </c>
      <c r="AG455" s="108">
        <f>MIN(((-PMT(Parameters!$B$31/12,Parameters!$B$32,$G446))*3),AF456)</f>
        <v>0</v>
      </c>
      <c r="AH455" s="108">
        <f>MIN(((-PMT(Parameters!$B$31/12,Parameters!$B$32,$G446))*3),AG456)</f>
        <v>0</v>
      </c>
      <c r="AI455" s="108">
        <f>MIN(((-PMT(Parameters!$B$31/12,Parameters!$B$32,$G446))*3),AH456)</f>
        <v>0</v>
      </c>
      <c r="AJ455" s="108">
        <f>MIN(((-PMT(Parameters!$B$31/12,Parameters!$B$32,$G446))*3),AI456)</f>
        <v>0</v>
      </c>
      <c r="AK455" s="108">
        <f>MIN(((-PMT(Parameters!$B$31/12,Parameters!$B$32,$G446))*3),AJ456)</f>
        <v>0</v>
      </c>
      <c r="AL455" s="108">
        <f>MIN(((-PMT(Parameters!$B$31/12,Parameters!$B$32,$G446))*3),AK456)</f>
        <v>0</v>
      </c>
      <c r="AM455" s="108">
        <f>MIN(((-PMT(Parameters!$B$31/12,Parameters!$B$32,$G446))*3),AL456)</f>
        <v>0</v>
      </c>
    </row>
    <row r="456" spans="1:39" ht="15" customHeight="1" x14ac:dyDescent="0.2">
      <c r="A456" s="868"/>
      <c r="B456" s="860"/>
      <c r="C456" s="860"/>
      <c r="D456" s="860"/>
      <c r="E456" s="860"/>
      <c r="F456" s="860"/>
      <c r="G456" s="860"/>
      <c r="H456" s="860"/>
      <c r="I456" s="861"/>
      <c r="L456" s="109">
        <f>K455</f>
        <v>1004922.5014982751</v>
      </c>
      <c r="M456" s="109">
        <f>L456</f>
        <v>1004922.5014982751</v>
      </c>
      <c r="N456" s="109">
        <f t="shared" ref="N456:AM456" si="182">M456-N455</f>
        <v>963050.73060251365</v>
      </c>
      <c r="O456" s="109">
        <f t="shared" si="182"/>
        <v>879307.18881099077</v>
      </c>
      <c r="P456" s="109">
        <f t="shared" si="182"/>
        <v>795563.6470194679</v>
      </c>
      <c r="Q456" s="109">
        <f t="shared" si="182"/>
        <v>711820.10522794502</v>
      </c>
      <c r="R456" s="109">
        <f t="shared" si="182"/>
        <v>628076.56343642215</v>
      </c>
      <c r="S456" s="109">
        <f t="shared" si="182"/>
        <v>544333.02164489927</v>
      </c>
      <c r="T456" s="109">
        <f t="shared" si="182"/>
        <v>460589.47985337634</v>
      </c>
      <c r="U456" s="109">
        <f t="shared" si="182"/>
        <v>376845.93806185341</v>
      </c>
      <c r="V456" s="109">
        <f t="shared" si="182"/>
        <v>293102.39627033047</v>
      </c>
      <c r="W456" s="109">
        <f t="shared" si="182"/>
        <v>209358.85447880754</v>
      </c>
      <c r="X456" s="109">
        <f t="shared" si="182"/>
        <v>125615.31268728462</v>
      </c>
      <c r="Y456" s="109">
        <f t="shared" si="182"/>
        <v>41871.7708957617</v>
      </c>
      <c r="Z456" s="109">
        <f t="shared" si="182"/>
        <v>0</v>
      </c>
      <c r="AA456" s="109">
        <f t="shared" si="182"/>
        <v>0</v>
      </c>
      <c r="AB456" s="109">
        <f t="shared" si="182"/>
        <v>0</v>
      </c>
      <c r="AC456" s="109">
        <f t="shared" si="182"/>
        <v>0</v>
      </c>
      <c r="AD456" s="109">
        <f t="shared" si="182"/>
        <v>0</v>
      </c>
      <c r="AE456" s="109">
        <f t="shared" si="182"/>
        <v>0</v>
      </c>
      <c r="AF456" s="109">
        <f t="shared" si="182"/>
        <v>0</v>
      </c>
      <c r="AG456" s="109">
        <f t="shared" si="182"/>
        <v>0</v>
      </c>
      <c r="AH456" s="109">
        <f t="shared" si="182"/>
        <v>0</v>
      </c>
      <c r="AI456" s="109">
        <f t="shared" si="182"/>
        <v>0</v>
      </c>
      <c r="AJ456" s="109">
        <f t="shared" si="182"/>
        <v>0</v>
      </c>
      <c r="AK456" s="109">
        <f t="shared" si="182"/>
        <v>0</v>
      </c>
      <c r="AL456" s="109">
        <f t="shared" si="182"/>
        <v>0</v>
      </c>
      <c r="AM456" s="109">
        <f t="shared" si="182"/>
        <v>0</v>
      </c>
    </row>
    <row r="457" spans="1:39" ht="15" customHeight="1" x14ac:dyDescent="0.2">
      <c r="A457" s="868"/>
      <c r="B457" s="860"/>
      <c r="C457" s="860"/>
      <c r="D457" s="860"/>
      <c r="E457" s="860"/>
      <c r="F457" s="860"/>
      <c r="G457" s="860"/>
      <c r="H457" s="860"/>
      <c r="I457" s="861"/>
      <c r="K457" s="110">
        <f>(-PMT(Parameters!$B$31/12,Parameters!$B$32,$H446))*Parameters!$B$32</f>
        <v>1063178.878396726</v>
      </c>
      <c r="L457" s="111"/>
      <c r="M457" s="111"/>
      <c r="N457" s="111"/>
      <c r="O457" s="108">
        <f>(-PMT(Parameters!$B$31/12,Parameters!$B$32,$H446))*Parameters!$K$32</f>
        <v>44299.119933196918</v>
      </c>
      <c r="P457" s="108">
        <f>MIN(((-PMT(Parameters!$B$31/12,Parameters!$B$32,$H446))*3),O458)</f>
        <v>88598.239866393837</v>
      </c>
      <c r="Q457" s="108">
        <f>MIN(((-PMT(Parameters!$B$31/12,Parameters!$B$32,$H446))*3),P458)</f>
        <v>88598.239866393837</v>
      </c>
      <c r="R457" s="108">
        <f>MIN(((-PMT(Parameters!$B$31/12,Parameters!$B$32,$H446))*3),Q458)</f>
        <v>88598.239866393837</v>
      </c>
      <c r="S457" s="108">
        <f>MIN(((-PMT(Parameters!$B$31/12,Parameters!$B$32,$H446))*3),R458)</f>
        <v>88598.239866393837</v>
      </c>
      <c r="T457" s="108">
        <f>MIN(((-PMT(Parameters!$B$31/12,Parameters!$B$32,$H446))*3),S458)</f>
        <v>88598.239866393837</v>
      </c>
      <c r="U457" s="108">
        <f>MIN(((-PMT(Parameters!$B$31/12,Parameters!$B$32,$H446))*3),T458)</f>
        <v>88598.239866393837</v>
      </c>
      <c r="V457" s="108">
        <f>MIN(((-PMT(Parameters!$B$31/12,Parameters!$B$32,$H446))*3),U458)</f>
        <v>88598.239866393837</v>
      </c>
      <c r="W457" s="108">
        <f>MIN(((-PMT(Parameters!$B$31/12,Parameters!$B$32,$H446))*3),V458)</f>
        <v>88598.239866393837</v>
      </c>
      <c r="X457" s="108">
        <f>MIN(((-PMT(Parameters!$B$31/12,Parameters!$B$32,$H446))*3),W458)</f>
        <v>88598.239866393837</v>
      </c>
      <c r="Y457" s="108">
        <f>MIN(((-PMT(Parameters!$B$31/12,Parameters!$B$32,$H446))*3),X458)</f>
        <v>88598.239866393837</v>
      </c>
      <c r="Z457" s="108">
        <f>MIN(((-PMT(Parameters!$B$31/12,Parameters!$B$32,$H446))*3),Y458)</f>
        <v>88598.239866393837</v>
      </c>
      <c r="AA457" s="108">
        <f>MIN(((-PMT(Parameters!$B$31/12,Parameters!$B$32,$H446))*3),Z458)</f>
        <v>44299.119933196707</v>
      </c>
      <c r="AB457" s="108">
        <f>MIN(((-PMT(Parameters!$B$31/12,Parameters!$B$32,$H446))*3),AA458)</f>
        <v>0</v>
      </c>
      <c r="AC457" s="108">
        <f>MIN(((-PMT(Parameters!$B$31/12,Parameters!$B$32,$H446))*3),AB458)</f>
        <v>0</v>
      </c>
      <c r="AD457" s="108">
        <f>MIN(((-PMT(Parameters!$B$31/12,Parameters!$B$32,$H446))*3),AC458)</f>
        <v>0</v>
      </c>
      <c r="AE457" s="108">
        <f>MIN(((-PMT(Parameters!$B$31/12,Parameters!$B$32,$H446))*3),AD458)</f>
        <v>0</v>
      </c>
      <c r="AF457" s="108">
        <f>MIN(((-PMT(Parameters!$B$31/12,Parameters!$B$32,$H446))*3),AE458)</f>
        <v>0</v>
      </c>
      <c r="AG457" s="108">
        <f>MIN(((-PMT(Parameters!$B$31/12,Parameters!$B$32,$H446))*3),AF458)</f>
        <v>0</v>
      </c>
      <c r="AH457" s="108">
        <f>MIN(((-PMT(Parameters!$B$31/12,Parameters!$B$32,$H446))*3),AG458)</f>
        <v>0</v>
      </c>
      <c r="AI457" s="108">
        <f>MIN(((-PMT(Parameters!$B$31/12,Parameters!$B$32,$H446))*3),AH458)</f>
        <v>0</v>
      </c>
      <c r="AJ457" s="108">
        <f>MIN(((-PMT(Parameters!$B$31/12,Parameters!$B$32,$H446))*3),AI458)</f>
        <v>0</v>
      </c>
      <c r="AK457" s="108">
        <f>MIN(((-PMT(Parameters!$B$31/12,Parameters!$B$32,$H446))*3),AJ458)</f>
        <v>0</v>
      </c>
      <c r="AL457" s="108">
        <f>MIN(((-PMT(Parameters!$B$31/12,Parameters!$B$32,$H446))*3),AK458)</f>
        <v>0</v>
      </c>
      <c r="AM457" s="108">
        <f>MIN(((-PMT(Parameters!$B$31/12,Parameters!$B$32,$H446))*3),AL458)</f>
        <v>0</v>
      </c>
    </row>
    <row r="458" spans="1:39" ht="15" customHeight="1" x14ac:dyDescent="0.2">
      <c r="A458" s="868"/>
      <c r="B458" s="860"/>
      <c r="C458" s="860"/>
      <c r="D458" s="860"/>
      <c r="E458" s="860"/>
      <c r="F458" s="860"/>
      <c r="G458" s="860"/>
      <c r="H458" s="860"/>
      <c r="I458" s="861"/>
      <c r="L458" s="109">
        <f>K457</f>
        <v>1063178.878396726</v>
      </c>
      <c r="M458" s="109">
        <f>L458</f>
        <v>1063178.878396726</v>
      </c>
      <c r="N458" s="109">
        <f t="shared" ref="N458:AM458" si="183">M458-N457</f>
        <v>1063178.878396726</v>
      </c>
      <c r="O458" s="109">
        <f t="shared" si="183"/>
        <v>1018879.7584635291</v>
      </c>
      <c r="P458" s="109">
        <f t="shared" si="183"/>
        <v>930281.5185971352</v>
      </c>
      <c r="Q458" s="109">
        <f t="shared" si="183"/>
        <v>841683.27873074135</v>
      </c>
      <c r="R458" s="109">
        <f t="shared" si="183"/>
        <v>753085.0388643475</v>
      </c>
      <c r="S458" s="109">
        <f t="shared" si="183"/>
        <v>664486.79899795365</v>
      </c>
      <c r="T458" s="109">
        <f t="shared" si="183"/>
        <v>575888.5591315598</v>
      </c>
      <c r="U458" s="109">
        <f t="shared" si="183"/>
        <v>487290.31926516595</v>
      </c>
      <c r="V458" s="109">
        <f t="shared" si="183"/>
        <v>398692.0793987721</v>
      </c>
      <c r="W458" s="109">
        <f t="shared" si="183"/>
        <v>310093.83953237825</v>
      </c>
      <c r="X458" s="109">
        <f t="shared" si="183"/>
        <v>221495.59966598439</v>
      </c>
      <c r="Y458" s="109">
        <f t="shared" si="183"/>
        <v>132897.35979959054</v>
      </c>
      <c r="Z458" s="109">
        <f t="shared" si="183"/>
        <v>44299.119933196707</v>
      </c>
      <c r="AA458" s="109">
        <f t="shared" si="183"/>
        <v>0</v>
      </c>
      <c r="AB458" s="109">
        <f t="shared" si="183"/>
        <v>0</v>
      </c>
      <c r="AC458" s="109">
        <f t="shared" si="183"/>
        <v>0</v>
      </c>
      <c r="AD458" s="109">
        <f t="shared" si="183"/>
        <v>0</v>
      </c>
      <c r="AE458" s="109">
        <f t="shared" si="183"/>
        <v>0</v>
      </c>
      <c r="AF458" s="109">
        <f t="shared" si="183"/>
        <v>0</v>
      </c>
      <c r="AG458" s="109">
        <f t="shared" si="183"/>
        <v>0</v>
      </c>
      <c r="AH458" s="109">
        <f t="shared" si="183"/>
        <v>0</v>
      </c>
      <c r="AI458" s="109">
        <f t="shared" si="183"/>
        <v>0</v>
      </c>
      <c r="AJ458" s="109">
        <f t="shared" si="183"/>
        <v>0</v>
      </c>
      <c r="AK458" s="109">
        <f t="shared" si="183"/>
        <v>0</v>
      </c>
      <c r="AL458" s="109">
        <f t="shared" si="183"/>
        <v>0</v>
      </c>
      <c r="AM458" s="109">
        <f t="shared" si="183"/>
        <v>0</v>
      </c>
    </row>
    <row r="459" spans="1:39" ht="15" customHeight="1" x14ac:dyDescent="0.2">
      <c r="A459" s="868"/>
      <c r="B459" s="860"/>
      <c r="C459" s="860"/>
      <c r="D459" s="860"/>
      <c r="E459" s="860"/>
      <c r="F459" s="860"/>
      <c r="G459" s="860"/>
      <c r="H459" s="860"/>
      <c r="I459" s="861"/>
      <c r="L459" s="109">
        <f>L451+L453+L455+L457</f>
        <v>41871.77089576146</v>
      </c>
      <c r="M459" s="109">
        <f t="shared" ref="M459:AM459" si="184">M451+M453+M455+M457</f>
        <v>125615.31268728437</v>
      </c>
      <c r="N459" s="109">
        <f t="shared" si="184"/>
        <v>209358.8544788073</v>
      </c>
      <c r="O459" s="109">
        <f t="shared" si="184"/>
        <v>295529.74530776567</v>
      </c>
      <c r="P459" s="109">
        <f t="shared" si="184"/>
        <v>339828.86524096259</v>
      </c>
      <c r="Q459" s="109">
        <f t="shared" si="184"/>
        <v>339828.86524096259</v>
      </c>
      <c r="R459" s="109">
        <f t="shared" si="184"/>
        <v>339828.86524096259</v>
      </c>
      <c r="S459" s="109">
        <f t="shared" si="184"/>
        <v>339828.86524096259</v>
      </c>
      <c r="T459" s="109">
        <f t="shared" si="184"/>
        <v>339828.86524096259</v>
      </c>
      <c r="U459" s="109">
        <f t="shared" si="184"/>
        <v>339828.86524096259</v>
      </c>
      <c r="V459" s="109">
        <f t="shared" si="184"/>
        <v>339828.86524096259</v>
      </c>
      <c r="W459" s="109">
        <f t="shared" si="184"/>
        <v>339828.86524096259</v>
      </c>
      <c r="X459" s="109">
        <f t="shared" si="184"/>
        <v>297957.09434520139</v>
      </c>
      <c r="Y459" s="109">
        <f t="shared" si="184"/>
        <v>214213.55255367846</v>
      </c>
      <c r="Z459" s="109">
        <f t="shared" si="184"/>
        <v>130470.01076215554</v>
      </c>
      <c r="AA459" s="109">
        <f t="shared" si="184"/>
        <v>44299.119933196707</v>
      </c>
      <c r="AB459" s="109">
        <f t="shared" si="184"/>
        <v>0</v>
      </c>
      <c r="AC459" s="109">
        <f t="shared" si="184"/>
        <v>0</v>
      </c>
      <c r="AD459" s="109">
        <f t="shared" si="184"/>
        <v>0</v>
      </c>
      <c r="AE459" s="109">
        <f t="shared" si="184"/>
        <v>0</v>
      </c>
      <c r="AF459" s="109">
        <f t="shared" si="184"/>
        <v>0</v>
      </c>
      <c r="AG459" s="109">
        <f t="shared" si="184"/>
        <v>0</v>
      </c>
      <c r="AH459" s="109">
        <f t="shared" si="184"/>
        <v>0</v>
      </c>
      <c r="AI459" s="109">
        <f t="shared" si="184"/>
        <v>0</v>
      </c>
      <c r="AJ459" s="109">
        <f t="shared" si="184"/>
        <v>0</v>
      </c>
      <c r="AK459" s="109">
        <f t="shared" si="184"/>
        <v>0</v>
      </c>
      <c r="AL459" s="109">
        <f t="shared" si="184"/>
        <v>0</v>
      </c>
      <c r="AM459" s="109">
        <f t="shared" si="184"/>
        <v>0</v>
      </c>
    </row>
    <row r="460" spans="1:39" ht="15" customHeight="1" thickBot="1" x14ac:dyDescent="0.25">
      <c r="A460" s="869"/>
      <c r="B460" s="862"/>
      <c r="C460" s="862"/>
      <c r="D460" s="862"/>
      <c r="E460" s="862"/>
      <c r="F460" s="862"/>
      <c r="G460" s="862"/>
      <c r="H460" s="862"/>
      <c r="I460" s="863"/>
      <c r="L460"/>
      <c r="M460"/>
      <c r="N460"/>
      <c r="O460"/>
      <c r="P460"/>
      <c r="Q460"/>
      <c r="R460"/>
      <c r="S460"/>
      <c r="T460"/>
      <c r="U460"/>
      <c r="V460"/>
      <c r="W460"/>
      <c r="X460"/>
      <c r="Y460"/>
      <c r="Z460"/>
      <c r="AA460"/>
      <c r="AB460"/>
      <c r="AC460"/>
      <c r="AD460"/>
      <c r="AE460"/>
      <c r="AF460"/>
      <c r="AG460"/>
      <c r="AH460"/>
      <c r="AI460"/>
      <c r="AJ460"/>
      <c r="AK460"/>
      <c r="AL460"/>
      <c r="AM460"/>
    </row>
  </sheetData>
  <mergeCells count="348">
    <mergeCell ref="I127:I128"/>
    <mergeCell ref="G119:G120"/>
    <mergeCell ref="A126:A146"/>
    <mergeCell ref="B126:B128"/>
    <mergeCell ref="A295:I296"/>
    <mergeCell ref="G32:G33"/>
    <mergeCell ref="H32:H33"/>
    <mergeCell ref="I32:I33"/>
    <mergeCell ref="C40:D40"/>
    <mergeCell ref="G61:G62"/>
    <mergeCell ref="I122:I123"/>
    <mergeCell ref="A121:A125"/>
    <mergeCell ref="B121:B123"/>
    <mergeCell ref="I98:I99"/>
    <mergeCell ref="A1:I2"/>
    <mergeCell ref="C100:D100"/>
    <mergeCell ref="C104:D104"/>
    <mergeCell ref="C122:D122"/>
    <mergeCell ref="C105:D105"/>
    <mergeCell ref="C119:D120"/>
    <mergeCell ref="A148:I149"/>
    <mergeCell ref="C128:D128"/>
    <mergeCell ref="B129:B135"/>
    <mergeCell ref="C129:D129"/>
    <mergeCell ref="C123:D123"/>
    <mergeCell ref="E119:E120"/>
    <mergeCell ref="B124:B125"/>
    <mergeCell ref="A119:B120"/>
    <mergeCell ref="C127:D127"/>
    <mergeCell ref="B136:I146"/>
    <mergeCell ref="C133:D133"/>
    <mergeCell ref="C134:D134"/>
    <mergeCell ref="A97:A117"/>
    <mergeCell ref="H119:H120"/>
    <mergeCell ref="I93:I94"/>
    <mergeCell ref="C94:D94"/>
    <mergeCell ref="F119:F120"/>
    <mergeCell ref="B107:I117"/>
    <mergeCell ref="I119:I120"/>
    <mergeCell ref="C99:D99"/>
    <mergeCell ref="G90:G91"/>
    <mergeCell ref="I90:I91"/>
    <mergeCell ref="F90:F91"/>
    <mergeCell ref="A90:B91"/>
    <mergeCell ref="A92:A96"/>
    <mergeCell ref="B92:B94"/>
    <mergeCell ref="E90:E91"/>
    <mergeCell ref="B100:B106"/>
    <mergeCell ref="C90:D91"/>
    <mergeCell ref="B71:B77"/>
    <mergeCell ref="C71:D71"/>
    <mergeCell ref="C64:D64"/>
    <mergeCell ref="B95:B96"/>
    <mergeCell ref="C98:D98"/>
    <mergeCell ref="C93:D93"/>
    <mergeCell ref="B97:B99"/>
    <mergeCell ref="C76:D76"/>
    <mergeCell ref="B42:B48"/>
    <mergeCell ref="C42:D42"/>
    <mergeCell ref="C46:D46"/>
    <mergeCell ref="B68:B70"/>
    <mergeCell ref="B66:B67"/>
    <mergeCell ref="C75:D75"/>
    <mergeCell ref="C69:D69"/>
    <mergeCell ref="C70:D70"/>
    <mergeCell ref="B63:B65"/>
    <mergeCell ref="C47:D47"/>
    <mergeCell ref="A5:A9"/>
    <mergeCell ref="A34:A38"/>
    <mergeCell ref="C32:D33"/>
    <mergeCell ref="C11:D11"/>
    <mergeCell ref="C18:D18"/>
    <mergeCell ref="B20:I30"/>
    <mergeCell ref="A32:B33"/>
    <mergeCell ref="E32:E33"/>
    <mergeCell ref="F32:F33"/>
    <mergeCell ref="I35:I36"/>
    <mergeCell ref="B39:B41"/>
    <mergeCell ref="B5:B7"/>
    <mergeCell ref="B8:B9"/>
    <mergeCell ref="C7:D7"/>
    <mergeCell ref="E3:E4"/>
    <mergeCell ref="F3:F4"/>
    <mergeCell ref="C6:D6"/>
    <mergeCell ref="I3:I4"/>
    <mergeCell ref="I6:I7"/>
    <mergeCell ref="C12:D12"/>
    <mergeCell ref="G3:G4"/>
    <mergeCell ref="H3:H4"/>
    <mergeCell ref="E61:E62"/>
    <mergeCell ref="C61:D62"/>
    <mergeCell ref="H61:H62"/>
    <mergeCell ref="A10:A30"/>
    <mergeCell ref="I11:I12"/>
    <mergeCell ref="B13:B19"/>
    <mergeCell ref="C17:D17"/>
    <mergeCell ref="B10:B12"/>
    <mergeCell ref="C13:D13"/>
    <mergeCell ref="A63:A67"/>
    <mergeCell ref="B78:I88"/>
    <mergeCell ref="A39:A59"/>
    <mergeCell ref="B49:I59"/>
    <mergeCell ref="C3:D4"/>
    <mergeCell ref="B34:B36"/>
    <mergeCell ref="C35:D35"/>
    <mergeCell ref="C36:D36"/>
    <mergeCell ref="B37:B38"/>
    <mergeCell ref="A3:B4"/>
    <mergeCell ref="I150:I151"/>
    <mergeCell ref="A68:A88"/>
    <mergeCell ref="H90:H91"/>
    <mergeCell ref="I64:I65"/>
    <mergeCell ref="I40:I41"/>
    <mergeCell ref="C41:D41"/>
    <mergeCell ref="F61:F62"/>
    <mergeCell ref="A61:B62"/>
    <mergeCell ref="C65:D65"/>
    <mergeCell ref="I61:I62"/>
    <mergeCell ref="I153:I154"/>
    <mergeCell ref="C154:D154"/>
    <mergeCell ref="B155:B156"/>
    <mergeCell ref="I69:I70"/>
    <mergeCell ref="A150:B151"/>
    <mergeCell ref="C150:D151"/>
    <mergeCell ref="E150:E151"/>
    <mergeCell ref="F150:F151"/>
    <mergeCell ref="G150:G151"/>
    <mergeCell ref="H150:H151"/>
    <mergeCell ref="C160:D160"/>
    <mergeCell ref="C164:D164"/>
    <mergeCell ref="C165:D165"/>
    <mergeCell ref="A152:A156"/>
    <mergeCell ref="B152:B154"/>
    <mergeCell ref="C153:D153"/>
    <mergeCell ref="A157:A177"/>
    <mergeCell ref="B157:B159"/>
    <mergeCell ref="C158:D158"/>
    <mergeCell ref="B167:I177"/>
    <mergeCell ref="I179:I180"/>
    <mergeCell ref="A179:B180"/>
    <mergeCell ref="C179:D180"/>
    <mergeCell ref="I158:I159"/>
    <mergeCell ref="C159:D159"/>
    <mergeCell ref="B160:B166"/>
    <mergeCell ref="E179:E180"/>
    <mergeCell ref="F179:F180"/>
    <mergeCell ref="G179:G180"/>
    <mergeCell ref="H179:H180"/>
    <mergeCell ref="A181:A185"/>
    <mergeCell ref="B181:B183"/>
    <mergeCell ref="C182:D182"/>
    <mergeCell ref="I182:I183"/>
    <mergeCell ref="C183:D183"/>
    <mergeCell ref="B184:B185"/>
    <mergeCell ref="I187:I188"/>
    <mergeCell ref="C188:D188"/>
    <mergeCell ref="B189:B195"/>
    <mergeCell ref="C189:D189"/>
    <mergeCell ref="C193:D193"/>
    <mergeCell ref="C194:D194"/>
    <mergeCell ref="A186:A206"/>
    <mergeCell ref="B186:B188"/>
    <mergeCell ref="C187:D187"/>
    <mergeCell ref="B196:I206"/>
    <mergeCell ref="I208:I209"/>
    <mergeCell ref="A208:B209"/>
    <mergeCell ref="C208:D209"/>
    <mergeCell ref="E208:E209"/>
    <mergeCell ref="F208:F209"/>
    <mergeCell ref="G208:G209"/>
    <mergeCell ref="A210:A214"/>
    <mergeCell ref="B210:B212"/>
    <mergeCell ref="C211:D211"/>
    <mergeCell ref="I211:I212"/>
    <mergeCell ref="C212:D212"/>
    <mergeCell ref="B213:B214"/>
    <mergeCell ref="C237:D238"/>
    <mergeCell ref="E237:E238"/>
    <mergeCell ref="F237:F238"/>
    <mergeCell ref="I216:I217"/>
    <mergeCell ref="C217:D217"/>
    <mergeCell ref="B218:B224"/>
    <mergeCell ref="C218:D218"/>
    <mergeCell ref="C222:D222"/>
    <mergeCell ref="C223:D223"/>
    <mergeCell ref="I240:I241"/>
    <mergeCell ref="C241:D241"/>
    <mergeCell ref="B242:B243"/>
    <mergeCell ref="H208:H209"/>
    <mergeCell ref="A215:A235"/>
    <mergeCell ref="B215:B217"/>
    <mergeCell ref="C216:D216"/>
    <mergeCell ref="B225:I235"/>
    <mergeCell ref="I237:I238"/>
    <mergeCell ref="A237:B238"/>
    <mergeCell ref="C246:D246"/>
    <mergeCell ref="B247:B253"/>
    <mergeCell ref="C247:D247"/>
    <mergeCell ref="C251:D251"/>
    <mergeCell ref="C252:D252"/>
    <mergeCell ref="A239:A243"/>
    <mergeCell ref="B239:B241"/>
    <mergeCell ref="C240:D240"/>
    <mergeCell ref="C270:D270"/>
    <mergeCell ref="B271:B272"/>
    <mergeCell ref="E266:E267"/>
    <mergeCell ref="G237:G238"/>
    <mergeCell ref="H237:H238"/>
    <mergeCell ref="A244:A264"/>
    <mergeCell ref="B244:B246"/>
    <mergeCell ref="C245:D245"/>
    <mergeCell ref="B254:I264"/>
    <mergeCell ref="I245:I246"/>
    <mergeCell ref="C276:D276"/>
    <mergeCell ref="C280:D280"/>
    <mergeCell ref="C281:D281"/>
    <mergeCell ref="I266:I267"/>
    <mergeCell ref="A266:B267"/>
    <mergeCell ref="C266:D267"/>
    <mergeCell ref="A268:A272"/>
    <mergeCell ref="B268:B270"/>
    <mergeCell ref="C269:D269"/>
    <mergeCell ref="I269:I270"/>
    <mergeCell ref="F266:F267"/>
    <mergeCell ref="G266:G267"/>
    <mergeCell ref="H266:H267"/>
    <mergeCell ref="A273:A293"/>
    <mergeCell ref="B273:B275"/>
    <mergeCell ref="C274:D274"/>
    <mergeCell ref="B283:I293"/>
    <mergeCell ref="I274:I275"/>
    <mergeCell ref="C275:D275"/>
    <mergeCell ref="B276:B282"/>
    <mergeCell ref="I297:I298"/>
    <mergeCell ref="A297:B298"/>
    <mergeCell ref="C297:D298"/>
    <mergeCell ref="A299:A305"/>
    <mergeCell ref="B299:B303"/>
    <mergeCell ref="C302:D302"/>
    <mergeCell ref="I302:I303"/>
    <mergeCell ref="C303:D303"/>
    <mergeCell ref="B304:B305"/>
    <mergeCell ref="E297:E298"/>
    <mergeCell ref="A306:A328"/>
    <mergeCell ref="B306:B310"/>
    <mergeCell ref="C309:D309"/>
    <mergeCell ref="B318:I328"/>
    <mergeCell ref="I309:I310"/>
    <mergeCell ref="C310:D310"/>
    <mergeCell ref="B311:B317"/>
    <mergeCell ref="C311:D311"/>
    <mergeCell ref="C315:D315"/>
    <mergeCell ref="C316:D316"/>
    <mergeCell ref="F297:F298"/>
    <mergeCell ref="G297:G298"/>
    <mergeCell ref="H297:H298"/>
    <mergeCell ref="F330:F331"/>
    <mergeCell ref="G330:G331"/>
    <mergeCell ref="H330:H331"/>
    <mergeCell ref="I330:I331"/>
    <mergeCell ref="A330:B331"/>
    <mergeCell ref="C330:D331"/>
    <mergeCell ref="A332:A338"/>
    <mergeCell ref="B332:B336"/>
    <mergeCell ref="C335:D335"/>
    <mergeCell ref="I335:I336"/>
    <mergeCell ref="C336:D336"/>
    <mergeCell ref="B337:B338"/>
    <mergeCell ref="E330:E331"/>
    <mergeCell ref="A339:A361"/>
    <mergeCell ref="B339:B343"/>
    <mergeCell ref="C342:D342"/>
    <mergeCell ref="B351:I361"/>
    <mergeCell ref="I342:I343"/>
    <mergeCell ref="C343:D343"/>
    <mergeCell ref="B344:B350"/>
    <mergeCell ref="C344:D344"/>
    <mergeCell ref="C348:D348"/>
    <mergeCell ref="C349:D349"/>
    <mergeCell ref="I363:I364"/>
    <mergeCell ref="A363:B364"/>
    <mergeCell ref="C363:D364"/>
    <mergeCell ref="A365:A371"/>
    <mergeCell ref="B365:B369"/>
    <mergeCell ref="C368:D368"/>
    <mergeCell ref="I368:I369"/>
    <mergeCell ref="C369:D369"/>
    <mergeCell ref="B370:B371"/>
    <mergeCell ref="E363:E364"/>
    <mergeCell ref="A372:A394"/>
    <mergeCell ref="B372:B376"/>
    <mergeCell ref="C375:D375"/>
    <mergeCell ref="B384:I394"/>
    <mergeCell ref="I375:I376"/>
    <mergeCell ref="C376:D376"/>
    <mergeCell ref="B377:B383"/>
    <mergeCell ref="C377:D377"/>
    <mergeCell ref="C381:D381"/>
    <mergeCell ref="C382:D382"/>
    <mergeCell ref="C402:D402"/>
    <mergeCell ref="B403:B404"/>
    <mergeCell ref="E396:E397"/>
    <mergeCell ref="F363:F364"/>
    <mergeCell ref="G363:G364"/>
    <mergeCell ref="H363:H364"/>
    <mergeCell ref="F396:F397"/>
    <mergeCell ref="G396:G397"/>
    <mergeCell ref="H396:H397"/>
    <mergeCell ref="C410:D410"/>
    <mergeCell ref="C414:D414"/>
    <mergeCell ref="C415:D415"/>
    <mergeCell ref="I396:I397"/>
    <mergeCell ref="A396:B397"/>
    <mergeCell ref="C396:D397"/>
    <mergeCell ref="A398:A404"/>
    <mergeCell ref="B398:B402"/>
    <mergeCell ref="C401:D401"/>
    <mergeCell ref="I401:I402"/>
    <mergeCell ref="F429:F430"/>
    <mergeCell ref="G429:G430"/>
    <mergeCell ref="H429:H430"/>
    <mergeCell ref="A405:A427"/>
    <mergeCell ref="B405:B409"/>
    <mergeCell ref="C408:D408"/>
    <mergeCell ref="B417:I427"/>
    <mergeCell ref="I429:I430"/>
    <mergeCell ref="A429:B430"/>
    <mergeCell ref="C429:D430"/>
    <mergeCell ref="I408:I409"/>
    <mergeCell ref="C409:D409"/>
    <mergeCell ref="B410:B416"/>
    <mergeCell ref="C448:D448"/>
    <mergeCell ref="A431:A437"/>
    <mergeCell ref="B431:B435"/>
    <mergeCell ref="C434:D434"/>
    <mergeCell ref="I434:I435"/>
    <mergeCell ref="C435:D435"/>
    <mergeCell ref="B436:B437"/>
    <mergeCell ref="B450:I460"/>
    <mergeCell ref="E429:E430"/>
    <mergeCell ref="A438:A460"/>
    <mergeCell ref="B438:B442"/>
    <mergeCell ref="C441:D441"/>
    <mergeCell ref="I441:I442"/>
    <mergeCell ref="C442:D442"/>
    <mergeCell ref="B443:B449"/>
    <mergeCell ref="C443:D443"/>
    <mergeCell ref="C447:D447"/>
  </mergeCells>
  <phoneticPr fontId="10"/>
  <conditionalFormatting sqref="X9 X15 X38 X44 X67 X73 X96 X102 X125 X131 X19 X48 X77 X106 X135 X156 X162 X185 X191 X214 X220 X243 X249 X272 X278 X166 X195 X224 X253 X282 X305 X313 X338 X346 X371 X379 X404 X412 X437 X445 X317 X350 X383 X416 X449">
    <cfRule type="cellIs" dxfId="1" priority="1" stopIfTrue="1" operator="notEqual">
      <formula>#REF!</formula>
    </cfRule>
  </conditionalFormatting>
  <conditionalFormatting sqref="X45:X46 X35 X74:X75 X64 X103:X104 X93 X132:X133 X122 X192:X193 X182 X221:X222 X211 X250:X251 X240 X279:X280 X269 X347:X348 X335 X380:X381 X368 X413:X414 X401 X446:X447 X434">
    <cfRule type="cellIs" dxfId="0" priority="2" stopIfTrue="1" operator="notEqual">
      <formula>$I35</formula>
    </cfRule>
  </conditionalFormatting>
  <printOptions horizontalCentered="1" verticalCentered="1"/>
  <pageMargins left="0.70866141732283472" right="0.74803149606299213" top="0.59055118110236227" bottom="0.55118110236220474" header="0.51181102362204722" footer="0.51181102362204722"/>
  <pageSetup paperSize="0" scale="80" fitToHeight="3" orientation="landscape" horizontalDpi="4294967292" verticalDpi="429496729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view="pageLayout" zoomScaleNormal="100" workbookViewId="0">
      <selection activeCell="C27" sqref="C27"/>
    </sheetView>
  </sheetViews>
  <sheetFormatPr defaultColWidth="10.6328125" defaultRowHeight="12.6" x14ac:dyDescent="0.2"/>
  <cols>
    <col min="1" max="1" width="2.453125" style="2" customWidth="1"/>
    <col min="2" max="2" width="23.453125" style="2" customWidth="1"/>
    <col min="3" max="7" width="12.453125" style="2" customWidth="1"/>
    <col min="8" max="8" width="15.36328125" style="2" customWidth="1"/>
    <col min="9" max="16384" width="10.6328125" style="2"/>
  </cols>
  <sheetData>
    <row r="1" spans="1:8" ht="25.05" customHeight="1" x14ac:dyDescent="0.2">
      <c r="A1" s="587" t="s">
        <v>45</v>
      </c>
      <c r="B1" s="587"/>
      <c r="C1" s="587"/>
      <c r="D1" s="587"/>
      <c r="E1" s="587"/>
      <c r="F1" s="587"/>
      <c r="G1" s="587"/>
      <c r="H1" s="587"/>
    </row>
    <row r="2" spans="1:8" ht="7.95" customHeight="1" x14ac:dyDescent="0.2">
      <c r="A2"/>
      <c r="B2"/>
      <c r="C2"/>
      <c r="D2"/>
      <c r="E2"/>
      <c r="F2"/>
      <c r="G2"/>
      <c r="H2"/>
    </row>
    <row r="3" spans="1:8" ht="22.05" customHeight="1" x14ac:dyDescent="0.2">
      <c r="A3" s="536" t="s">
        <v>44</v>
      </c>
      <c r="B3" s="536"/>
      <c r="C3" s="113">
        <v>2012</v>
      </c>
      <c r="D3" s="113">
        <v>2013</v>
      </c>
      <c r="E3" s="113">
        <v>2014</v>
      </c>
      <c r="F3" s="113">
        <v>2015</v>
      </c>
      <c r="G3" s="113">
        <v>2016</v>
      </c>
      <c r="H3" s="113" t="s">
        <v>32</v>
      </c>
    </row>
    <row r="4" spans="1:8" x14ac:dyDescent="0.2">
      <c r="A4" s="580" t="s">
        <v>33</v>
      </c>
      <c r="B4" s="5" t="s">
        <v>26</v>
      </c>
      <c r="C4" s="493">
        <f>'BP Global'!$E15</f>
        <v>160</v>
      </c>
      <c r="D4" s="493">
        <f>'BP Global'!$G15</f>
        <v>190</v>
      </c>
      <c r="E4" s="493">
        <f>'BP Global'!$I15</f>
        <v>180</v>
      </c>
      <c r="F4" s="493">
        <f>'BP Global'!$K15</f>
        <v>80</v>
      </c>
      <c r="G4" s="493">
        <f>'BP Global'!$M15</f>
        <v>0</v>
      </c>
      <c r="H4" s="493">
        <f>SUM(C4:G4)</f>
        <v>610</v>
      </c>
    </row>
    <row r="5" spans="1:8" x14ac:dyDescent="0.2">
      <c r="A5" s="580"/>
      <c r="B5" s="5" t="s">
        <v>27</v>
      </c>
      <c r="C5" s="493">
        <f>'BP Global'!$E8</f>
        <v>80</v>
      </c>
      <c r="D5" s="493">
        <f>'BP Global'!$G8</f>
        <v>440</v>
      </c>
      <c r="E5" s="493">
        <f>'BP Global'!$I8</f>
        <v>670</v>
      </c>
      <c r="F5" s="493">
        <f>'BP Global'!$K8</f>
        <v>810</v>
      </c>
      <c r="G5" s="493">
        <f>'BP Global'!$M8</f>
        <v>890</v>
      </c>
      <c r="H5" s="493">
        <f>SUM(C5:G5)</f>
        <v>2890</v>
      </c>
    </row>
    <row r="6" spans="1:8" x14ac:dyDescent="0.2">
      <c r="A6" s="580"/>
      <c r="B6" s="113" t="s">
        <v>31</v>
      </c>
      <c r="C6" s="494">
        <f t="shared" ref="C6:H6" si="0">SUM(C4:C5)</f>
        <v>240</v>
      </c>
      <c r="D6" s="494">
        <f t="shared" si="0"/>
        <v>630</v>
      </c>
      <c r="E6" s="494">
        <f t="shared" si="0"/>
        <v>850</v>
      </c>
      <c r="F6" s="494">
        <f t="shared" si="0"/>
        <v>890</v>
      </c>
      <c r="G6" s="494">
        <f t="shared" si="0"/>
        <v>890</v>
      </c>
      <c r="H6" s="494">
        <f t="shared" si="0"/>
        <v>3500</v>
      </c>
    </row>
    <row r="7" spans="1:8" x14ac:dyDescent="0.2">
      <c r="A7" s="580"/>
      <c r="B7" s="5" t="s">
        <v>28</v>
      </c>
      <c r="C7" s="495">
        <f>Calculations!$H180</f>
        <v>4800000</v>
      </c>
      <c r="D7" s="495">
        <f>Calculations!$M180</f>
        <v>5700000</v>
      </c>
      <c r="E7" s="495">
        <f>Calculations!$R180</f>
        <v>5400000</v>
      </c>
      <c r="F7" s="495">
        <f>Calculations!$W180</f>
        <v>2400000</v>
      </c>
      <c r="G7" s="495">
        <f>Calculations!$AB180</f>
        <v>0</v>
      </c>
      <c r="H7" s="495">
        <f>SUM(C7:G7)</f>
        <v>18300000</v>
      </c>
    </row>
    <row r="8" spans="1:8" x14ac:dyDescent="0.2">
      <c r="A8" s="580"/>
      <c r="B8" s="5" t="s">
        <v>29</v>
      </c>
      <c r="C8" s="495">
        <f>Calculations!$H51</f>
        <v>1289688</v>
      </c>
      <c r="D8" s="495">
        <f>Calculations!$M51</f>
        <v>13890768</v>
      </c>
      <c r="E8" s="495">
        <f>Calculations!$R51</f>
        <v>40429944</v>
      </c>
      <c r="F8" s="495">
        <f>Calculations!$W51</f>
        <v>75381672</v>
      </c>
      <c r="G8" s="495">
        <f>Calculations!$AB51</f>
        <v>115610472</v>
      </c>
      <c r="H8" s="495">
        <f>SUM(C8:G8)</f>
        <v>246602544</v>
      </c>
    </row>
    <row r="9" spans="1:8" x14ac:dyDescent="0.2">
      <c r="A9" s="580"/>
      <c r="B9" s="5" t="s">
        <v>30</v>
      </c>
      <c r="C9" s="495">
        <f>Calculations!$H58+Calculations!$H65+Calculations!$H187+Calculations!$H194</f>
        <v>264825</v>
      </c>
      <c r="D9" s="495">
        <f>Calculations!$M58+Calculations!$M65+Calculations!$M187+Calculations!$M194</f>
        <v>1972200</v>
      </c>
      <c r="E9" s="495">
        <f>Calculations!$R58+Calculations!$R65+Calculations!$R187+Calculations!$R194</f>
        <v>5095500</v>
      </c>
      <c r="F9" s="495">
        <f>Calculations!$W58+Calculations!$W65+Calculations!$W187+Calculations!$W194</f>
        <v>8895750</v>
      </c>
      <c r="G9" s="495">
        <f>Calculations!$AB58+Calculations!$AB65+Calculations!$AB187+Calculations!$AB194</f>
        <v>12870750</v>
      </c>
      <c r="H9" s="495">
        <f>SUM(C9:G9)</f>
        <v>29099025</v>
      </c>
    </row>
    <row r="10" spans="1:8" ht="13.8" x14ac:dyDescent="0.2">
      <c r="A10" s="580"/>
      <c r="B10" s="113" t="s">
        <v>34</v>
      </c>
      <c r="C10" s="496">
        <f t="shared" ref="C10:H10" si="1">SUM(C7:C9)</f>
        <v>6354513</v>
      </c>
      <c r="D10" s="496">
        <f t="shared" si="1"/>
        <v>21562968</v>
      </c>
      <c r="E10" s="496">
        <f t="shared" si="1"/>
        <v>50925444</v>
      </c>
      <c r="F10" s="496">
        <f t="shared" si="1"/>
        <v>86677422</v>
      </c>
      <c r="G10" s="496">
        <f t="shared" si="1"/>
        <v>128481222</v>
      </c>
      <c r="H10" s="524">
        <f t="shared" si="1"/>
        <v>294001569</v>
      </c>
    </row>
    <row r="11" spans="1:8" x14ac:dyDescent="0.2">
      <c r="A11" s="580" t="s">
        <v>42</v>
      </c>
      <c r="B11" s="5" t="s">
        <v>35</v>
      </c>
      <c r="C11" s="495">
        <f>'BP Global'!E25+'BP Global'!E26</f>
        <v>3967955.8588466556</v>
      </c>
      <c r="D11" s="495">
        <f>'BP Global'!G25+'BP Global'!G26</f>
        <v>7134559.0918040844</v>
      </c>
      <c r="E11" s="495">
        <f>'BP Global'!I25+'BP Global'!I26</f>
        <v>10210328.106311489</v>
      </c>
      <c r="F11" s="495">
        <f>'BP Global'!K25+'BP Global'!K26</f>
        <v>12280647.062735688</v>
      </c>
      <c r="G11" s="495">
        <f>'BP Global'!M25+'BP Global'!M26</f>
        <v>13845337.193418521</v>
      </c>
      <c r="H11" s="495">
        <f t="shared" ref="H11:H16" si="2">SUM(C11:G11)</f>
        <v>47438827.313116431</v>
      </c>
    </row>
    <row r="12" spans="1:8" x14ac:dyDescent="0.2">
      <c r="A12" s="580"/>
      <c r="B12" s="5" t="s">
        <v>36</v>
      </c>
      <c r="C12" s="495">
        <f>'BP Global'!E24</f>
        <v>348333.79200000002</v>
      </c>
      <c r="D12" s="495">
        <f>'BP Global'!G24</f>
        <v>1451824.5119999999</v>
      </c>
      <c r="E12" s="495">
        <f>'BP Global'!I24</f>
        <v>3666115.2960000001</v>
      </c>
      <c r="F12" s="495">
        <f>'BP Global'!K24</f>
        <v>6452060.4479999989</v>
      </c>
      <c r="G12" s="495">
        <f>'BP Global'!M24</f>
        <v>9711279.6479999982</v>
      </c>
      <c r="H12" s="495">
        <f t="shared" si="2"/>
        <v>21629613.695999995</v>
      </c>
    </row>
    <row r="13" spans="1:8" x14ac:dyDescent="0.2">
      <c r="A13" s="580"/>
      <c r="B13" s="5" t="s">
        <v>37</v>
      </c>
      <c r="C13" s="495">
        <f>'BP Global'!E27+'BP Global'!E28+'BP Global'!E31</f>
        <v>509192.30769230769</v>
      </c>
      <c r="D13" s="495">
        <f>'BP Global'!G27+'BP Global'!G28+'BP Global'!G31</f>
        <v>2464788.4615384615</v>
      </c>
      <c r="E13" s="495">
        <f>'BP Global'!I27+'BP Global'!I28+'BP Global'!I31</f>
        <v>5521211.538461538</v>
      </c>
      <c r="F13" s="495">
        <f>'BP Global'!K27+'BP Global'!K28+'BP Global'!K31</f>
        <v>9008076.9230769221</v>
      </c>
      <c r="G13" s="495">
        <f>'BP Global'!M27+'BP Global'!M28+'BP Global'!M31</f>
        <v>12653076.923076924</v>
      </c>
      <c r="H13" s="495">
        <f t="shared" si="2"/>
        <v>30156346.153846156</v>
      </c>
    </row>
    <row r="14" spans="1:8" x14ac:dyDescent="0.2">
      <c r="A14" s="580"/>
      <c r="B14" s="5" t="s">
        <v>38</v>
      </c>
      <c r="C14" s="495">
        <f>'BP Global'!E30+'BP Global'!E29</f>
        <v>112337.77103999999</v>
      </c>
      <c r="D14" s="495">
        <f>'BP Global'!G30+'BP Global'!G29</f>
        <v>809789.46744000004</v>
      </c>
      <c r="E14" s="495">
        <f>'BP Global'!I30+'BP Global'!I29</f>
        <v>2028960.3935199999</v>
      </c>
      <c r="F14" s="495">
        <f>'BP Global'!K30+'BP Global'!K29</f>
        <v>3487968.0577600002</v>
      </c>
      <c r="G14" s="495">
        <f>'BP Global'!M30+'BP Global'!M29</f>
        <v>5123790.9617600003</v>
      </c>
      <c r="H14" s="495">
        <f t="shared" si="2"/>
        <v>11562846.651520001</v>
      </c>
    </row>
    <row r="15" spans="1:8" x14ac:dyDescent="0.2">
      <c r="A15" s="580"/>
      <c r="B15" s="5" t="s">
        <v>39</v>
      </c>
      <c r="C15" s="495">
        <f>'BP Global'!E35</f>
        <v>1777188</v>
      </c>
      <c r="D15" s="495">
        <f>'BP Global'!G35</f>
        <v>2344516.39</v>
      </c>
      <c r="E15" s="495">
        <f>'BP Global'!I35</f>
        <v>4352891.9884000001</v>
      </c>
      <c r="F15" s="495">
        <f>'BP Global'!K35</f>
        <v>4795592.8873190014</v>
      </c>
      <c r="G15" s="495">
        <f>'BP Global'!M35</f>
        <v>5013796.5245850701</v>
      </c>
      <c r="H15" s="495">
        <f t="shared" si="2"/>
        <v>18283985.790304072</v>
      </c>
    </row>
    <row r="16" spans="1:8" x14ac:dyDescent="0.2">
      <c r="A16" s="580"/>
      <c r="B16" s="5" t="s">
        <v>40</v>
      </c>
      <c r="C16" s="495">
        <f>'BP Global'!E38</f>
        <v>1368500</v>
      </c>
      <c r="D16" s="495">
        <f>'BP Global'!G38</f>
        <v>333000</v>
      </c>
      <c r="E16" s="495">
        <f>'BP Global'!I38</f>
        <v>198000</v>
      </c>
      <c r="F16" s="495">
        <f>'BP Global'!K38</f>
        <v>99000</v>
      </c>
      <c r="G16" s="495">
        <f>'BP Global'!M38</f>
        <v>139000</v>
      </c>
      <c r="H16" s="495">
        <f t="shared" si="2"/>
        <v>2137500</v>
      </c>
    </row>
    <row r="17" spans="1:10" x14ac:dyDescent="0.2">
      <c r="A17" s="580"/>
      <c r="B17" s="113" t="s">
        <v>41</v>
      </c>
      <c r="C17" s="496">
        <f t="shared" ref="C17:H17" si="3">SUM(C11:C16)</f>
        <v>8083507.7295789635</v>
      </c>
      <c r="D17" s="496">
        <f t="shared" si="3"/>
        <v>14538477.922782546</v>
      </c>
      <c r="E17" s="496">
        <f t="shared" si="3"/>
        <v>25977507.322693028</v>
      </c>
      <c r="F17" s="496">
        <f t="shared" si="3"/>
        <v>36123345.37889161</v>
      </c>
      <c r="G17" s="496">
        <f t="shared" si="3"/>
        <v>46486281.250840515</v>
      </c>
      <c r="H17" s="496">
        <f t="shared" si="3"/>
        <v>131209119.60478666</v>
      </c>
    </row>
    <row r="18" spans="1:10" ht="6" customHeight="1" x14ac:dyDescent="0.2">
      <c r="A18" s="526"/>
      <c r="B18" s="9"/>
      <c r="C18" s="522"/>
      <c r="D18" s="522"/>
      <c r="E18" s="522"/>
      <c r="F18" s="522"/>
      <c r="G18" s="522"/>
      <c r="H18" s="522"/>
      <c r="I18" s="290"/>
      <c r="J18" s="290"/>
    </row>
    <row r="19" spans="1:10" ht="13.8" x14ac:dyDescent="0.2">
      <c r="A19" s="567" t="s">
        <v>43</v>
      </c>
      <c r="B19" s="567"/>
      <c r="C19" s="497">
        <f t="shared" ref="C19:H19" si="4">C10-C17</f>
        <v>-1728994.7295789635</v>
      </c>
      <c r="D19" s="497">
        <f t="shared" si="4"/>
        <v>7024490.0772174541</v>
      </c>
      <c r="E19" s="497">
        <f t="shared" si="4"/>
        <v>24947936.677306972</v>
      </c>
      <c r="F19" s="497">
        <f t="shared" si="4"/>
        <v>50554076.62110839</v>
      </c>
      <c r="G19" s="497">
        <f t="shared" si="4"/>
        <v>81994940.749159485</v>
      </c>
      <c r="H19" s="525">
        <f t="shared" si="4"/>
        <v>162792449.39521334</v>
      </c>
    </row>
    <row r="20" spans="1:10" x14ac:dyDescent="0.2">
      <c r="A20" s="567"/>
      <c r="B20" s="567"/>
      <c r="C20" s="498">
        <f t="shared" ref="C20:H20" si="5">C19/C10</f>
        <v>-0.27208925838675024</v>
      </c>
      <c r="D20" s="498">
        <f t="shared" si="5"/>
        <v>0.32576638230958993</v>
      </c>
      <c r="E20" s="498">
        <f t="shared" si="5"/>
        <v>0.48989139254842773</v>
      </c>
      <c r="F20" s="498">
        <f t="shared" si="5"/>
        <v>0.58324388813857886</v>
      </c>
      <c r="G20" s="498">
        <f t="shared" si="5"/>
        <v>0.63818618373009783</v>
      </c>
      <c r="H20" s="498">
        <f t="shared" si="5"/>
        <v>0.55371285925080671</v>
      </c>
    </row>
    <row r="21" spans="1:10" customFormat="1" ht="7.05" customHeight="1" x14ac:dyDescent="0.2"/>
    <row r="22" spans="1:10" ht="16.05" customHeight="1" x14ac:dyDescent="0.2">
      <c r="A22" s="567" t="s">
        <v>46</v>
      </c>
      <c r="B22" s="567"/>
      <c r="C22" s="496">
        <f>'BP Global'!E48</f>
        <v>-2383319.9025389636</v>
      </c>
      <c r="D22" s="496">
        <f>'BP Global'!G48</f>
        <v>-2013119.9781259247</v>
      </c>
      <c r="E22" s="496">
        <f>'BP Global'!I48</f>
        <v>4669851.9933140194</v>
      </c>
      <c r="F22" s="496">
        <f>'BP Global'!K48</f>
        <v>30814908.426035382</v>
      </c>
      <c r="G22" s="496">
        <f>'BP Global'!M48</f>
        <v>83802806.875831306</v>
      </c>
      <c r="H22" s="496">
        <f>G22</f>
        <v>83802806.875831306</v>
      </c>
    </row>
    <row r="23" spans="1:10" ht="16.05" hidden="1" customHeight="1" x14ac:dyDescent="0.2">
      <c r="A23" s="113"/>
      <c r="B23" s="113"/>
      <c r="C23" s="496">
        <v>-2383319.9025389664</v>
      </c>
      <c r="D23" s="496">
        <v>-2013119.9781259312</v>
      </c>
      <c r="E23" s="496">
        <v>4669851.9933139673</v>
      </c>
      <c r="F23" s="496">
        <v>30814908.426035225</v>
      </c>
      <c r="G23" s="496">
        <v>83802806.875830978</v>
      </c>
      <c r="H23" s="496">
        <v>83802806.875830978</v>
      </c>
    </row>
    <row r="24" spans="1:10" ht="12" customHeight="1" x14ac:dyDescent="0.2">
      <c r="A24" s="581" t="s">
        <v>4</v>
      </c>
      <c r="B24" s="581"/>
      <c r="C24" s="523">
        <f t="shared" ref="C24:H24" si="6">IF(C22&lt;0,C22-C23,0)</f>
        <v>2.7939677238464355E-9</v>
      </c>
      <c r="D24" s="523">
        <f t="shared" si="6"/>
        <v>6.5192580223083496E-9</v>
      </c>
      <c r="E24" s="523">
        <f t="shared" si="6"/>
        <v>0</v>
      </c>
      <c r="F24" s="523">
        <f t="shared" si="6"/>
        <v>0</v>
      </c>
      <c r="G24" s="523">
        <f t="shared" si="6"/>
        <v>0</v>
      </c>
      <c r="H24" s="523">
        <f t="shared" si="6"/>
        <v>0</v>
      </c>
    </row>
    <row r="25" spans="1:10" ht="13.2" thickBot="1" x14ac:dyDescent="0.25">
      <c r="C25" s="8"/>
      <c r="D25" s="8"/>
      <c r="E25" s="8"/>
      <c r="F25" s="8"/>
      <c r="G25" s="8"/>
    </row>
    <row r="26" spans="1:10" x14ac:dyDescent="0.2">
      <c r="A26" s="589" t="s">
        <v>15</v>
      </c>
      <c r="B26" s="590"/>
      <c r="C26" s="590"/>
      <c r="D26" s="590"/>
      <c r="E26" s="591"/>
      <c r="F26" s="588" t="s">
        <v>14</v>
      </c>
      <c r="G26" s="585"/>
      <c r="H26" s="586"/>
    </row>
    <row r="27" spans="1:10" x14ac:dyDescent="0.2">
      <c r="A27" s="571" t="s">
        <v>9</v>
      </c>
      <c r="B27" s="569"/>
      <c r="C27" s="535">
        <v>8</v>
      </c>
      <c r="D27" s="499" t="s">
        <v>8</v>
      </c>
      <c r="E27" s="502">
        <v>29</v>
      </c>
      <c r="F27" s="578" t="s">
        <v>50</v>
      </c>
      <c r="G27" s="575"/>
      <c r="H27" s="528">
        <v>1</v>
      </c>
      <c r="I27" s="8"/>
    </row>
    <row r="28" spans="1:10" x14ac:dyDescent="0.2">
      <c r="A28" s="571" t="s">
        <v>47</v>
      </c>
      <c r="B28" s="569"/>
      <c r="C28" s="124">
        <v>30000</v>
      </c>
      <c r="D28" s="499" t="s">
        <v>16</v>
      </c>
      <c r="E28" s="527">
        <v>17</v>
      </c>
      <c r="F28" s="578" t="s">
        <v>11</v>
      </c>
      <c r="G28" s="575"/>
      <c r="H28" s="501">
        <v>0.8</v>
      </c>
    </row>
    <row r="29" spans="1:10" x14ac:dyDescent="0.2">
      <c r="A29" s="571" t="s">
        <v>48</v>
      </c>
      <c r="B29" s="569"/>
      <c r="C29" s="124">
        <v>3000</v>
      </c>
      <c r="D29" s="499" t="s">
        <v>6</v>
      </c>
      <c r="E29" s="503" t="s">
        <v>7</v>
      </c>
      <c r="F29" s="578" t="s">
        <v>12</v>
      </c>
      <c r="G29" s="575"/>
      <c r="H29" s="532">
        <v>4.4999999999999998E-2</v>
      </c>
    </row>
    <row r="30" spans="1:10" ht="13.2" thickBot="1" x14ac:dyDescent="0.25">
      <c r="A30" s="571" t="s">
        <v>49</v>
      </c>
      <c r="B30" s="569"/>
      <c r="C30" s="529">
        <v>9000</v>
      </c>
      <c r="D30" s="500" t="s">
        <v>372</v>
      </c>
      <c r="E30" s="528">
        <v>1</v>
      </c>
      <c r="F30" s="579" t="s">
        <v>13</v>
      </c>
      <c r="G30" s="573"/>
      <c r="H30" s="533">
        <v>36</v>
      </c>
      <c r="I30" s="8"/>
    </row>
    <row r="31" spans="1:10" x14ac:dyDescent="0.2">
      <c r="A31" s="571" t="s">
        <v>5</v>
      </c>
      <c r="B31" s="569"/>
      <c r="C31" s="124">
        <v>6000</v>
      </c>
      <c r="D31" s="151">
        <v>0.3</v>
      </c>
      <c r="E31" s="501">
        <v>0.5</v>
      </c>
      <c r="F31" s="584" t="s">
        <v>22</v>
      </c>
      <c r="G31" s="585"/>
      <c r="H31" s="586"/>
    </row>
    <row r="32" spans="1:10" x14ac:dyDescent="0.2">
      <c r="A32" s="571" t="s">
        <v>10</v>
      </c>
      <c r="B32" s="569"/>
      <c r="C32" s="124">
        <v>3000</v>
      </c>
      <c r="D32" s="151">
        <v>0.7</v>
      </c>
      <c r="E32" s="501">
        <v>0.5</v>
      </c>
      <c r="F32" s="574" t="s">
        <v>112</v>
      </c>
      <c r="G32" s="575"/>
      <c r="H32" s="534">
        <v>22200</v>
      </c>
    </row>
    <row r="33" spans="1:8" x14ac:dyDescent="0.2">
      <c r="A33" s="571" t="s">
        <v>18</v>
      </c>
      <c r="B33" s="569"/>
      <c r="C33" s="151">
        <v>0.2</v>
      </c>
      <c r="D33" s="499" t="s">
        <v>17</v>
      </c>
      <c r="E33" s="501">
        <v>0.3</v>
      </c>
      <c r="F33" s="574" t="s">
        <v>113</v>
      </c>
      <c r="G33" s="575"/>
      <c r="H33" s="507">
        <v>20000</v>
      </c>
    </row>
    <row r="34" spans="1:8" x14ac:dyDescent="0.2">
      <c r="A34" s="571" t="s">
        <v>20</v>
      </c>
      <c r="B34" s="569"/>
      <c r="C34" s="151">
        <v>0.05</v>
      </c>
      <c r="D34" s="499" t="s">
        <v>21</v>
      </c>
      <c r="E34" s="501">
        <v>1</v>
      </c>
      <c r="F34" s="574" t="s">
        <v>114</v>
      </c>
      <c r="G34" s="575"/>
      <c r="H34" s="507">
        <v>18000</v>
      </c>
    </row>
    <row r="35" spans="1:8" ht="13.2" thickBot="1" x14ac:dyDescent="0.25">
      <c r="A35" s="576" t="s">
        <v>19</v>
      </c>
      <c r="B35" s="577"/>
      <c r="C35" s="504">
        <v>0.12</v>
      </c>
      <c r="D35" s="505" t="s">
        <v>21</v>
      </c>
      <c r="E35" s="506">
        <v>0.7</v>
      </c>
      <c r="F35" s="574" t="s">
        <v>0</v>
      </c>
      <c r="G35" s="575"/>
      <c r="H35" s="507">
        <v>17000</v>
      </c>
    </row>
    <row r="36" spans="1:8" ht="13.2" thickBot="1" x14ac:dyDescent="0.25">
      <c r="A36" s="582" t="s">
        <v>2</v>
      </c>
      <c r="B36" s="583"/>
      <c r="C36" s="530">
        <v>1000000</v>
      </c>
      <c r="D36" s="509" t="s">
        <v>3</v>
      </c>
      <c r="E36" s="531">
        <v>1.3</v>
      </c>
      <c r="F36" s="572" t="s">
        <v>1</v>
      </c>
      <c r="G36" s="573"/>
      <c r="H36" s="508">
        <v>17000</v>
      </c>
    </row>
    <row r="37" spans="1:8" x14ac:dyDescent="0.2">
      <c r="C37" s="8"/>
      <c r="D37" s="8"/>
      <c r="E37" s="8"/>
      <c r="F37" s="8"/>
      <c r="G37" s="8"/>
    </row>
    <row r="38" spans="1:8" x14ac:dyDescent="0.2">
      <c r="C38" s="8"/>
      <c r="D38" s="8"/>
      <c r="E38" s="8"/>
      <c r="F38" s="8"/>
      <c r="G38" s="8"/>
    </row>
    <row r="39" spans="1:8" x14ac:dyDescent="0.2">
      <c r="C39" s="8"/>
      <c r="D39" s="8"/>
      <c r="E39" s="8"/>
      <c r="F39" s="8"/>
      <c r="G39" s="8"/>
    </row>
    <row r="40" spans="1:8" x14ac:dyDescent="0.2">
      <c r="C40" s="8"/>
      <c r="D40" s="8"/>
      <c r="E40" s="8"/>
      <c r="F40" s="8"/>
      <c r="G40" s="8"/>
    </row>
    <row r="41" spans="1:8" x14ac:dyDescent="0.2">
      <c r="C41" s="8"/>
      <c r="D41" s="8"/>
      <c r="E41" s="8"/>
      <c r="F41" s="8"/>
      <c r="G41" s="8"/>
    </row>
    <row r="42" spans="1:8" x14ac:dyDescent="0.2">
      <c r="C42" s="8"/>
      <c r="D42" s="8"/>
      <c r="E42" s="8"/>
      <c r="F42" s="8"/>
      <c r="G42" s="8"/>
    </row>
    <row r="43" spans="1:8" x14ac:dyDescent="0.2">
      <c r="C43" s="8"/>
      <c r="D43" s="8"/>
      <c r="E43" s="8"/>
      <c r="F43" s="8"/>
      <c r="G43" s="8"/>
    </row>
    <row r="44" spans="1:8" x14ac:dyDescent="0.2">
      <c r="C44" s="8"/>
      <c r="D44" s="8"/>
      <c r="E44" s="8"/>
      <c r="F44" s="8"/>
      <c r="G44" s="8"/>
    </row>
    <row r="45" spans="1:8" x14ac:dyDescent="0.2">
      <c r="C45" s="8"/>
      <c r="D45" s="8"/>
      <c r="E45" s="8"/>
      <c r="F45" s="8"/>
      <c r="G45" s="8"/>
    </row>
    <row r="46" spans="1:8" x14ac:dyDescent="0.2">
      <c r="C46" s="8"/>
      <c r="D46" s="8"/>
      <c r="E46" s="8"/>
      <c r="F46" s="8"/>
      <c r="G46" s="8"/>
    </row>
    <row r="47" spans="1:8" x14ac:dyDescent="0.2">
      <c r="C47" s="8"/>
      <c r="D47" s="8"/>
      <c r="E47" s="8"/>
      <c r="F47" s="8"/>
      <c r="G47" s="8"/>
    </row>
    <row r="48" spans="1:8" x14ac:dyDescent="0.2">
      <c r="C48" s="8"/>
      <c r="D48" s="8"/>
      <c r="E48" s="8"/>
      <c r="F48" s="8"/>
      <c r="G48" s="8"/>
    </row>
    <row r="49" spans="3:7" x14ac:dyDescent="0.2">
      <c r="C49" s="8"/>
      <c r="D49" s="8"/>
      <c r="E49" s="8"/>
      <c r="F49" s="8"/>
      <c r="G49" s="8"/>
    </row>
    <row r="50" spans="3:7" x14ac:dyDescent="0.2">
      <c r="C50" s="8"/>
      <c r="D50" s="8"/>
      <c r="E50" s="8"/>
      <c r="F50" s="8"/>
      <c r="G50" s="8"/>
    </row>
    <row r="51" spans="3:7" x14ac:dyDescent="0.2">
      <c r="C51" s="8"/>
      <c r="D51" s="8"/>
      <c r="E51" s="8"/>
      <c r="F51" s="8"/>
      <c r="G51" s="8"/>
    </row>
    <row r="52" spans="3:7" x14ac:dyDescent="0.2">
      <c r="C52" s="8"/>
      <c r="D52" s="8"/>
      <c r="E52" s="8"/>
      <c r="F52" s="8"/>
      <c r="G52" s="8"/>
    </row>
    <row r="53" spans="3:7" x14ac:dyDescent="0.2">
      <c r="C53" s="8"/>
      <c r="D53" s="8"/>
      <c r="E53" s="8"/>
      <c r="F53" s="8"/>
      <c r="G53" s="8"/>
    </row>
    <row r="54" spans="3:7" x14ac:dyDescent="0.2">
      <c r="C54" s="8"/>
      <c r="D54" s="8"/>
      <c r="E54" s="8"/>
      <c r="F54" s="8"/>
      <c r="G54" s="8"/>
    </row>
    <row r="55" spans="3:7" x14ac:dyDescent="0.2">
      <c r="C55" s="8"/>
      <c r="D55" s="8"/>
      <c r="E55" s="8"/>
      <c r="F55" s="8"/>
      <c r="G55" s="8"/>
    </row>
    <row r="56" spans="3:7" x14ac:dyDescent="0.2">
      <c r="C56" s="8"/>
      <c r="D56" s="8"/>
      <c r="E56" s="8"/>
      <c r="F56" s="8"/>
      <c r="G56" s="8"/>
    </row>
    <row r="57" spans="3:7" x14ac:dyDescent="0.2">
      <c r="C57" s="8"/>
      <c r="D57" s="8"/>
      <c r="E57" s="8"/>
      <c r="F57" s="8"/>
      <c r="G57" s="8"/>
    </row>
    <row r="58" spans="3:7" x14ac:dyDescent="0.2">
      <c r="C58" s="8"/>
      <c r="D58" s="8"/>
      <c r="E58" s="8"/>
      <c r="F58" s="8"/>
      <c r="G58" s="8"/>
    </row>
    <row r="59" spans="3:7" x14ac:dyDescent="0.2">
      <c r="C59" s="8"/>
      <c r="D59" s="8"/>
      <c r="E59" s="8"/>
      <c r="F59" s="8"/>
      <c r="G59" s="8"/>
    </row>
    <row r="60" spans="3:7" x14ac:dyDescent="0.2">
      <c r="C60" s="8"/>
      <c r="D60" s="8"/>
      <c r="E60" s="8"/>
      <c r="F60" s="8"/>
      <c r="G60" s="8"/>
    </row>
    <row r="61" spans="3:7" x14ac:dyDescent="0.2">
      <c r="C61" s="8"/>
      <c r="D61" s="8"/>
      <c r="E61" s="8"/>
      <c r="F61" s="8"/>
      <c r="G61" s="8"/>
    </row>
    <row r="62" spans="3:7" x14ac:dyDescent="0.2">
      <c r="C62" s="8"/>
      <c r="D62" s="8"/>
      <c r="E62" s="8"/>
      <c r="F62" s="8"/>
      <c r="G62" s="8"/>
    </row>
    <row r="63" spans="3:7" x14ac:dyDescent="0.2">
      <c r="C63" s="8"/>
      <c r="D63" s="8"/>
      <c r="E63" s="8"/>
      <c r="F63" s="8"/>
      <c r="G63" s="8"/>
    </row>
    <row r="64" spans="3:7" x14ac:dyDescent="0.2">
      <c r="C64" s="8"/>
      <c r="D64" s="8"/>
      <c r="E64" s="8"/>
      <c r="F64" s="8"/>
      <c r="G64" s="8"/>
    </row>
    <row r="65" spans="3:7" x14ac:dyDescent="0.2">
      <c r="C65" s="8"/>
      <c r="D65" s="8"/>
      <c r="E65" s="8"/>
      <c r="F65" s="8"/>
      <c r="G65" s="8"/>
    </row>
    <row r="66" spans="3:7" x14ac:dyDescent="0.2">
      <c r="F66" s="8"/>
      <c r="G66" s="8"/>
    </row>
  </sheetData>
  <mergeCells count="29">
    <mergeCell ref="A1:H1"/>
    <mergeCell ref="A22:B22"/>
    <mergeCell ref="F26:H26"/>
    <mergeCell ref="A26:E26"/>
    <mergeCell ref="A36:B36"/>
    <mergeCell ref="F31:H31"/>
    <mergeCell ref="F32:G32"/>
    <mergeCell ref="F33:G33"/>
    <mergeCell ref="F34:G34"/>
    <mergeCell ref="A3:B3"/>
    <mergeCell ref="A11:A17"/>
    <mergeCell ref="A19:B20"/>
    <mergeCell ref="F29:G29"/>
    <mergeCell ref="A33:B33"/>
    <mergeCell ref="F30:G30"/>
    <mergeCell ref="A31:B31"/>
    <mergeCell ref="A32:B32"/>
    <mergeCell ref="A4:A10"/>
    <mergeCell ref="A24:B24"/>
    <mergeCell ref="A29:B29"/>
    <mergeCell ref="A30:B30"/>
    <mergeCell ref="F36:G36"/>
    <mergeCell ref="A34:B34"/>
    <mergeCell ref="A27:B27"/>
    <mergeCell ref="A28:B28"/>
    <mergeCell ref="F35:G35"/>
    <mergeCell ref="A35:B35"/>
    <mergeCell ref="F27:G27"/>
    <mergeCell ref="F28:G28"/>
  </mergeCells>
  <phoneticPr fontId="10" type="noConversion"/>
  <pageMargins left="0.75196850393700787" right="0.75196850393700787" top="1" bottom="1" header="0.5" footer="0.5"/>
  <pageSetup paperSize="9" scale="96"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157"/>
  <sheetViews>
    <sheetView topLeftCell="A46" zoomScaleNormal="100" workbookViewId="0">
      <selection activeCell="J6" sqref="J6"/>
    </sheetView>
  </sheetViews>
  <sheetFormatPr defaultColWidth="10.6328125" defaultRowHeight="12.6" x14ac:dyDescent="0.2"/>
  <cols>
    <col min="1" max="1" width="19.1796875" style="2" customWidth="1"/>
    <col min="2" max="2" width="9" style="2" customWidth="1"/>
    <col min="3" max="9" width="6.453125" style="2" customWidth="1"/>
    <col min="10" max="10" width="7.36328125" style="2" customWidth="1"/>
    <col min="11" max="11" width="6.36328125" style="2" customWidth="1"/>
    <col min="12" max="17" width="6.453125" style="2" customWidth="1"/>
    <col min="18" max="18" width="7.453125" style="2" customWidth="1"/>
    <col min="19" max="19" width="6.36328125" style="2" customWidth="1"/>
    <col min="20" max="21" width="7.453125" style="2" customWidth="1"/>
    <col min="22" max="22" width="6.453125" style="2" hidden="1" customWidth="1"/>
    <col min="23" max="27" width="10.6328125" style="2"/>
    <col min="28" max="28" width="12.81640625" style="2" customWidth="1"/>
    <col min="29" max="34" width="7" style="2" customWidth="1"/>
    <col min="35" max="36" width="10.6328125" style="2"/>
    <col min="37" max="37" width="19.1796875" style="2" customWidth="1"/>
    <col min="38" max="38" width="9" style="2" customWidth="1"/>
    <col min="39" max="39" width="6.453125" style="2" customWidth="1"/>
    <col min="40" max="40" width="7.36328125" style="2" customWidth="1"/>
    <col min="41" max="41" width="6.453125" style="2" customWidth="1"/>
    <col min="42" max="44" width="7.453125" style="2" customWidth="1"/>
    <col min="45" max="16384" width="10.6328125" style="2"/>
  </cols>
  <sheetData>
    <row r="1" spans="1:44" ht="30" customHeight="1" x14ac:dyDescent="0.2">
      <c r="A1" s="595" t="s">
        <v>454</v>
      </c>
      <c r="B1" s="595"/>
      <c r="C1" s="595"/>
      <c r="D1" s="595"/>
      <c r="E1" s="595"/>
      <c r="F1" s="595"/>
      <c r="G1" s="595"/>
      <c r="H1" s="595"/>
      <c r="I1" s="595"/>
      <c r="J1" s="595"/>
      <c r="K1" s="595"/>
      <c r="L1" s="595"/>
      <c r="M1" s="595"/>
      <c r="N1" s="595"/>
      <c r="O1" s="595"/>
      <c r="P1" s="595"/>
      <c r="Q1" s="595"/>
      <c r="R1" s="595"/>
      <c r="S1" s="595"/>
      <c r="T1" s="596"/>
      <c r="U1" s="596"/>
      <c r="V1" s="267"/>
      <c r="AK1" s="595" t="s">
        <v>371</v>
      </c>
      <c r="AL1" s="596"/>
      <c r="AM1" s="596"/>
      <c r="AN1" s="596"/>
      <c r="AO1" s="596"/>
      <c r="AP1" s="596"/>
      <c r="AQ1" s="596"/>
      <c r="AR1" s="596"/>
    </row>
    <row r="2" spans="1:44" ht="25.95" customHeight="1" x14ac:dyDescent="0.2">
      <c r="A2" s="595" t="s">
        <v>108</v>
      </c>
      <c r="B2" s="595"/>
      <c r="C2" s="595"/>
      <c r="D2" s="595"/>
      <c r="E2" s="595"/>
      <c r="F2" s="595"/>
      <c r="G2" s="595"/>
      <c r="H2" s="595"/>
      <c r="I2" s="595"/>
      <c r="J2" s="595"/>
      <c r="K2" s="595"/>
      <c r="L2" s="595"/>
      <c r="M2" s="595"/>
      <c r="N2" s="595"/>
      <c r="O2" s="595"/>
      <c r="P2" s="595"/>
      <c r="Q2" s="595"/>
      <c r="R2" s="595"/>
      <c r="S2" s="595"/>
      <c r="T2" s="596"/>
      <c r="U2" s="596"/>
      <c r="V2" s="267"/>
      <c r="AK2" s="595" t="s">
        <v>297</v>
      </c>
      <c r="AL2" s="596"/>
      <c r="AM2" s="596"/>
      <c r="AN2" s="596"/>
      <c r="AO2" s="596"/>
      <c r="AP2" s="596"/>
      <c r="AQ2" s="596"/>
      <c r="AR2" s="596"/>
    </row>
    <row r="3" spans="1:44" ht="6" customHeight="1" x14ac:dyDescent="0.2"/>
    <row r="4" spans="1:44" ht="16.05" customHeight="1" x14ac:dyDescent="0.2">
      <c r="A4" s="601" t="s">
        <v>358</v>
      </c>
      <c r="B4" s="602" t="s">
        <v>259</v>
      </c>
      <c r="C4" s="597" t="s">
        <v>174</v>
      </c>
      <c r="D4" s="564"/>
      <c r="E4" s="564"/>
      <c r="F4" s="564"/>
      <c r="G4" s="564"/>
      <c r="H4" s="564"/>
      <c r="I4" s="564"/>
      <c r="J4" s="565"/>
      <c r="K4" s="604" t="s">
        <v>435</v>
      </c>
      <c r="L4" s="564"/>
      <c r="M4" s="564"/>
      <c r="N4" s="564"/>
      <c r="O4" s="564"/>
      <c r="P4" s="564"/>
      <c r="Q4" s="564"/>
      <c r="R4" s="565"/>
      <c r="S4" s="592" t="s">
        <v>381</v>
      </c>
      <c r="T4" s="564"/>
      <c r="U4" s="565"/>
      <c r="AK4" s="606" t="s">
        <v>358</v>
      </c>
      <c r="AL4" s="602" t="s">
        <v>259</v>
      </c>
      <c r="AM4" s="597" t="s">
        <v>496</v>
      </c>
      <c r="AN4" s="565"/>
      <c r="AO4" s="604" t="s">
        <v>296</v>
      </c>
      <c r="AP4" s="565"/>
      <c r="AQ4" s="592" t="s">
        <v>381</v>
      </c>
      <c r="AR4" s="565"/>
    </row>
    <row r="5" spans="1:44" ht="27" customHeight="1" x14ac:dyDescent="0.2">
      <c r="A5" s="601"/>
      <c r="B5" s="603"/>
      <c r="C5" s="305" t="s">
        <v>330</v>
      </c>
      <c r="D5" s="113">
        <v>2012</v>
      </c>
      <c r="E5" s="113">
        <v>2013</v>
      </c>
      <c r="F5" s="113">
        <v>2014</v>
      </c>
      <c r="G5" s="113">
        <v>2015</v>
      </c>
      <c r="H5" s="113">
        <v>2016</v>
      </c>
      <c r="I5" s="119" t="s">
        <v>139</v>
      </c>
      <c r="J5" s="120" t="s">
        <v>325</v>
      </c>
      <c r="K5" s="305" t="s">
        <v>330</v>
      </c>
      <c r="L5" s="113">
        <v>2012</v>
      </c>
      <c r="M5" s="113">
        <v>2013</v>
      </c>
      <c r="N5" s="113">
        <v>2014</v>
      </c>
      <c r="O5" s="113">
        <v>2015</v>
      </c>
      <c r="P5" s="113">
        <v>2016</v>
      </c>
      <c r="Q5" s="119" t="s">
        <v>139</v>
      </c>
      <c r="R5" s="120" t="s">
        <v>325</v>
      </c>
      <c r="S5" s="309" t="s">
        <v>330</v>
      </c>
      <c r="T5" s="119" t="s">
        <v>249</v>
      </c>
      <c r="U5" s="120" t="s">
        <v>325</v>
      </c>
      <c r="AB5" s="113" t="s">
        <v>314</v>
      </c>
      <c r="AC5" s="60">
        <f t="shared" ref="AC5:AH5" si="0">D5</f>
        <v>2012</v>
      </c>
      <c r="AD5" s="60">
        <f t="shared" si="0"/>
        <v>2013</v>
      </c>
      <c r="AE5" s="60">
        <f t="shared" si="0"/>
        <v>2014</v>
      </c>
      <c r="AF5" s="60">
        <f t="shared" si="0"/>
        <v>2015</v>
      </c>
      <c r="AG5" s="60">
        <f t="shared" si="0"/>
        <v>2016</v>
      </c>
      <c r="AH5" s="60" t="str">
        <f t="shared" si="0"/>
        <v>Total</v>
      </c>
      <c r="AK5" s="607"/>
      <c r="AL5" s="605"/>
      <c r="AM5" s="119" t="s">
        <v>139</v>
      </c>
      <c r="AN5" s="120" t="s">
        <v>325</v>
      </c>
      <c r="AO5" s="119" t="s">
        <v>139</v>
      </c>
      <c r="AP5" s="120" t="s">
        <v>325</v>
      </c>
      <c r="AQ5" s="119" t="s">
        <v>249</v>
      </c>
      <c r="AR5" s="120" t="s">
        <v>325</v>
      </c>
    </row>
    <row r="6" spans="1:44" ht="12" customHeight="1" x14ac:dyDescent="0.2">
      <c r="A6" s="5" t="s">
        <v>261</v>
      </c>
      <c r="B6" s="140">
        <v>5000</v>
      </c>
      <c r="C6" s="306">
        <v>80</v>
      </c>
      <c r="D6" s="121"/>
      <c r="E6" s="121">
        <v>20</v>
      </c>
      <c r="F6" s="121">
        <v>20</v>
      </c>
      <c r="G6" s="121">
        <v>20</v>
      </c>
      <c r="H6" s="121">
        <v>20</v>
      </c>
      <c r="I6" s="122">
        <f>SUM(D6:H6)</f>
        <v>80</v>
      </c>
      <c r="J6" s="123">
        <f t="shared" ref="J6:J49" si="1">I6/I$50</f>
        <v>2.768166089965398E-2</v>
      </c>
      <c r="K6" s="306">
        <v>300</v>
      </c>
      <c r="L6" s="121">
        <v>100</v>
      </c>
      <c r="M6" s="121">
        <v>100</v>
      </c>
      <c r="N6" s="121">
        <v>100</v>
      </c>
      <c r="O6" s="121"/>
      <c r="P6" s="121"/>
      <c r="Q6" s="122">
        <f>SUM(L6:P6)</f>
        <v>300</v>
      </c>
      <c r="R6" s="123">
        <f t="shared" ref="R6:R49" si="2">Q6/Q$50</f>
        <v>0.49180327868852458</v>
      </c>
      <c r="S6" s="310">
        <f>C6+K6</f>
        <v>380</v>
      </c>
      <c r="T6" s="122">
        <f>I6+Q6</f>
        <v>380</v>
      </c>
      <c r="U6" s="123">
        <f t="shared" ref="U6:U50" si="3">T6/T$50</f>
        <v>0.10857142857142857</v>
      </c>
      <c r="V6" s="185">
        <f t="shared" ref="V6:V18" si="4">IF(A6&lt;&gt;0,1,0)</f>
        <v>1</v>
      </c>
      <c r="W6"/>
      <c r="X6"/>
      <c r="Y6"/>
      <c r="Z6"/>
      <c r="AA6"/>
      <c r="AB6" s="272" t="s">
        <v>335</v>
      </c>
      <c r="AC6" s="273">
        <f>D19</f>
        <v>50</v>
      </c>
      <c r="AD6" s="273">
        <f>E19</f>
        <v>200</v>
      </c>
      <c r="AE6" s="273">
        <f>F19</f>
        <v>260</v>
      </c>
      <c r="AF6" s="273">
        <f>G19</f>
        <v>270</v>
      </c>
      <c r="AG6" s="273">
        <f>H19</f>
        <v>330</v>
      </c>
      <c r="AH6" s="273">
        <f>SUM(AC6:AG6)</f>
        <v>1110</v>
      </c>
      <c r="AK6" s="5" t="s">
        <v>261</v>
      </c>
      <c r="AL6" s="140">
        <v>5000</v>
      </c>
      <c r="AM6" s="122">
        <f>I6</f>
        <v>80</v>
      </c>
      <c r="AN6" s="123">
        <f t="shared" ref="AN6:AN49" si="5">AM6/AM$50</f>
        <v>2.768166089965398E-2</v>
      </c>
      <c r="AO6" s="122">
        <f t="shared" ref="AO6:AO49" si="6">K6</f>
        <v>300</v>
      </c>
      <c r="AP6" s="123">
        <f t="shared" ref="AP6:AP49" si="7">AO6/AO$50</f>
        <v>0.49180327868852458</v>
      </c>
      <c r="AQ6" s="122">
        <f t="shared" ref="AQ6:AQ18" si="8">AM6+AO6</f>
        <v>380</v>
      </c>
      <c r="AR6" s="123">
        <f t="shared" ref="AR6:AR50" si="9">AQ6/AQ$50</f>
        <v>0.11176470588235295</v>
      </c>
    </row>
    <row r="7" spans="1:44" ht="12" customHeight="1" x14ac:dyDescent="0.2">
      <c r="A7" s="5" t="s">
        <v>262</v>
      </c>
      <c r="B7" s="140">
        <v>8000</v>
      </c>
      <c r="C7" s="306">
        <v>400</v>
      </c>
      <c r="D7" s="121"/>
      <c r="E7" s="121">
        <v>80</v>
      </c>
      <c r="F7" s="121">
        <v>100</v>
      </c>
      <c r="G7" s="121">
        <v>100</v>
      </c>
      <c r="H7" s="121">
        <v>120</v>
      </c>
      <c r="I7" s="122">
        <f t="shared" ref="I7:I18" si="10">SUM(D7:H7)</f>
        <v>400</v>
      </c>
      <c r="J7" s="123">
        <f t="shared" si="1"/>
        <v>0.13840830449826991</v>
      </c>
      <c r="K7" s="306">
        <v>150</v>
      </c>
      <c r="L7" s="121">
        <v>20</v>
      </c>
      <c r="M7" s="121">
        <v>30</v>
      </c>
      <c r="N7" s="121">
        <v>50</v>
      </c>
      <c r="O7" s="121">
        <v>50</v>
      </c>
      <c r="P7" s="121"/>
      <c r="Q7" s="122">
        <f t="shared" ref="Q7:Q18" si="11">SUM(L7:P7)</f>
        <v>150</v>
      </c>
      <c r="R7" s="123">
        <f t="shared" si="2"/>
        <v>0.24590163934426229</v>
      </c>
      <c r="S7" s="310">
        <f t="shared" ref="S7:S18" si="12">C7+K7</f>
        <v>550</v>
      </c>
      <c r="T7" s="122">
        <f t="shared" ref="T7:T18" si="13">I7+Q7</f>
        <v>550</v>
      </c>
      <c r="U7" s="123">
        <f t="shared" si="3"/>
        <v>0.15714285714285714</v>
      </c>
      <c r="V7" s="185">
        <f t="shared" si="4"/>
        <v>1</v>
      </c>
      <c r="W7"/>
      <c r="X7"/>
      <c r="Y7"/>
      <c r="Z7"/>
      <c r="AA7"/>
      <c r="AB7" s="264" t="s">
        <v>162</v>
      </c>
      <c r="AC7" s="265">
        <f>D22</f>
        <v>0</v>
      </c>
      <c r="AD7" s="265">
        <f>E22</f>
        <v>0</v>
      </c>
      <c r="AE7" s="265">
        <f>F22</f>
        <v>100</v>
      </c>
      <c r="AF7" s="265">
        <f>G22</f>
        <v>170</v>
      </c>
      <c r="AG7" s="265">
        <f>H22</f>
        <v>280</v>
      </c>
      <c r="AH7" s="273">
        <f>SUM(AC7:AG7)</f>
        <v>550</v>
      </c>
      <c r="AK7" s="5" t="s">
        <v>262</v>
      </c>
      <c r="AL7" s="140">
        <v>8000</v>
      </c>
      <c r="AM7" s="122">
        <f t="shared" ref="AM7:AM49" si="14">I7</f>
        <v>400</v>
      </c>
      <c r="AN7" s="123">
        <f t="shared" si="5"/>
        <v>0.13840830449826991</v>
      </c>
      <c r="AO7" s="122">
        <f t="shared" si="6"/>
        <v>150</v>
      </c>
      <c r="AP7" s="123">
        <f t="shared" si="7"/>
        <v>0.24590163934426229</v>
      </c>
      <c r="AQ7" s="122">
        <f t="shared" si="8"/>
        <v>550</v>
      </c>
      <c r="AR7" s="123">
        <f t="shared" si="9"/>
        <v>0.16176470588235295</v>
      </c>
    </row>
    <row r="8" spans="1:44" ht="12" customHeight="1" x14ac:dyDescent="0.2">
      <c r="A8" s="5" t="s">
        <v>398</v>
      </c>
      <c r="B8" s="140">
        <v>3000</v>
      </c>
      <c r="C8" s="306">
        <v>150</v>
      </c>
      <c r="D8" s="121">
        <v>20</v>
      </c>
      <c r="E8" s="121">
        <v>20</v>
      </c>
      <c r="F8" s="121">
        <v>30</v>
      </c>
      <c r="G8" s="121">
        <v>30</v>
      </c>
      <c r="H8" s="121">
        <v>50</v>
      </c>
      <c r="I8" s="122">
        <f t="shared" si="10"/>
        <v>150</v>
      </c>
      <c r="J8" s="123">
        <f t="shared" si="1"/>
        <v>5.1903114186851208E-2</v>
      </c>
      <c r="K8" s="306">
        <v>160</v>
      </c>
      <c r="L8" s="121">
        <v>40</v>
      </c>
      <c r="M8" s="121">
        <v>60</v>
      </c>
      <c r="N8" s="121">
        <v>30</v>
      </c>
      <c r="O8" s="121">
        <v>30</v>
      </c>
      <c r="P8" s="121"/>
      <c r="Q8" s="122">
        <f t="shared" si="11"/>
        <v>160</v>
      </c>
      <c r="R8" s="123">
        <f t="shared" si="2"/>
        <v>0.26229508196721313</v>
      </c>
      <c r="S8" s="310">
        <f t="shared" si="12"/>
        <v>310</v>
      </c>
      <c r="T8" s="122">
        <f t="shared" si="13"/>
        <v>310</v>
      </c>
      <c r="U8" s="123">
        <f t="shared" si="3"/>
        <v>8.8571428571428565E-2</v>
      </c>
      <c r="V8" s="185">
        <f t="shared" si="4"/>
        <v>1</v>
      </c>
      <c r="W8"/>
      <c r="X8"/>
      <c r="Y8"/>
      <c r="Z8"/>
      <c r="AA8"/>
      <c r="AB8" s="264" t="s">
        <v>341</v>
      </c>
      <c r="AC8" s="265">
        <f>D33</f>
        <v>30</v>
      </c>
      <c r="AD8" s="265">
        <f>E33</f>
        <v>130</v>
      </c>
      <c r="AE8" s="265">
        <f>F33</f>
        <v>190</v>
      </c>
      <c r="AF8" s="265">
        <f>G33</f>
        <v>240</v>
      </c>
      <c r="AG8" s="265">
        <f>H33</f>
        <v>190</v>
      </c>
      <c r="AH8" s="273">
        <f>SUM(AC8:AG8)</f>
        <v>780</v>
      </c>
      <c r="AK8" s="5" t="s">
        <v>398</v>
      </c>
      <c r="AL8" s="140">
        <v>3000</v>
      </c>
      <c r="AM8" s="122">
        <f t="shared" si="14"/>
        <v>150</v>
      </c>
      <c r="AN8" s="123">
        <f t="shared" si="5"/>
        <v>5.1903114186851208E-2</v>
      </c>
      <c r="AO8" s="122">
        <f t="shared" si="6"/>
        <v>160</v>
      </c>
      <c r="AP8" s="123">
        <f t="shared" si="7"/>
        <v>0.26229508196721313</v>
      </c>
      <c r="AQ8" s="122">
        <f t="shared" si="8"/>
        <v>310</v>
      </c>
      <c r="AR8" s="123">
        <f t="shared" si="9"/>
        <v>9.1176470588235289E-2</v>
      </c>
    </row>
    <row r="9" spans="1:44" ht="12" customHeight="1" x14ac:dyDescent="0.2">
      <c r="A9" s="5" t="s">
        <v>399</v>
      </c>
      <c r="B9" s="140">
        <v>4000</v>
      </c>
      <c r="C9" s="306"/>
      <c r="D9" s="121"/>
      <c r="E9" s="121"/>
      <c r="F9" s="121"/>
      <c r="G9" s="121"/>
      <c r="H9" s="121"/>
      <c r="I9" s="122">
        <f t="shared" si="10"/>
        <v>0</v>
      </c>
      <c r="J9" s="123">
        <f t="shared" si="1"/>
        <v>0</v>
      </c>
      <c r="K9" s="306"/>
      <c r="L9" s="121"/>
      <c r="M9" s="121"/>
      <c r="N9" s="121"/>
      <c r="O9" s="121"/>
      <c r="P9" s="121"/>
      <c r="Q9" s="122">
        <f t="shared" si="11"/>
        <v>0</v>
      </c>
      <c r="R9" s="123">
        <f t="shared" si="2"/>
        <v>0</v>
      </c>
      <c r="S9" s="310">
        <f t="shared" si="12"/>
        <v>0</v>
      </c>
      <c r="T9" s="122">
        <f t="shared" si="13"/>
        <v>0</v>
      </c>
      <c r="U9" s="123">
        <f t="shared" si="3"/>
        <v>0</v>
      </c>
      <c r="V9" s="185">
        <f t="shared" si="4"/>
        <v>1</v>
      </c>
      <c r="W9"/>
      <c r="X9"/>
      <c r="Y9"/>
      <c r="Z9"/>
      <c r="AA9"/>
      <c r="AB9" s="264" t="s">
        <v>117</v>
      </c>
      <c r="AC9" s="265">
        <f>D41</f>
        <v>0</v>
      </c>
      <c r="AD9" s="265">
        <f>E41</f>
        <v>90</v>
      </c>
      <c r="AE9" s="265">
        <f>F41</f>
        <v>100</v>
      </c>
      <c r="AF9" s="265">
        <f>G41</f>
        <v>120</v>
      </c>
      <c r="AG9" s="265">
        <f>H41</f>
        <v>90</v>
      </c>
      <c r="AH9" s="273">
        <f>SUM(AC9:AG9)</f>
        <v>400</v>
      </c>
      <c r="AK9" s="5" t="s">
        <v>399</v>
      </c>
      <c r="AL9" s="140">
        <v>4000</v>
      </c>
      <c r="AM9" s="122">
        <f t="shared" si="14"/>
        <v>0</v>
      </c>
      <c r="AN9" s="123">
        <f t="shared" si="5"/>
        <v>0</v>
      </c>
      <c r="AO9" s="122">
        <f t="shared" si="6"/>
        <v>0</v>
      </c>
      <c r="AP9" s="123">
        <f t="shared" si="7"/>
        <v>0</v>
      </c>
      <c r="AQ9" s="122">
        <f t="shared" si="8"/>
        <v>0</v>
      </c>
      <c r="AR9" s="123">
        <f t="shared" si="9"/>
        <v>0</v>
      </c>
    </row>
    <row r="10" spans="1:44" ht="12" customHeight="1" x14ac:dyDescent="0.2">
      <c r="A10" s="5" t="s">
        <v>363</v>
      </c>
      <c r="B10" s="140">
        <v>3000</v>
      </c>
      <c r="C10" s="306">
        <v>120</v>
      </c>
      <c r="D10" s="121"/>
      <c r="E10" s="121">
        <v>30</v>
      </c>
      <c r="F10" s="121">
        <v>30</v>
      </c>
      <c r="G10" s="121">
        <v>30</v>
      </c>
      <c r="H10" s="121">
        <v>30</v>
      </c>
      <c r="I10" s="122">
        <f t="shared" si="10"/>
        <v>120</v>
      </c>
      <c r="J10" s="123">
        <f t="shared" si="1"/>
        <v>4.1522491349480967E-2</v>
      </c>
      <c r="K10" s="306"/>
      <c r="L10" s="121"/>
      <c r="M10" s="121"/>
      <c r="N10" s="121"/>
      <c r="O10" s="121"/>
      <c r="P10" s="121"/>
      <c r="Q10" s="122">
        <f t="shared" si="11"/>
        <v>0</v>
      </c>
      <c r="R10" s="123">
        <f t="shared" si="2"/>
        <v>0</v>
      </c>
      <c r="S10" s="310">
        <f t="shared" si="12"/>
        <v>120</v>
      </c>
      <c r="T10" s="122">
        <f t="shared" si="13"/>
        <v>120</v>
      </c>
      <c r="U10" s="123">
        <f t="shared" si="3"/>
        <v>3.4285714285714287E-2</v>
      </c>
      <c r="V10" s="185">
        <f t="shared" si="4"/>
        <v>1</v>
      </c>
      <c r="W10"/>
      <c r="X10"/>
      <c r="Y10"/>
      <c r="Z10"/>
      <c r="AA10"/>
      <c r="AB10" s="264" t="s">
        <v>402</v>
      </c>
      <c r="AC10" s="265">
        <f>D49</f>
        <v>0</v>
      </c>
      <c r="AD10" s="265">
        <f>E49</f>
        <v>20</v>
      </c>
      <c r="AE10" s="265">
        <f>F49</f>
        <v>20</v>
      </c>
      <c r="AF10" s="265">
        <f>G49</f>
        <v>10</v>
      </c>
      <c r="AG10" s="265">
        <f>H49</f>
        <v>0</v>
      </c>
      <c r="AH10" s="273">
        <f>SUM(AC10:AG10)</f>
        <v>50</v>
      </c>
      <c r="AK10" s="5" t="s">
        <v>363</v>
      </c>
      <c r="AL10" s="140">
        <v>3000</v>
      </c>
      <c r="AM10" s="122">
        <f t="shared" si="14"/>
        <v>120</v>
      </c>
      <c r="AN10" s="123">
        <f t="shared" si="5"/>
        <v>4.1522491349480967E-2</v>
      </c>
      <c r="AO10" s="122">
        <f t="shared" si="6"/>
        <v>0</v>
      </c>
      <c r="AP10" s="123">
        <f t="shared" si="7"/>
        <v>0</v>
      </c>
      <c r="AQ10" s="122">
        <f t="shared" si="8"/>
        <v>120</v>
      </c>
      <c r="AR10" s="123">
        <f t="shared" si="9"/>
        <v>3.5294117647058823E-2</v>
      </c>
    </row>
    <row r="11" spans="1:44" ht="12" customHeight="1" x14ac:dyDescent="0.2">
      <c r="A11" s="5" t="s">
        <v>351</v>
      </c>
      <c r="B11" s="140">
        <v>500</v>
      </c>
      <c r="C11" s="306"/>
      <c r="D11" s="121"/>
      <c r="E11" s="121"/>
      <c r="F11" s="121"/>
      <c r="G11" s="121"/>
      <c r="H11" s="121"/>
      <c r="I11" s="122">
        <f t="shared" si="10"/>
        <v>0</v>
      </c>
      <c r="J11" s="123">
        <f t="shared" si="1"/>
        <v>0</v>
      </c>
      <c r="K11" s="306"/>
      <c r="L11" s="121"/>
      <c r="M11" s="121"/>
      <c r="N11" s="121"/>
      <c r="O11" s="121"/>
      <c r="P11" s="121"/>
      <c r="Q11" s="122">
        <f t="shared" si="11"/>
        <v>0</v>
      </c>
      <c r="R11" s="123">
        <f t="shared" si="2"/>
        <v>0</v>
      </c>
      <c r="S11" s="310">
        <f t="shared" si="12"/>
        <v>0</v>
      </c>
      <c r="T11" s="122">
        <f t="shared" si="13"/>
        <v>0</v>
      </c>
      <c r="U11" s="123">
        <f t="shared" si="3"/>
        <v>0</v>
      </c>
      <c r="V11" s="185">
        <f t="shared" si="4"/>
        <v>1</v>
      </c>
      <c r="W11"/>
      <c r="X11"/>
      <c r="Y11"/>
      <c r="Z11"/>
      <c r="AA11"/>
      <c r="AB11" s="264" t="s">
        <v>217</v>
      </c>
      <c r="AC11" s="274">
        <f t="shared" ref="AC11:AH11" si="15">SUM(AC6:AC10)</f>
        <v>80</v>
      </c>
      <c r="AD11" s="274">
        <f t="shared" si="15"/>
        <v>440</v>
      </c>
      <c r="AE11" s="274">
        <f t="shared" si="15"/>
        <v>670</v>
      </c>
      <c r="AF11" s="274">
        <f t="shared" si="15"/>
        <v>810</v>
      </c>
      <c r="AG11" s="274">
        <f t="shared" si="15"/>
        <v>890</v>
      </c>
      <c r="AH11" s="274">
        <f t="shared" si="15"/>
        <v>2890</v>
      </c>
      <c r="AK11" s="5" t="s">
        <v>351</v>
      </c>
      <c r="AL11" s="140">
        <v>500</v>
      </c>
      <c r="AM11" s="122">
        <f t="shared" si="14"/>
        <v>0</v>
      </c>
      <c r="AN11" s="123">
        <f t="shared" si="5"/>
        <v>0</v>
      </c>
      <c r="AO11" s="122">
        <f t="shared" si="6"/>
        <v>0</v>
      </c>
      <c r="AP11" s="123">
        <f t="shared" si="7"/>
        <v>0</v>
      </c>
      <c r="AQ11" s="122">
        <f t="shared" si="8"/>
        <v>0</v>
      </c>
      <c r="AR11" s="123">
        <f t="shared" si="9"/>
        <v>0</v>
      </c>
    </row>
    <row r="12" spans="1:44" ht="12" customHeight="1" x14ac:dyDescent="0.2">
      <c r="A12" s="5" t="s">
        <v>481</v>
      </c>
      <c r="B12" s="140">
        <v>1000</v>
      </c>
      <c r="C12" s="306"/>
      <c r="D12" s="121"/>
      <c r="E12" s="121"/>
      <c r="F12" s="121"/>
      <c r="G12" s="121"/>
      <c r="H12" s="121"/>
      <c r="I12" s="122">
        <f t="shared" si="10"/>
        <v>0</v>
      </c>
      <c r="J12" s="123">
        <f t="shared" si="1"/>
        <v>0</v>
      </c>
      <c r="K12" s="306"/>
      <c r="L12" s="121"/>
      <c r="M12" s="121"/>
      <c r="N12" s="121"/>
      <c r="O12" s="121"/>
      <c r="P12" s="121"/>
      <c r="Q12" s="122">
        <f t="shared" si="11"/>
        <v>0</v>
      </c>
      <c r="R12" s="123">
        <f t="shared" si="2"/>
        <v>0</v>
      </c>
      <c r="S12" s="310">
        <f t="shared" si="12"/>
        <v>0</v>
      </c>
      <c r="T12" s="122">
        <f t="shared" si="13"/>
        <v>0</v>
      </c>
      <c r="U12" s="123">
        <f t="shared" si="3"/>
        <v>0</v>
      </c>
      <c r="V12" s="185">
        <f t="shared" si="4"/>
        <v>1</v>
      </c>
      <c r="W12"/>
      <c r="X12"/>
      <c r="Y12"/>
      <c r="Z12"/>
      <c r="AA12"/>
      <c r="AK12" s="5" t="s">
        <v>481</v>
      </c>
      <c r="AL12" s="140">
        <v>1000</v>
      </c>
      <c r="AM12" s="122">
        <f t="shared" si="14"/>
        <v>0</v>
      </c>
      <c r="AN12" s="123">
        <f t="shared" si="5"/>
        <v>0</v>
      </c>
      <c r="AO12" s="122">
        <f t="shared" si="6"/>
        <v>0</v>
      </c>
      <c r="AP12" s="123">
        <f t="shared" si="7"/>
        <v>0</v>
      </c>
      <c r="AQ12" s="122">
        <f t="shared" si="8"/>
        <v>0</v>
      </c>
      <c r="AR12" s="123">
        <f t="shared" si="9"/>
        <v>0</v>
      </c>
    </row>
    <row r="13" spans="1:44" ht="12" customHeight="1" x14ac:dyDescent="0.2">
      <c r="A13" s="5" t="s">
        <v>323</v>
      </c>
      <c r="B13" s="140" t="s">
        <v>313</v>
      </c>
      <c r="C13" s="306">
        <v>150</v>
      </c>
      <c r="D13" s="121">
        <v>10</v>
      </c>
      <c r="E13" s="121">
        <v>20</v>
      </c>
      <c r="F13" s="121">
        <v>30</v>
      </c>
      <c r="G13" s="121">
        <v>40</v>
      </c>
      <c r="H13" s="121">
        <v>50</v>
      </c>
      <c r="I13" s="122">
        <f t="shared" si="10"/>
        <v>150</v>
      </c>
      <c r="J13" s="123">
        <f t="shared" si="1"/>
        <v>5.1903114186851208E-2</v>
      </c>
      <c r="K13" s="306"/>
      <c r="L13" s="121"/>
      <c r="M13" s="121"/>
      <c r="N13" s="121"/>
      <c r="O13" s="121"/>
      <c r="P13" s="121"/>
      <c r="Q13" s="122">
        <f t="shared" si="11"/>
        <v>0</v>
      </c>
      <c r="R13" s="123">
        <f t="shared" si="2"/>
        <v>0</v>
      </c>
      <c r="S13" s="310">
        <f t="shared" si="12"/>
        <v>150</v>
      </c>
      <c r="T13" s="122">
        <f t="shared" si="13"/>
        <v>150</v>
      </c>
      <c r="U13" s="123">
        <f t="shared" si="3"/>
        <v>4.2857142857142858E-2</v>
      </c>
      <c r="V13" s="185">
        <f t="shared" si="4"/>
        <v>1</v>
      </c>
      <c r="W13"/>
      <c r="X13"/>
      <c r="Y13"/>
      <c r="Z13"/>
      <c r="AA13"/>
      <c r="AB13" s="113" t="s">
        <v>152</v>
      </c>
      <c r="AC13" s="60">
        <f t="shared" ref="AC13:AH13" si="16">AC5</f>
        <v>2012</v>
      </c>
      <c r="AD13" s="60">
        <f t="shared" si="16"/>
        <v>2013</v>
      </c>
      <c r="AE13" s="60">
        <f t="shared" si="16"/>
        <v>2014</v>
      </c>
      <c r="AF13" s="60">
        <f t="shared" si="16"/>
        <v>2015</v>
      </c>
      <c r="AG13" s="60">
        <f t="shared" si="16"/>
        <v>2016</v>
      </c>
      <c r="AH13" s="60" t="str">
        <f t="shared" si="16"/>
        <v>Total</v>
      </c>
      <c r="AK13" s="5" t="s">
        <v>323</v>
      </c>
      <c r="AL13" s="140" t="s">
        <v>313</v>
      </c>
      <c r="AM13" s="122">
        <f t="shared" si="14"/>
        <v>150</v>
      </c>
      <c r="AN13" s="123">
        <f t="shared" si="5"/>
        <v>5.1903114186851208E-2</v>
      </c>
      <c r="AO13" s="122">
        <f t="shared" si="6"/>
        <v>0</v>
      </c>
      <c r="AP13" s="123">
        <f t="shared" si="7"/>
        <v>0</v>
      </c>
      <c r="AQ13" s="122">
        <f t="shared" si="8"/>
        <v>150</v>
      </c>
      <c r="AR13" s="123">
        <f t="shared" si="9"/>
        <v>4.4117647058823532E-2</v>
      </c>
    </row>
    <row r="14" spans="1:44" ht="12" customHeight="1" x14ac:dyDescent="0.2">
      <c r="A14" s="5" t="s">
        <v>268</v>
      </c>
      <c r="B14" s="140" t="s">
        <v>313</v>
      </c>
      <c r="C14" s="306"/>
      <c r="D14" s="121"/>
      <c r="E14" s="121"/>
      <c r="F14" s="121"/>
      <c r="G14" s="121"/>
      <c r="H14" s="121"/>
      <c r="I14" s="122">
        <f t="shared" si="10"/>
        <v>0</v>
      </c>
      <c r="J14" s="123">
        <f t="shared" si="1"/>
        <v>0</v>
      </c>
      <c r="K14" s="306"/>
      <c r="L14" s="121"/>
      <c r="M14" s="121"/>
      <c r="N14" s="121"/>
      <c r="O14" s="121"/>
      <c r="P14" s="121"/>
      <c r="Q14" s="122">
        <f t="shared" si="11"/>
        <v>0</v>
      </c>
      <c r="R14" s="123">
        <f t="shared" si="2"/>
        <v>0</v>
      </c>
      <c r="S14" s="310">
        <f t="shared" si="12"/>
        <v>0</v>
      </c>
      <c r="T14" s="122">
        <f t="shared" si="13"/>
        <v>0</v>
      </c>
      <c r="U14" s="123">
        <f t="shared" si="3"/>
        <v>0</v>
      </c>
      <c r="V14" s="185">
        <f t="shared" si="4"/>
        <v>1</v>
      </c>
      <c r="W14"/>
      <c r="X14"/>
      <c r="Y14"/>
      <c r="Z14"/>
      <c r="AA14"/>
      <c r="AB14" s="272" t="s">
        <v>335</v>
      </c>
      <c r="AC14" s="273">
        <f>L19</f>
        <v>160</v>
      </c>
      <c r="AD14" s="273">
        <f>M19</f>
        <v>190</v>
      </c>
      <c r="AE14" s="273">
        <f>N19</f>
        <v>180</v>
      </c>
      <c r="AF14" s="273">
        <f>O19</f>
        <v>80</v>
      </c>
      <c r="AG14" s="273">
        <f>P19</f>
        <v>0</v>
      </c>
      <c r="AH14" s="273">
        <f>SUM(AC14:AG14)</f>
        <v>610</v>
      </c>
      <c r="AK14" s="5" t="s">
        <v>268</v>
      </c>
      <c r="AL14" s="140" t="s">
        <v>313</v>
      </c>
      <c r="AM14" s="122">
        <f t="shared" si="14"/>
        <v>0</v>
      </c>
      <c r="AN14" s="123">
        <f t="shared" si="5"/>
        <v>0</v>
      </c>
      <c r="AO14" s="122">
        <f t="shared" si="6"/>
        <v>0</v>
      </c>
      <c r="AP14" s="123">
        <f t="shared" si="7"/>
        <v>0</v>
      </c>
      <c r="AQ14" s="122">
        <f t="shared" si="8"/>
        <v>0</v>
      </c>
      <c r="AR14" s="123">
        <f t="shared" si="9"/>
        <v>0</v>
      </c>
    </row>
    <row r="15" spans="1:44" ht="12" customHeight="1" x14ac:dyDescent="0.2">
      <c r="A15" s="5" t="s">
        <v>324</v>
      </c>
      <c r="B15" s="140" t="s">
        <v>313</v>
      </c>
      <c r="C15" s="306"/>
      <c r="D15" s="121"/>
      <c r="E15" s="121"/>
      <c r="F15" s="121"/>
      <c r="G15" s="121"/>
      <c r="H15" s="121"/>
      <c r="I15" s="122">
        <f t="shared" si="10"/>
        <v>0</v>
      </c>
      <c r="J15" s="123">
        <f t="shared" si="1"/>
        <v>0</v>
      </c>
      <c r="K15" s="306"/>
      <c r="L15" s="121"/>
      <c r="M15" s="121"/>
      <c r="N15" s="121"/>
      <c r="O15" s="121"/>
      <c r="P15" s="121"/>
      <c r="Q15" s="122">
        <f t="shared" si="11"/>
        <v>0</v>
      </c>
      <c r="R15" s="123">
        <f t="shared" si="2"/>
        <v>0</v>
      </c>
      <c r="S15" s="310">
        <f t="shared" si="12"/>
        <v>0</v>
      </c>
      <c r="T15" s="122">
        <f t="shared" si="13"/>
        <v>0</v>
      </c>
      <c r="U15" s="123">
        <f t="shared" si="3"/>
        <v>0</v>
      </c>
      <c r="V15" s="185">
        <f t="shared" si="4"/>
        <v>1</v>
      </c>
      <c r="W15"/>
      <c r="X15"/>
      <c r="Y15"/>
      <c r="Z15"/>
      <c r="AA15"/>
      <c r="AB15" s="264" t="s">
        <v>162</v>
      </c>
      <c r="AC15" s="265">
        <f>L22</f>
        <v>0</v>
      </c>
      <c r="AD15" s="265">
        <f>M22</f>
        <v>0</v>
      </c>
      <c r="AE15" s="265">
        <f>N22</f>
        <v>0</v>
      </c>
      <c r="AF15" s="265">
        <f>O22</f>
        <v>0</v>
      </c>
      <c r="AG15" s="265">
        <f>P22</f>
        <v>0</v>
      </c>
      <c r="AH15" s="273">
        <f>SUM(AC15:AG15)</f>
        <v>0</v>
      </c>
      <c r="AK15" s="5" t="s">
        <v>324</v>
      </c>
      <c r="AL15" s="140" t="s">
        <v>313</v>
      </c>
      <c r="AM15" s="122">
        <f t="shared" si="14"/>
        <v>0</v>
      </c>
      <c r="AN15" s="123">
        <f t="shared" si="5"/>
        <v>0</v>
      </c>
      <c r="AO15" s="122">
        <f t="shared" si="6"/>
        <v>0</v>
      </c>
      <c r="AP15" s="123">
        <f t="shared" si="7"/>
        <v>0</v>
      </c>
      <c r="AQ15" s="122">
        <f t="shared" si="8"/>
        <v>0</v>
      </c>
      <c r="AR15" s="123">
        <f t="shared" si="9"/>
        <v>0</v>
      </c>
    </row>
    <row r="16" spans="1:44" ht="12" customHeight="1" x14ac:dyDescent="0.2">
      <c r="A16" s="5" t="s">
        <v>267</v>
      </c>
      <c r="B16" s="140">
        <v>3000</v>
      </c>
      <c r="C16" s="306">
        <v>150</v>
      </c>
      <c r="D16" s="121">
        <v>20</v>
      </c>
      <c r="E16" s="121">
        <v>30</v>
      </c>
      <c r="F16" s="121">
        <v>30</v>
      </c>
      <c r="G16" s="121">
        <v>30</v>
      </c>
      <c r="H16" s="121">
        <v>40</v>
      </c>
      <c r="I16" s="122">
        <f t="shared" si="10"/>
        <v>150</v>
      </c>
      <c r="J16" s="123">
        <f t="shared" si="1"/>
        <v>5.1903114186851208E-2</v>
      </c>
      <c r="K16" s="306"/>
      <c r="L16" s="121"/>
      <c r="M16" s="121"/>
      <c r="N16" s="121"/>
      <c r="O16" s="121"/>
      <c r="P16" s="121"/>
      <c r="Q16" s="122">
        <f t="shared" si="11"/>
        <v>0</v>
      </c>
      <c r="R16" s="123">
        <f t="shared" si="2"/>
        <v>0</v>
      </c>
      <c r="S16" s="310">
        <f t="shared" si="12"/>
        <v>150</v>
      </c>
      <c r="T16" s="122">
        <f t="shared" si="13"/>
        <v>150</v>
      </c>
      <c r="U16" s="123">
        <f t="shared" si="3"/>
        <v>4.2857142857142858E-2</v>
      </c>
      <c r="V16" s="185">
        <f t="shared" si="4"/>
        <v>1</v>
      </c>
      <c r="W16"/>
      <c r="X16"/>
      <c r="Y16"/>
      <c r="Z16"/>
      <c r="AA16"/>
      <c r="AB16" s="264" t="s">
        <v>341</v>
      </c>
      <c r="AC16" s="265">
        <f>L33</f>
        <v>0</v>
      </c>
      <c r="AD16" s="265">
        <f>M33</f>
        <v>0</v>
      </c>
      <c r="AE16" s="265">
        <f>N33</f>
        <v>0</v>
      </c>
      <c r="AF16" s="265">
        <f>O33</f>
        <v>0</v>
      </c>
      <c r="AG16" s="265">
        <f>P33</f>
        <v>0</v>
      </c>
      <c r="AH16" s="273">
        <f>SUM(AC16:AG16)</f>
        <v>0</v>
      </c>
      <c r="AK16" s="5" t="s">
        <v>267</v>
      </c>
      <c r="AL16" s="140">
        <v>3000</v>
      </c>
      <c r="AM16" s="122">
        <f t="shared" si="14"/>
        <v>150</v>
      </c>
      <c r="AN16" s="123">
        <f t="shared" si="5"/>
        <v>5.1903114186851208E-2</v>
      </c>
      <c r="AO16" s="122">
        <f t="shared" si="6"/>
        <v>0</v>
      </c>
      <c r="AP16" s="123">
        <f t="shared" si="7"/>
        <v>0</v>
      </c>
      <c r="AQ16" s="122">
        <f t="shared" si="8"/>
        <v>150</v>
      </c>
      <c r="AR16" s="123">
        <f t="shared" si="9"/>
        <v>4.4117647058823532E-2</v>
      </c>
    </row>
    <row r="17" spans="1:44" ht="12" customHeight="1" x14ac:dyDescent="0.2">
      <c r="A17" s="5" t="s">
        <v>234</v>
      </c>
      <c r="B17" s="140" t="s">
        <v>313</v>
      </c>
      <c r="C17" s="306"/>
      <c r="D17" s="121"/>
      <c r="E17" s="121"/>
      <c r="F17" s="121"/>
      <c r="G17" s="121"/>
      <c r="H17" s="121"/>
      <c r="I17" s="122">
        <f t="shared" si="10"/>
        <v>0</v>
      </c>
      <c r="J17" s="123">
        <f t="shared" si="1"/>
        <v>0</v>
      </c>
      <c r="K17" s="306"/>
      <c r="L17" s="121"/>
      <c r="M17" s="121"/>
      <c r="N17" s="121"/>
      <c r="O17" s="121"/>
      <c r="P17" s="121"/>
      <c r="Q17" s="122">
        <f t="shared" si="11"/>
        <v>0</v>
      </c>
      <c r="R17" s="123">
        <f t="shared" si="2"/>
        <v>0</v>
      </c>
      <c r="S17" s="310">
        <f t="shared" si="12"/>
        <v>0</v>
      </c>
      <c r="T17" s="122">
        <f t="shared" si="13"/>
        <v>0</v>
      </c>
      <c r="U17" s="123">
        <f t="shared" si="3"/>
        <v>0</v>
      </c>
      <c r="V17" s="185">
        <f t="shared" si="4"/>
        <v>1</v>
      </c>
      <c r="W17"/>
      <c r="X17"/>
      <c r="Y17"/>
      <c r="Z17"/>
      <c r="AA17"/>
      <c r="AB17" s="264" t="s">
        <v>117</v>
      </c>
      <c r="AC17" s="265">
        <f>L41</f>
        <v>0</v>
      </c>
      <c r="AD17" s="265">
        <f>M41</f>
        <v>0</v>
      </c>
      <c r="AE17" s="265">
        <f>N41</f>
        <v>0</v>
      </c>
      <c r="AF17" s="265">
        <f>O41</f>
        <v>0</v>
      </c>
      <c r="AG17" s="265">
        <f>P41</f>
        <v>0</v>
      </c>
      <c r="AH17" s="273">
        <f>SUM(AC17:AG17)</f>
        <v>0</v>
      </c>
      <c r="AK17" s="5" t="s">
        <v>234</v>
      </c>
      <c r="AL17" s="140" t="s">
        <v>313</v>
      </c>
      <c r="AM17" s="122">
        <f t="shared" si="14"/>
        <v>0</v>
      </c>
      <c r="AN17" s="123">
        <f t="shared" si="5"/>
        <v>0</v>
      </c>
      <c r="AO17" s="122">
        <f t="shared" si="6"/>
        <v>0</v>
      </c>
      <c r="AP17" s="123">
        <f t="shared" si="7"/>
        <v>0</v>
      </c>
      <c r="AQ17" s="122">
        <f t="shared" si="8"/>
        <v>0</v>
      </c>
      <c r="AR17" s="123">
        <f t="shared" si="9"/>
        <v>0</v>
      </c>
    </row>
    <row r="18" spans="1:44" ht="12" customHeight="1" x14ac:dyDescent="0.2">
      <c r="A18" s="5" t="s">
        <v>401</v>
      </c>
      <c r="B18" s="140" t="s">
        <v>313</v>
      </c>
      <c r="C18" s="306">
        <v>60</v>
      </c>
      <c r="D18" s="121"/>
      <c r="E18" s="121"/>
      <c r="F18" s="121">
        <v>20</v>
      </c>
      <c r="G18" s="121">
        <v>20</v>
      </c>
      <c r="H18" s="121">
        <v>20</v>
      </c>
      <c r="I18" s="122">
        <f t="shared" si="10"/>
        <v>60</v>
      </c>
      <c r="J18" s="123">
        <f t="shared" si="1"/>
        <v>2.0761245674740483E-2</v>
      </c>
      <c r="K18" s="306"/>
      <c r="L18" s="121"/>
      <c r="M18" s="121"/>
      <c r="N18" s="121"/>
      <c r="O18" s="121"/>
      <c r="P18" s="121"/>
      <c r="Q18" s="122">
        <f t="shared" si="11"/>
        <v>0</v>
      </c>
      <c r="R18" s="123">
        <f t="shared" si="2"/>
        <v>0</v>
      </c>
      <c r="S18" s="310">
        <f t="shared" si="12"/>
        <v>60</v>
      </c>
      <c r="T18" s="122">
        <f t="shared" si="13"/>
        <v>60</v>
      </c>
      <c r="U18" s="123">
        <f t="shared" si="3"/>
        <v>1.7142857142857144E-2</v>
      </c>
      <c r="V18" s="185">
        <f t="shared" si="4"/>
        <v>1</v>
      </c>
      <c r="W18"/>
      <c r="X18"/>
      <c r="Y18"/>
      <c r="Z18"/>
      <c r="AA18"/>
      <c r="AB18" s="264" t="s">
        <v>402</v>
      </c>
      <c r="AC18" s="265">
        <f>L49</f>
        <v>0</v>
      </c>
      <c r="AD18" s="265">
        <f>M49</f>
        <v>0</v>
      </c>
      <c r="AE18" s="265">
        <f>N49</f>
        <v>0</v>
      </c>
      <c r="AF18" s="265">
        <f>O49</f>
        <v>0</v>
      </c>
      <c r="AG18" s="265">
        <f>P49</f>
        <v>0</v>
      </c>
      <c r="AH18" s="273">
        <f>SUM(AC18:AG18)</f>
        <v>0</v>
      </c>
      <c r="AK18" s="5" t="s">
        <v>401</v>
      </c>
      <c r="AL18" s="140" t="s">
        <v>313</v>
      </c>
      <c r="AM18" s="122">
        <f t="shared" si="14"/>
        <v>60</v>
      </c>
      <c r="AN18" s="123">
        <f t="shared" si="5"/>
        <v>2.0761245674740483E-2</v>
      </c>
      <c r="AO18" s="122">
        <f t="shared" si="6"/>
        <v>0</v>
      </c>
      <c r="AP18" s="123">
        <f t="shared" si="7"/>
        <v>0</v>
      </c>
      <c r="AQ18" s="122">
        <f t="shared" si="8"/>
        <v>60</v>
      </c>
      <c r="AR18" s="123">
        <f t="shared" si="9"/>
        <v>1.7647058823529412E-2</v>
      </c>
    </row>
    <row r="19" spans="1:44" ht="12" customHeight="1" x14ac:dyDescent="0.2">
      <c r="A19" s="126" t="s">
        <v>345</v>
      </c>
      <c r="B19" s="139">
        <f t="shared" ref="B19:I19" si="17">SUM(B6:B18)</f>
        <v>27500</v>
      </c>
      <c r="C19" s="307">
        <f t="shared" si="17"/>
        <v>1110</v>
      </c>
      <c r="D19" s="127">
        <f t="shared" si="17"/>
        <v>50</v>
      </c>
      <c r="E19" s="127">
        <f t="shared" si="17"/>
        <v>200</v>
      </c>
      <c r="F19" s="127">
        <f t="shared" si="17"/>
        <v>260</v>
      </c>
      <c r="G19" s="127">
        <f t="shared" si="17"/>
        <v>270</v>
      </c>
      <c r="H19" s="127">
        <f t="shared" si="17"/>
        <v>330</v>
      </c>
      <c r="I19" s="127">
        <f t="shared" si="17"/>
        <v>1110</v>
      </c>
      <c r="J19" s="128">
        <f t="shared" si="1"/>
        <v>0.38408304498269896</v>
      </c>
      <c r="K19" s="307">
        <f>SUM(K6:K18)</f>
        <v>610</v>
      </c>
      <c r="L19" s="127">
        <f t="shared" ref="L19:Q19" si="18">SUM(L6:L18)</f>
        <v>160</v>
      </c>
      <c r="M19" s="127">
        <f t="shared" si="18"/>
        <v>190</v>
      </c>
      <c r="N19" s="127">
        <f t="shared" si="18"/>
        <v>180</v>
      </c>
      <c r="O19" s="127">
        <f t="shared" si="18"/>
        <v>80</v>
      </c>
      <c r="P19" s="127">
        <f t="shared" si="18"/>
        <v>0</v>
      </c>
      <c r="Q19" s="127">
        <f t="shared" si="18"/>
        <v>610</v>
      </c>
      <c r="R19" s="128">
        <f t="shared" si="2"/>
        <v>1</v>
      </c>
      <c r="S19" s="307">
        <f>SUM(S6:S18)</f>
        <v>1720</v>
      </c>
      <c r="T19" s="127">
        <f>SUM(T6:T18)</f>
        <v>1720</v>
      </c>
      <c r="U19" s="128">
        <f t="shared" si="3"/>
        <v>0.49142857142857144</v>
      </c>
      <c r="V19" s="3">
        <f>SUM(V6:V18)</f>
        <v>13</v>
      </c>
      <c r="W19"/>
      <c r="X19"/>
      <c r="Y19"/>
      <c r="Z19"/>
      <c r="AA19"/>
      <c r="AB19" s="264" t="s">
        <v>217</v>
      </c>
      <c r="AC19" s="274">
        <f t="shared" ref="AC19:AH19" si="19">SUM(AC14:AC18)</f>
        <v>160</v>
      </c>
      <c r="AD19" s="274">
        <f t="shared" si="19"/>
        <v>190</v>
      </c>
      <c r="AE19" s="274">
        <f t="shared" si="19"/>
        <v>180</v>
      </c>
      <c r="AF19" s="274">
        <f t="shared" si="19"/>
        <v>80</v>
      </c>
      <c r="AG19" s="274">
        <f t="shared" si="19"/>
        <v>0</v>
      </c>
      <c r="AH19" s="274">
        <f t="shared" si="19"/>
        <v>610</v>
      </c>
      <c r="AK19" s="126" t="s">
        <v>345</v>
      </c>
      <c r="AL19" s="139">
        <f>SUM(AL6:AL18)</f>
        <v>27500</v>
      </c>
      <c r="AM19" s="127">
        <f t="shared" si="14"/>
        <v>1110</v>
      </c>
      <c r="AN19" s="128">
        <f t="shared" si="5"/>
        <v>0.38408304498269896</v>
      </c>
      <c r="AO19" s="127">
        <f t="shared" si="6"/>
        <v>610</v>
      </c>
      <c r="AP19" s="128">
        <f t="shared" si="7"/>
        <v>1</v>
      </c>
      <c r="AQ19" s="127">
        <f>SUM(AQ6:AQ18)</f>
        <v>1720</v>
      </c>
      <c r="AR19" s="128">
        <f t="shared" si="9"/>
        <v>0.50588235294117645</v>
      </c>
    </row>
    <row r="20" spans="1:44" x14ac:dyDescent="0.2">
      <c r="A20" s="5" t="s">
        <v>326</v>
      </c>
      <c r="B20" s="140">
        <v>90000</v>
      </c>
      <c r="C20" s="306">
        <v>400</v>
      </c>
      <c r="D20" s="121"/>
      <c r="E20" s="121"/>
      <c r="F20" s="121">
        <v>80</v>
      </c>
      <c r="G20" s="121">
        <v>120</v>
      </c>
      <c r="H20" s="121">
        <v>200</v>
      </c>
      <c r="I20" s="122">
        <f>SUM(D20:H20)</f>
        <v>400</v>
      </c>
      <c r="J20" s="123">
        <f t="shared" si="1"/>
        <v>0.13840830449826991</v>
      </c>
      <c r="K20" s="306"/>
      <c r="L20" s="121"/>
      <c r="M20" s="121"/>
      <c r="N20" s="121"/>
      <c r="O20" s="121"/>
      <c r="P20" s="121"/>
      <c r="Q20" s="122">
        <f>SUM(L20:P20)</f>
        <v>0</v>
      </c>
      <c r="R20" s="123">
        <f t="shared" si="2"/>
        <v>0</v>
      </c>
      <c r="S20" s="310">
        <f>C20+K20</f>
        <v>400</v>
      </c>
      <c r="T20" s="122">
        <f>I20+Q20</f>
        <v>400</v>
      </c>
      <c r="U20" s="123">
        <f t="shared" si="3"/>
        <v>0.11428571428571428</v>
      </c>
      <c r="V20" s="185">
        <f>IF(A20&lt;&gt;0,1,0)</f>
        <v>1</v>
      </c>
      <c r="AK20" s="5" t="s">
        <v>326</v>
      </c>
      <c r="AL20" s="140">
        <v>90000</v>
      </c>
      <c r="AM20" s="122">
        <f t="shared" si="14"/>
        <v>400</v>
      </c>
      <c r="AN20" s="123">
        <f t="shared" si="5"/>
        <v>0.13840830449826991</v>
      </c>
      <c r="AO20" s="122">
        <f t="shared" si="6"/>
        <v>0</v>
      </c>
      <c r="AP20" s="123">
        <f t="shared" si="7"/>
        <v>0</v>
      </c>
      <c r="AQ20" s="122">
        <f>AM20+AO20</f>
        <v>400</v>
      </c>
      <c r="AR20" s="123">
        <f t="shared" si="9"/>
        <v>0.11764705882352941</v>
      </c>
    </row>
    <row r="21" spans="1:44" x14ac:dyDescent="0.2">
      <c r="A21" s="5" t="s">
        <v>327</v>
      </c>
      <c r="B21" s="140" t="s">
        <v>135</v>
      </c>
      <c r="C21" s="306">
        <v>150</v>
      </c>
      <c r="D21" s="121"/>
      <c r="E21" s="121"/>
      <c r="F21" s="121">
        <v>20</v>
      </c>
      <c r="G21" s="121">
        <v>50</v>
      </c>
      <c r="H21" s="121">
        <v>80</v>
      </c>
      <c r="I21" s="122">
        <f>SUM(D21:H21)</f>
        <v>150</v>
      </c>
      <c r="J21" s="123">
        <f t="shared" si="1"/>
        <v>5.1903114186851208E-2</v>
      </c>
      <c r="K21" s="306"/>
      <c r="L21" s="121"/>
      <c r="M21" s="121"/>
      <c r="N21" s="121"/>
      <c r="O21" s="121"/>
      <c r="P21" s="121"/>
      <c r="Q21" s="122">
        <f>SUM(L21:P21)</f>
        <v>0</v>
      </c>
      <c r="R21" s="123">
        <f t="shared" si="2"/>
        <v>0</v>
      </c>
      <c r="S21" s="310">
        <f>C21+K21</f>
        <v>150</v>
      </c>
      <c r="T21" s="122">
        <f>I21+Q21</f>
        <v>150</v>
      </c>
      <c r="U21" s="123">
        <f t="shared" si="3"/>
        <v>4.2857142857142858E-2</v>
      </c>
      <c r="V21" s="185">
        <f>IF(A21&lt;&gt;0,1,0)</f>
        <v>1</v>
      </c>
      <c r="AK21" s="5" t="s">
        <v>327</v>
      </c>
      <c r="AL21" s="140" t="s">
        <v>135</v>
      </c>
      <c r="AM21" s="122">
        <f t="shared" si="14"/>
        <v>150</v>
      </c>
      <c r="AN21" s="123">
        <f t="shared" si="5"/>
        <v>5.1903114186851208E-2</v>
      </c>
      <c r="AO21" s="122">
        <f t="shared" si="6"/>
        <v>0</v>
      </c>
      <c r="AP21" s="123">
        <f t="shared" si="7"/>
        <v>0</v>
      </c>
      <c r="AQ21" s="122">
        <f>AM21+AO21</f>
        <v>150</v>
      </c>
      <c r="AR21" s="123">
        <f t="shared" si="9"/>
        <v>4.4117647058823532E-2</v>
      </c>
    </row>
    <row r="22" spans="1:44" x14ac:dyDescent="0.2">
      <c r="A22" s="126" t="s">
        <v>260</v>
      </c>
      <c r="B22" s="139">
        <f t="shared" ref="B22:I22" si="20">SUM(B20:B21)</f>
        <v>90000</v>
      </c>
      <c r="C22" s="307">
        <f t="shared" si="20"/>
        <v>550</v>
      </c>
      <c r="D22" s="127">
        <f t="shared" si="20"/>
        <v>0</v>
      </c>
      <c r="E22" s="127">
        <f t="shared" si="20"/>
        <v>0</v>
      </c>
      <c r="F22" s="127">
        <f t="shared" si="20"/>
        <v>100</v>
      </c>
      <c r="G22" s="127">
        <f t="shared" si="20"/>
        <v>170</v>
      </c>
      <c r="H22" s="127">
        <f t="shared" si="20"/>
        <v>280</v>
      </c>
      <c r="I22" s="127">
        <f t="shared" si="20"/>
        <v>550</v>
      </c>
      <c r="J22" s="128">
        <f t="shared" si="1"/>
        <v>0.19031141868512111</v>
      </c>
      <c r="K22" s="307">
        <f>SUM(K20:K21)</f>
        <v>0</v>
      </c>
      <c r="L22" s="127">
        <f t="shared" ref="L22:Q22" si="21">SUM(L20:L21)</f>
        <v>0</v>
      </c>
      <c r="M22" s="127">
        <f t="shared" si="21"/>
        <v>0</v>
      </c>
      <c r="N22" s="127">
        <f t="shared" si="21"/>
        <v>0</v>
      </c>
      <c r="O22" s="127">
        <f t="shared" si="21"/>
        <v>0</v>
      </c>
      <c r="P22" s="127">
        <f t="shared" si="21"/>
        <v>0</v>
      </c>
      <c r="Q22" s="127">
        <f t="shared" si="21"/>
        <v>0</v>
      </c>
      <c r="R22" s="128">
        <f t="shared" si="2"/>
        <v>0</v>
      </c>
      <c r="S22" s="307">
        <f>SUM(S20:S21)</f>
        <v>550</v>
      </c>
      <c r="T22" s="127">
        <f>SUM(T20:T21)</f>
        <v>550</v>
      </c>
      <c r="U22" s="128">
        <f t="shared" si="3"/>
        <v>0.15714285714285714</v>
      </c>
      <c r="V22" s="186">
        <f>SUM(V20:V21)</f>
        <v>2</v>
      </c>
      <c r="AK22" s="126" t="s">
        <v>260</v>
      </c>
      <c r="AL22" s="139">
        <f>SUM(AL20:AL21)</f>
        <v>90000</v>
      </c>
      <c r="AM22" s="127">
        <f t="shared" si="14"/>
        <v>550</v>
      </c>
      <c r="AN22" s="128">
        <f t="shared" si="5"/>
        <v>0.19031141868512111</v>
      </c>
      <c r="AO22" s="127">
        <f t="shared" si="6"/>
        <v>0</v>
      </c>
      <c r="AP22" s="128">
        <f t="shared" si="7"/>
        <v>0</v>
      </c>
      <c r="AQ22" s="127">
        <f>SUM(AQ20:AQ21)</f>
        <v>550</v>
      </c>
      <c r="AR22" s="128">
        <f t="shared" si="9"/>
        <v>0.16176470588235295</v>
      </c>
    </row>
    <row r="23" spans="1:44" x14ac:dyDescent="0.2">
      <c r="A23" s="5" t="s">
        <v>328</v>
      </c>
      <c r="B23" s="140">
        <v>200</v>
      </c>
      <c r="C23" s="306">
        <v>50</v>
      </c>
      <c r="D23" s="121">
        <v>20</v>
      </c>
      <c r="E23" s="121">
        <v>20</v>
      </c>
      <c r="F23" s="121">
        <v>10</v>
      </c>
      <c r="G23" s="121"/>
      <c r="H23" s="121"/>
      <c r="I23" s="122">
        <f t="shared" ref="I23:I32" si="22">SUM(D23:H23)</f>
        <v>50</v>
      </c>
      <c r="J23" s="123">
        <f t="shared" si="1"/>
        <v>1.7301038062283738E-2</v>
      </c>
      <c r="K23" s="306"/>
      <c r="L23" s="121"/>
      <c r="M23" s="121"/>
      <c r="N23" s="121"/>
      <c r="O23" s="121"/>
      <c r="P23" s="121"/>
      <c r="Q23" s="122">
        <f t="shared" ref="Q23:Q32" si="23">SUM(L23:P23)</f>
        <v>0</v>
      </c>
      <c r="R23" s="123">
        <f t="shared" si="2"/>
        <v>0</v>
      </c>
      <c r="S23" s="310">
        <f t="shared" ref="S23:S32" si="24">C23+K23</f>
        <v>50</v>
      </c>
      <c r="T23" s="122">
        <f t="shared" ref="T23:T32" si="25">I23+Q23</f>
        <v>50</v>
      </c>
      <c r="U23" s="123">
        <f t="shared" si="3"/>
        <v>1.4285714285714285E-2</v>
      </c>
      <c r="V23" s="185">
        <f t="shared" ref="V23:V32" si="26">IF(A23&lt;&gt;0,1,0)</f>
        <v>1</v>
      </c>
      <c r="AK23" s="5" t="s">
        <v>328</v>
      </c>
      <c r="AL23" s="140">
        <v>200</v>
      </c>
      <c r="AM23" s="122">
        <f t="shared" si="14"/>
        <v>50</v>
      </c>
      <c r="AN23" s="123">
        <f t="shared" si="5"/>
        <v>1.7301038062283738E-2</v>
      </c>
      <c r="AO23" s="122">
        <f t="shared" si="6"/>
        <v>0</v>
      </c>
      <c r="AP23" s="123">
        <f t="shared" si="7"/>
        <v>0</v>
      </c>
      <c r="AQ23" s="122">
        <f t="shared" ref="AQ23:AQ32" si="27">AM23+AO23</f>
        <v>50</v>
      </c>
      <c r="AR23" s="123">
        <f t="shared" si="9"/>
        <v>1.4705882352941176E-2</v>
      </c>
    </row>
    <row r="24" spans="1:44" x14ac:dyDescent="0.2">
      <c r="A24" s="5" t="s">
        <v>219</v>
      </c>
      <c r="B24" s="140">
        <v>3000</v>
      </c>
      <c r="C24" s="306">
        <v>50</v>
      </c>
      <c r="D24" s="121"/>
      <c r="E24" s="121"/>
      <c r="F24" s="121">
        <v>10</v>
      </c>
      <c r="G24" s="121">
        <v>20</v>
      </c>
      <c r="H24" s="121">
        <v>20</v>
      </c>
      <c r="I24" s="122">
        <f t="shared" si="22"/>
        <v>50</v>
      </c>
      <c r="J24" s="123">
        <f t="shared" si="1"/>
        <v>1.7301038062283738E-2</v>
      </c>
      <c r="K24" s="306"/>
      <c r="L24" s="121"/>
      <c r="M24" s="121"/>
      <c r="N24" s="121"/>
      <c r="O24" s="121"/>
      <c r="P24" s="121"/>
      <c r="Q24" s="122">
        <f t="shared" si="23"/>
        <v>0</v>
      </c>
      <c r="R24" s="123">
        <f t="shared" si="2"/>
        <v>0</v>
      </c>
      <c r="S24" s="310">
        <f t="shared" si="24"/>
        <v>50</v>
      </c>
      <c r="T24" s="122">
        <f t="shared" si="25"/>
        <v>50</v>
      </c>
      <c r="U24" s="123">
        <f t="shared" si="3"/>
        <v>1.4285714285714285E-2</v>
      </c>
      <c r="V24" s="185">
        <f t="shared" si="26"/>
        <v>1</v>
      </c>
      <c r="AK24" s="5" t="s">
        <v>219</v>
      </c>
      <c r="AL24" s="140">
        <v>3000</v>
      </c>
      <c r="AM24" s="122">
        <f t="shared" si="14"/>
        <v>50</v>
      </c>
      <c r="AN24" s="123">
        <f t="shared" si="5"/>
        <v>1.7301038062283738E-2</v>
      </c>
      <c r="AO24" s="122">
        <f t="shared" si="6"/>
        <v>0</v>
      </c>
      <c r="AP24" s="123">
        <f t="shared" si="7"/>
        <v>0</v>
      </c>
      <c r="AQ24" s="122">
        <f t="shared" si="27"/>
        <v>50</v>
      </c>
      <c r="AR24" s="123">
        <f t="shared" si="9"/>
        <v>1.4705882352941176E-2</v>
      </c>
    </row>
    <row r="25" spans="1:44" x14ac:dyDescent="0.2">
      <c r="A25" s="5" t="s">
        <v>294</v>
      </c>
      <c r="B25" s="140">
        <v>2000</v>
      </c>
      <c r="C25" s="306">
        <v>100</v>
      </c>
      <c r="D25" s="121"/>
      <c r="E25" s="121">
        <v>20</v>
      </c>
      <c r="F25" s="121">
        <v>30</v>
      </c>
      <c r="G25" s="121">
        <v>30</v>
      </c>
      <c r="H25" s="121">
        <v>20</v>
      </c>
      <c r="I25" s="122">
        <f t="shared" si="22"/>
        <v>100</v>
      </c>
      <c r="J25" s="123">
        <f t="shared" si="1"/>
        <v>3.4602076124567477E-2</v>
      </c>
      <c r="K25" s="306"/>
      <c r="L25" s="121"/>
      <c r="M25" s="121"/>
      <c r="N25" s="121"/>
      <c r="O25" s="121"/>
      <c r="P25" s="121"/>
      <c r="Q25" s="122">
        <f t="shared" si="23"/>
        <v>0</v>
      </c>
      <c r="R25" s="123">
        <f t="shared" si="2"/>
        <v>0</v>
      </c>
      <c r="S25" s="310">
        <f t="shared" si="24"/>
        <v>100</v>
      </c>
      <c r="T25" s="122">
        <f t="shared" si="25"/>
        <v>100</v>
      </c>
      <c r="U25" s="123">
        <f t="shared" si="3"/>
        <v>2.8571428571428571E-2</v>
      </c>
      <c r="V25" s="185">
        <f t="shared" si="26"/>
        <v>1</v>
      </c>
      <c r="AK25" s="5" t="s">
        <v>294</v>
      </c>
      <c r="AL25" s="140">
        <v>2000</v>
      </c>
      <c r="AM25" s="122">
        <f t="shared" si="14"/>
        <v>100</v>
      </c>
      <c r="AN25" s="123">
        <f t="shared" si="5"/>
        <v>3.4602076124567477E-2</v>
      </c>
      <c r="AO25" s="122">
        <f t="shared" si="6"/>
        <v>0</v>
      </c>
      <c r="AP25" s="123">
        <f t="shared" si="7"/>
        <v>0</v>
      </c>
      <c r="AQ25" s="122">
        <f t="shared" si="27"/>
        <v>100</v>
      </c>
      <c r="AR25" s="123">
        <f t="shared" si="9"/>
        <v>2.9411764705882353E-2</v>
      </c>
    </row>
    <row r="26" spans="1:44" x14ac:dyDescent="0.2">
      <c r="A26" s="5" t="s">
        <v>118</v>
      </c>
      <c r="B26" s="141">
        <v>1500</v>
      </c>
      <c r="C26" s="306">
        <v>120</v>
      </c>
      <c r="D26" s="121">
        <v>10</v>
      </c>
      <c r="E26" s="121">
        <v>30</v>
      </c>
      <c r="F26" s="121">
        <v>30</v>
      </c>
      <c r="G26" s="121">
        <v>30</v>
      </c>
      <c r="H26" s="121">
        <v>20</v>
      </c>
      <c r="I26" s="122">
        <f t="shared" si="22"/>
        <v>120</v>
      </c>
      <c r="J26" s="123">
        <f t="shared" si="1"/>
        <v>4.1522491349480967E-2</v>
      </c>
      <c r="K26" s="306"/>
      <c r="L26" s="121"/>
      <c r="M26" s="121"/>
      <c r="N26" s="121"/>
      <c r="O26" s="121"/>
      <c r="P26" s="121"/>
      <c r="Q26" s="122">
        <f t="shared" si="23"/>
        <v>0</v>
      </c>
      <c r="R26" s="123">
        <f t="shared" si="2"/>
        <v>0</v>
      </c>
      <c r="S26" s="310">
        <f t="shared" si="24"/>
        <v>120</v>
      </c>
      <c r="T26" s="122">
        <f t="shared" si="25"/>
        <v>120</v>
      </c>
      <c r="U26" s="123">
        <f t="shared" si="3"/>
        <v>3.4285714285714287E-2</v>
      </c>
      <c r="V26" s="185">
        <f t="shared" si="26"/>
        <v>1</v>
      </c>
      <c r="AK26" s="5" t="s">
        <v>118</v>
      </c>
      <c r="AL26" s="141">
        <v>1500</v>
      </c>
      <c r="AM26" s="122">
        <f t="shared" si="14"/>
        <v>120</v>
      </c>
      <c r="AN26" s="123">
        <f t="shared" si="5"/>
        <v>4.1522491349480967E-2</v>
      </c>
      <c r="AO26" s="122">
        <f t="shared" si="6"/>
        <v>0</v>
      </c>
      <c r="AP26" s="123">
        <f t="shared" si="7"/>
        <v>0</v>
      </c>
      <c r="AQ26" s="122">
        <f t="shared" si="27"/>
        <v>120</v>
      </c>
      <c r="AR26" s="123">
        <f t="shared" si="9"/>
        <v>3.5294117647058823E-2</v>
      </c>
    </row>
    <row r="27" spans="1:44" x14ac:dyDescent="0.2">
      <c r="A27" s="5" t="s">
        <v>239</v>
      </c>
      <c r="B27" s="140">
        <v>500</v>
      </c>
      <c r="C27" s="306">
        <v>40</v>
      </c>
      <c r="D27" s="121"/>
      <c r="E27" s="121"/>
      <c r="F27" s="121">
        <v>10</v>
      </c>
      <c r="G27" s="121">
        <v>20</v>
      </c>
      <c r="H27" s="121">
        <v>10</v>
      </c>
      <c r="I27" s="122">
        <f t="shared" si="22"/>
        <v>40</v>
      </c>
      <c r="J27" s="123">
        <f t="shared" si="1"/>
        <v>1.384083044982699E-2</v>
      </c>
      <c r="K27" s="306"/>
      <c r="L27" s="121"/>
      <c r="M27" s="121"/>
      <c r="N27" s="121"/>
      <c r="O27" s="121"/>
      <c r="P27" s="121"/>
      <c r="Q27" s="122">
        <f t="shared" si="23"/>
        <v>0</v>
      </c>
      <c r="R27" s="123">
        <f t="shared" si="2"/>
        <v>0</v>
      </c>
      <c r="S27" s="310">
        <f t="shared" si="24"/>
        <v>40</v>
      </c>
      <c r="T27" s="122">
        <f t="shared" si="25"/>
        <v>40</v>
      </c>
      <c r="U27" s="123">
        <f t="shared" si="3"/>
        <v>1.1428571428571429E-2</v>
      </c>
      <c r="V27" s="185">
        <f t="shared" si="26"/>
        <v>1</v>
      </c>
      <c r="AK27" s="5" t="s">
        <v>239</v>
      </c>
      <c r="AL27" s="140">
        <v>500</v>
      </c>
      <c r="AM27" s="122">
        <f t="shared" si="14"/>
        <v>40</v>
      </c>
      <c r="AN27" s="123">
        <f t="shared" si="5"/>
        <v>1.384083044982699E-2</v>
      </c>
      <c r="AO27" s="122">
        <f t="shared" si="6"/>
        <v>0</v>
      </c>
      <c r="AP27" s="123">
        <f t="shared" si="7"/>
        <v>0</v>
      </c>
      <c r="AQ27" s="122">
        <f t="shared" si="27"/>
        <v>40</v>
      </c>
      <c r="AR27" s="123">
        <f t="shared" si="9"/>
        <v>1.1764705882352941E-2</v>
      </c>
    </row>
    <row r="28" spans="1:44" x14ac:dyDescent="0.2">
      <c r="A28" s="5" t="s">
        <v>240</v>
      </c>
      <c r="B28" s="140">
        <v>1500</v>
      </c>
      <c r="C28" s="306">
        <v>100</v>
      </c>
      <c r="D28" s="121"/>
      <c r="E28" s="121">
        <v>20</v>
      </c>
      <c r="F28" s="121">
        <v>20</v>
      </c>
      <c r="G28" s="121">
        <v>30</v>
      </c>
      <c r="H28" s="121">
        <v>30</v>
      </c>
      <c r="I28" s="122">
        <f t="shared" si="22"/>
        <v>100</v>
      </c>
      <c r="J28" s="123">
        <f t="shared" si="1"/>
        <v>3.4602076124567477E-2</v>
      </c>
      <c r="K28" s="306"/>
      <c r="L28" s="121"/>
      <c r="M28" s="121"/>
      <c r="N28" s="121"/>
      <c r="O28" s="121"/>
      <c r="P28" s="121"/>
      <c r="Q28" s="122">
        <f t="shared" si="23"/>
        <v>0</v>
      </c>
      <c r="R28" s="123">
        <f t="shared" si="2"/>
        <v>0</v>
      </c>
      <c r="S28" s="310">
        <f t="shared" si="24"/>
        <v>100</v>
      </c>
      <c r="T28" s="122">
        <f t="shared" si="25"/>
        <v>100</v>
      </c>
      <c r="U28" s="123">
        <f t="shared" si="3"/>
        <v>2.8571428571428571E-2</v>
      </c>
      <c r="V28" s="185">
        <f t="shared" si="26"/>
        <v>1</v>
      </c>
      <c r="AK28" s="5" t="s">
        <v>240</v>
      </c>
      <c r="AL28" s="140">
        <v>1500</v>
      </c>
      <c r="AM28" s="122">
        <f t="shared" si="14"/>
        <v>100</v>
      </c>
      <c r="AN28" s="123">
        <f t="shared" si="5"/>
        <v>3.4602076124567477E-2</v>
      </c>
      <c r="AO28" s="122">
        <f t="shared" si="6"/>
        <v>0</v>
      </c>
      <c r="AP28" s="123">
        <f t="shared" si="7"/>
        <v>0</v>
      </c>
      <c r="AQ28" s="122">
        <f t="shared" si="27"/>
        <v>100</v>
      </c>
      <c r="AR28" s="123">
        <f t="shared" si="9"/>
        <v>2.9411764705882353E-2</v>
      </c>
    </row>
    <row r="29" spans="1:44" x14ac:dyDescent="0.2">
      <c r="A29" s="5" t="s">
        <v>241</v>
      </c>
      <c r="B29" s="140">
        <v>10000</v>
      </c>
      <c r="C29" s="306">
        <v>120</v>
      </c>
      <c r="D29" s="121"/>
      <c r="E29" s="121">
        <v>20</v>
      </c>
      <c r="F29" s="121">
        <v>30</v>
      </c>
      <c r="G29" s="121">
        <v>50</v>
      </c>
      <c r="H29" s="121">
        <v>20</v>
      </c>
      <c r="I29" s="122">
        <f t="shared" si="22"/>
        <v>120</v>
      </c>
      <c r="J29" s="123">
        <f t="shared" si="1"/>
        <v>4.1522491349480967E-2</v>
      </c>
      <c r="K29" s="306"/>
      <c r="L29" s="121"/>
      <c r="M29" s="121"/>
      <c r="N29" s="121"/>
      <c r="O29" s="121"/>
      <c r="P29" s="121"/>
      <c r="Q29" s="122">
        <f t="shared" si="23"/>
        <v>0</v>
      </c>
      <c r="R29" s="123">
        <f t="shared" si="2"/>
        <v>0</v>
      </c>
      <c r="S29" s="310">
        <f t="shared" si="24"/>
        <v>120</v>
      </c>
      <c r="T29" s="122">
        <f t="shared" si="25"/>
        <v>120</v>
      </c>
      <c r="U29" s="123">
        <f t="shared" si="3"/>
        <v>3.4285714285714287E-2</v>
      </c>
      <c r="V29" s="185">
        <f t="shared" si="26"/>
        <v>1</v>
      </c>
      <c r="AK29" s="5" t="s">
        <v>241</v>
      </c>
      <c r="AL29" s="140">
        <v>10000</v>
      </c>
      <c r="AM29" s="122">
        <f t="shared" si="14"/>
        <v>120</v>
      </c>
      <c r="AN29" s="123">
        <f t="shared" si="5"/>
        <v>4.1522491349480967E-2</v>
      </c>
      <c r="AO29" s="122">
        <f t="shared" si="6"/>
        <v>0</v>
      </c>
      <c r="AP29" s="123">
        <f t="shared" si="7"/>
        <v>0</v>
      </c>
      <c r="AQ29" s="122">
        <f t="shared" si="27"/>
        <v>120</v>
      </c>
      <c r="AR29" s="123">
        <f t="shared" si="9"/>
        <v>3.5294117647058823E-2</v>
      </c>
    </row>
    <row r="30" spans="1:44" x14ac:dyDescent="0.2">
      <c r="A30" s="5" t="s">
        <v>242</v>
      </c>
      <c r="B30" s="140">
        <v>40000</v>
      </c>
      <c r="C30" s="306">
        <v>150</v>
      </c>
      <c r="D30" s="121"/>
      <c r="E30" s="121"/>
      <c r="F30" s="121">
        <v>30</v>
      </c>
      <c r="G30" s="121">
        <v>50</v>
      </c>
      <c r="H30" s="121">
        <v>70</v>
      </c>
      <c r="I30" s="122">
        <f t="shared" si="22"/>
        <v>150</v>
      </c>
      <c r="J30" s="123">
        <f t="shared" si="1"/>
        <v>5.1903114186851208E-2</v>
      </c>
      <c r="K30" s="306"/>
      <c r="L30" s="121"/>
      <c r="M30" s="121"/>
      <c r="N30" s="121"/>
      <c r="O30" s="121"/>
      <c r="P30" s="121"/>
      <c r="Q30" s="122">
        <f t="shared" si="23"/>
        <v>0</v>
      </c>
      <c r="R30" s="123">
        <f t="shared" si="2"/>
        <v>0</v>
      </c>
      <c r="S30" s="310">
        <f t="shared" si="24"/>
        <v>150</v>
      </c>
      <c r="T30" s="122">
        <f t="shared" si="25"/>
        <v>150</v>
      </c>
      <c r="U30" s="123">
        <f t="shared" si="3"/>
        <v>4.2857142857142858E-2</v>
      </c>
      <c r="V30" s="185">
        <f t="shared" si="26"/>
        <v>1</v>
      </c>
      <c r="AK30" s="5" t="s">
        <v>242</v>
      </c>
      <c r="AL30" s="140">
        <v>40000</v>
      </c>
      <c r="AM30" s="122">
        <f t="shared" si="14"/>
        <v>150</v>
      </c>
      <c r="AN30" s="123">
        <f t="shared" si="5"/>
        <v>5.1903114186851208E-2</v>
      </c>
      <c r="AO30" s="122">
        <f t="shared" si="6"/>
        <v>0</v>
      </c>
      <c r="AP30" s="123">
        <f t="shared" si="7"/>
        <v>0</v>
      </c>
      <c r="AQ30" s="122">
        <f t="shared" si="27"/>
        <v>150</v>
      </c>
      <c r="AR30" s="123">
        <f t="shared" si="9"/>
        <v>4.4117647058823532E-2</v>
      </c>
    </row>
    <row r="31" spans="1:44" x14ac:dyDescent="0.2">
      <c r="A31" s="5" t="s">
        <v>243</v>
      </c>
      <c r="B31" s="140">
        <v>500</v>
      </c>
      <c r="C31" s="306"/>
      <c r="D31" s="121"/>
      <c r="E31" s="121"/>
      <c r="F31" s="121"/>
      <c r="G31" s="121"/>
      <c r="H31" s="121"/>
      <c r="I31" s="122">
        <f t="shared" si="22"/>
        <v>0</v>
      </c>
      <c r="J31" s="123">
        <f t="shared" si="1"/>
        <v>0</v>
      </c>
      <c r="K31" s="306"/>
      <c r="L31" s="121"/>
      <c r="M31" s="121"/>
      <c r="N31" s="121"/>
      <c r="O31" s="121"/>
      <c r="P31" s="121"/>
      <c r="Q31" s="122">
        <f t="shared" si="23"/>
        <v>0</v>
      </c>
      <c r="R31" s="123">
        <f t="shared" si="2"/>
        <v>0</v>
      </c>
      <c r="S31" s="310">
        <f t="shared" si="24"/>
        <v>0</v>
      </c>
      <c r="T31" s="122">
        <f t="shared" si="25"/>
        <v>0</v>
      </c>
      <c r="U31" s="123">
        <f t="shared" si="3"/>
        <v>0</v>
      </c>
      <c r="V31" s="185">
        <f t="shared" si="26"/>
        <v>1</v>
      </c>
      <c r="AK31" s="5" t="s">
        <v>243</v>
      </c>
      <c r="AL31" s="140">
        <v>500</v>
      </c>
      <c r="AM31" s="122">
        <f t="shared" si="14"/>
        <v>0</v>
      </c>
      <c r="AN31" s="123">
        <f t="shared" si="5"/>
        <v>0</v>
      </c>
      <c r="AO31" s="122">
        <f t="shared" si="6"/>
        <v>0</v>
      </c>
      <c r="AP31" s="123">
        <f t="shared" si="7"/>
        <v>0</v>
      </c>
      <c r="AQ31" s="122">
        <f t="shared" si="27"/>
        <v>0</v>
      </c>
      <c r="AR31" s="123">
        <f t="shared" si="9"/>
        <v>0</v>
      </c>
    </row>
    <row r="32" spans="1:44" x14ac:dyDescent="0.2">
      <c r="A32" s="5" t="s">
        <v>179</v>
      </c>
      <c r="B32" s="140" t="s">
        <v>295</v>
      </c>
      <c r="C32" s="306">
        <v>50</v>
      </c>
      <c r="D32" s="121"/>
      <c r="E32" s="121">
        <v>20</v>
      </c>
      <c r="F32" s="121">
        <v>20</v>
      </c>
      <c r="G32" s="121">
        <v>10</v>
      </c>
      <c r="H32" s="121"/>
      <c r="I32" s="122">
        <f t="shared" si="22"/>
        <v>50</v>
      </c>
      <c r="J32" s="123">
        <f t="shared" si="1"/>
        <v>1.7301038062283738E-2</v>
      </c>
      <c r="K32" s="306"/>
      <c r="L32" s="121"/>
      <c r="M32" s="121"/>
      <c r="N32" s="121"/>
      <c r="O32" s="121"/>
      <c r="P32" s="121"/>
      <c r="Q32" s="122">
        <f t="shared" si="23"/>
        <v>0</v>
      </c>
      <c r="R32" s="123">
        <f t="shared" si="2"/>
        <v>0</v>
      </c>
      <c r="S32" s="310">
        <f t="shared" si="24"/>
        <v>50</v>
      </c>
      <c r="T32" s="122">
        <f t="shared" si="25"/>
        <v>50</v>
      </c>
      <c r="U32" s="123">
        <f t="shared" si="3"/>
        <v>1.4285714285714285E-2</v>
      </c>
      <c r="V32" s="185">
        <f t="shared" si="26"/>
        <v>1</v>
      </c>
      <c r="AK32" s="5" t="s">
        <v>179</v>
      </c>
      <c r="AL32" s="140" t="s">
        <v>295</v>
      </c>
      <c r="AM32" s="122">
        <f t="shared" si="14"/>
        <v>50</v>
      </c>
      <c r="AN32" s="123">
        <f t="shared" si="5"/>
        <v>1.7301038062283738E-2</v>
      </c>
      <c r="AO32" s="122">
        <f t="shared" si="6"/>
        <v>0</v>
      </c>
      <c r="AP32" s="123">
        <f t="shared" si="7"/>
        <v>0</v>
      </c>
      <c r="AQ32" s="122">
        <f t="shared" si="27"/>
        <v>50</v>
      </c>
      <c r="AR32" s="123">
        <f t="shared" si="9"/>
        <v>1.4705882352941176E-2</v>
      </c>
    </row>
    <row r="33" spans="1:44" x14ac:dyDescent="0.2">
      <c r="A33" s="118" t="s">
        <v>248</v>
      </c>
      <c r="B33" s="139">
        <f t="shared" ref="B33:I33" si="28">SUM(B23:B32)</f>
        <v>59200</v>
      </c>
      <c r="C33" s="307">
        <f t="shared" si="28"/>
        <v>780</v>
      </c>
      <c r="D33" s="127">
        <f t="shared" si="28"/>
        <v>30</v>
      </c>
      <c r="E33" s="127">
        <f t="shared" si="28"/>
        <v>130</v>
      </c>
      <c r="F33" s="127">
        <f t="shared" si="28"/>
        <v>190</v>
      </c>
      <c r="G33" s="127">
        <f t="shared" si="28"/>
        <v>240</v>
      </c>
      <c r="H33" s="127">
        <f t="shared" si="28"/>
        <v>190</v>
      </c>
      <c r="I33" s="127">
        <f t="shared" si="28"/>
        <v>780</v>
      </c>
      <c r="J33" s="128">
        <f t="shared" si="1"/>
        <v>0.26989619377162632</v>
      </c>
      <c r="K33" s="307">
        <f>SUM(K23:K32)</f>
        <v>0</v>
      </c>
      <c r="L33" s="127">
        <f t="shared" ref="L33:Q33" si="29">SUM(L23:L32)</f>
        <v>0</v>
      </c>
      <c r="M33" s="127">
        <f t="shared" si="29"/>
        <v>0</v>
      </c>
      <c r="N33" s="127">
        <f t="shared" si="29"/>
        <v>0</v>
      </c>
      <c r="O33" s="127">
        <f t="shared" si="29"/>
        <v>0</v>
      </c>
      <c r="P33" s="127">
        <f t="shared" si="29"/>
        <v>0</v>
      </c>
      <c r="Q33" s="127">
        <f t="shared" si="29"/>
        <v>0</v>
      </c>
      <c r="R33" s="128">
        <f t="shared" si="2"/>
        <v>0</v>
      </c>
      <c r="S33" s="307">
        <f>SUM(S23:S32)</f>
        <v>780</v>
      </c>
      <c r="T33" s="127">
        <f>SUM(T23:T32)</f>
        <v>780</v>
      </c>
      <c r="U33" s="128">
        <f t="shared" si="3"/>
        <v>0.22285714285714286</v>
      </c>
      <c r="V33" s="186">
        <f>SUM(V23:V32)</f>
        <v>10</v>
      </c>
      <c r="AK33" s="118" t="s">
        <v>248</v>
      </c>
      <c r="AL33" s="139">
        <f>SUM(AL23:AL32)</f>
        <v>59200</v>
      </c>
      <c r="AM33" s="127">
        <f t="shared" si="14"/>
        <v>780</v>
      </c>
      <c r="AN33" s="128">
        <f t="shared" si="5"/>
        <v>0.26989619377162632</v>
      </c>
      <c r="AO33" s="127">
        <f t="shared" si="6"/>
        <v>0</v>
      </c>
      <c r="AP33" s="128">
        <f t="shared" si="7"/>
        <v>0</v>
      </c>
      <c r="AQ33" s="127">
        <f>SUM(AQ23:AQ32)</f>
        <v>780</v>
      </c>
      <c r="AR33" s="128">
        <f t="shared" si="9"/>
        <v>0.22941176470588234</v>
      </c>
    </row>
    <row r="34" spans="1:44" x14ac:dyDescent="0.2">
      <c r="A34" s="5" t="s">
        <v>154</v>
      </c>
      <c r="B34" s="140">
        <v>4000</v>
      </c>
      <c r="C34" s="306">
        <v>80</v>
      </c>
      <c r="D34" s="121"/>
      <c r="E34" s="121">
        <v>20</v>
      </c>
      <c r="F34" s="121">
        <v>20</v>
      </c>
      <c r="G34" s="121">
        <v>20</v>
      </c>
      <c r="H34" s="121">
        <v>20</v>
      </c>
      <c r="I34" s="122">
        <f t="shared" ref="I34:I40" si="30">SUM(D34:H34)</f>
        <v>80</v>
      </c>
      <c r="J34" s="123">
        <f t="shared" si="1"/>
        <v>2.768166089965398E-2</v>
      </c>
      <c r="K34" s="306"/>
      <c r="L34" s="121"/>
      <c r="M34" s="121"/>
      <c r="N34" s="121"/>
      <c r="O34" s="121"/>
      <c r="P34" s="121"/>
      <c r="Q34" s="122">
        <f t="shared" ref="Q34:Q40" si="31">SUM(L34:P34)</f>
        <v>0</v>
      </c>
      <c r="R34" s="123">
        <f t="shared" si="2"/>
        <v>0</v>
      </c>
      <c r="S34" s="310">
        <f t="shared" ref="S34:S40" si="32">C34+K34</f>
        <v>80</v>
      </c>
      <c r="T34" s="122">
        <f t="shared" ref="T34:T40" si="33">I34+Q34</f>
        <v>80</v>
      </c>
      <c r="U34" s="123">
        <f t="shared" si="3"/>
        <v>2.2857142857142857E-2</v>
      </c>
      <c r="V34" s="185">
        <f t="shared" ref="V34:V40" si="34">IF(A34&lt;&gt;0,1,0)</f>
        <v>1</v>
      </c>
      <c r="AK34" s="5" t="s">
        <v>154</v>
      </c>
      <c r="AL34" s="140">
        <v>4000</v>
      </c>
      <c r="AM34" s="122">
        <f t="shared" si="14"/>
        <v>80</v>
      </c>
      <c r="AN34" s="123">
        <f t="shared" si="5"/>
        <v>2.768166089965398E-2</v>
      </c>
      <c r="AO34" s="122">
        <f t="shared" si="6"/>
        <v>0</v>
      </c>
      <c r="AP34" s="123">
        <f t="shared" si="7"/>
        <v>0</v>
      </c>
      <c r="AQ34" s="122">
        <f>AM34+AO34</f>
        <v>80</v>
      </c>
      <c r="AR34" s="123">
        <f t="shared" si="9"/>
        <v>2.3529411764705882E-2</v>
      </c>
    </row>
    <row r="35" spans="1:44" x14ac:dyDescent="0.2">
      <c r="A35" s="5" t="s">
        <v>155</v>
      </c>
      <c r="B35" s="140">
        <v>1500</v>
      </c>
      <c r="C35" s="306">
        <v>70</v>
      </c>
      <c r="D35" s="121"/>
      <c r="E35" s="121">
        <v>10</v>
      </c>
      <c r="F35" s="121">
        <v>20</v>
      </c>
      <c r="G35" s="121">
        <v>20</v>
      </c>
      <c r="H35" s="121">
        <v>20</v>
      </c>
      <c r="I35" s="122">
        <f t="shared" si="30"/>
        <v>70</v>
      </c>
      <c r="J35" s="123">
        <f t="shared" si="1"/>
        <v>2.4221453287197232E-2</v>
      </c>
      <c r="K35" s="306"/>
      <c r="L35" s="121"/>
      <c r="M35" s="121"/>
      <c r="N35" s="121"/>
      <c r="O35" s="121"/>
      <c r="P35" s="121"/>
      <c r="Q35" s="122">
        <f t="shared" si="31"/>
        <v>0</v>
      </c>
      <c r="R35" s="123">
        <f t="shared" si="2"/>
        <v>0</v>
      </c>
      <c r="S35" s="310">
        <f t="shared" si="32"/>
        <v>70</v>
      </c>
      <c r="T35" s="122">
        <f t="shared" si="33"/>
        <v>70</v>
      </c>
      <c r="U35" s="123">
        <f t="shared" si="3"/>
        <v>0.02</v>
      </c>
      <c r="V35" s="185">
        <f t="shared" si="34"/>
        <v>1</v>
      </c>
      <c r="AK35" s="5" t="s">
        <v>155</v>
      </c>
      <c r="AL35" s="140">
        <v>1500</v>
      </c>
      <c r="AM35" s="122">
        <f t="shared" si="14"/>
        <v>70</v>
      </c>
      <c r="AN35" s="123">
        <f t="shared" si="5"/>
        <v>2.4221453287197232E-2</v>
      </c>
      <c r="AO35" s="122">
        <f t="shared" si="6"/>
        <v>0</v>
      </c>
      <c r="AP35" s="123">
        <f t="shared" si="7"/>
        <v>0</v>
      </c>
      <c r="AQ35" s="122">
        <f>AM35+AO35</f>
        <v>70</v>
      </c>
      <c r="AR35" s="123">
        <f t="shared" si="9"/>
        <v>2.0588235294117647E-2</v>
      </c>
    </row>
    <row r="36" spans="1:44" x14ac:dyDescent="0.2">
      <c r="A36" s="5" t="s">
        <v>156</v>
      </c>
      <c r="B36" s="140">
        <v>3000</v>
      </c>
      <c r="C36" s="306">
        <v>80</v>
      </c>
      <c r="D36" s="121"/>
      <c r="E36" s="121">
        <v>20</v>
      </c>
      <c r="F36" s="121">
        <v>20</v>
      </c>
      <c r="G36" s="121">
        <v>20</v>
      </c>
      <c r="H36" s="121">
        <v>20</v>
      </c>
      <c r="I36" s="122">
        <f t="shared" si="30"/>
        <v>80</v>
      </c>
      <c r="J36" s="123">
        <f t="shared" si="1"/>
        <v>2.768166089965398E-2</v>
      </c>
      <c r="K36" s="306"/>
      <c r="L36" s="121"/>
      <c r="M36" s="121"/>
      <c r="N36" s="121"/>
      <c r="O36" s="121"/>
      <c r="P36" s="121"/>
      <c r="Q36" s="122">
        <f t="shared" si="31"/>
        <v>0</v>
      </c>
      <c r="R36" s="123">
        <f t="shared" si="2"/>
        <v>0</v>
      </c>
      <c r="S36" s="310">
        <f t="shared" si="32"/>
        <v>80</v>
      </c>
      <c r="T36" s="122">
        <f t="shared" si="33"/>
        <v>80</v>
      </c>
      <c r="U36" s="123">
        <f t="shared" si="3"/>
        <v>2.2857142857142857E-2</v>
      </c>
      <c r="V36" s="185">
        <f t="shared" si="34"/>
        <v>1</v>
      </c>
      <c r="AK36" s="5" t="s">
        <v>156</v>
      </c>
      <c r="AL36" s="140">
        <v>3000</v>
      </c>
      <c r="AM36" s="122">
        <f t="shared" si="14"/>
        <v>80</v>
      </c>
      <c r="AN36" s="123">
        <f t="shared" si="5"/>
        <v>2.768166089965398E-2</v>
      </c>
      <c r="AO36" s="122">
        <f t="shared" si="6"/>
        <v>0</v>
      </c>
      <c r="AP36" s="123">
        <f t="shared" si="7"/>
        <v>0</v>
      </c>
      <c r="AQ36" s="122">
        <f>AM36+AO36</f>
        <v>80</v>
      </c>
      <c r="AR36" s="123">
        <f t="shared" si="9"/>
        <v>2.3529411764705882E-2</v>
      </c>
    </row>
    <row r="37" spans="1:44" x14ac:dyDescent="0.2">
      <c r="A37" s="5" t="s">
        <v>387</v>
      </c>
      <c r="B37" s="140">
        <v>500</v>
      </c>
      <c r="C37" s="306">
        <v>30</v>
      </c>
      <c r="D37" s="121"/>
      <c r="E37" s="121">
        <v>10</v>
      </c>
      <c r="F37" s="121">
        <v>10</v>
      </c>
      <c r="G37" s="121">
        <v>10</v>
      </c>
      <c r="H37" s="121"/>
      <c r="I37" s="122">
        <f t="shared" si="30"/>
        <v>30</v>
      </c>
      <c r="J37" s="123">
        <f t="shared" si="1"/>
        <v>1.0380622837370242E-2</v>
      </c>
      <c r="K37" s="306"/>
      <c r="L37" s="121"/>
      <c r="M37" s="121"/>
      <c r="N37" s="121"/>
      <c r="O37" s="121"/>
      <c r="P37" s="121"/>
      <c r="Q37" s="122">
        <f t="shared" si="31"/>
        <v>0</v>
      </c>
      <c r="R37" s="123">
        <f t="shared" si="2"/>
        <v>0</v>
      </c>
      <c r="S37" s="310">
        <f t="shared" si="32"/>
        <v>30</v>
      </c>
      <c r="T37" s="122">
        <f t="shared" si="33"/>
        <v>30</v>
      </c>
      <c r="U37" s="123">
        <f t="shared" si="3"/>
        <v>8.5714285714285719E-3</v>
      </c>
      <c r="V37" s="185">
        <f t="shared" si="34"/>
        <v>1</v>
      </c>
      <c r="AK37" s="5" t="s">
        <v>387</v>
      </c>
      <c r="AL37" s="140">
        <v>500</v>
      </c>
      <c r="AM37" s="122">
        <f t="shared" si="14"/>
        <v>30</v>
      </c>
      <c r="AN37" s="123">
        <f t="shared" si="5"/>
        <v>1.0380622837370242E-2</v>
      </c>
      <c r="AO37" s="122">
        <f t="shared" si="6"/>
        <v>0</v>
      </c>
      <c r="AP37" s="123">
        <f t="shared" si="7"/>
        <v>0</v>
      </c>
      <c r="AQ37" s="122">
        <f>AM37+AO37</f>
        <v>30</v>
      </c>
      <c r="AR37" s="123">
        <f t="shared" si="9"/>
        <v>8.8235294117647058E-3</v>
      </c>
    </row>
    <row r="38" spans="1:44" x14ac:dyDescent="0.2">
      <c r="A38" s="5" t="s">
        <v>393</v>
      </c>
      <c r="B38" s="140" t="s">
        <v>394</v>
      </c>
      <c r="C38" s="306">
        <v>50</v>
      </c>
      <c r="D38" s="121"/>
      <c r="E38" s="121">
        <v>10</v>
      </c>
      <c r="F38" s="121">
        <v>10</v>
      </c>
      <c r="G38" s="121">
        <v>20</v>
      </c>
      <c r="H38" s="121">
        <v>10</v>
      </c>
      <c r="I38" s="122">
        <f t="shared" si="30"/>
        <v>50</v>
      </c>
      <c r="J38" s="123">
        <f>I38/I$50</f>
        <v>1.7301038062283738E-2</v>
      </c>
      <c r="K38" s="306"/>
      <c r="L38" s="121"/>
      <c r="M38" s="121"/>
      <c r="N38" s="121"/>
      <c r="O38" s="121"/>
      <c r="P38" s="121"/>
      <c r="Q38" s="122">
        <f t="shared" si="31"/>
        <v>0</v>
      </c>
      <c r="R38" s="123">
        <f>Q38/Q$50</f>
        <v>0</v>
      </c>
      <c r="S38" s="310">
        <f t="shared" si="32"/>
        <v>50</v>
      </c>
      <c r="T38" s="122">
        <f t="shared" si="33"/>
        <v>50</v>
      </c>
      <c r="U38" s="123">
        <f>T38/T$50</f>
        <v>1.4285714285714285E-2</v>
      </c>
      <c r="V38" s="185">
        <f t="shared" si="34"/>
        <v>1</v>
      </c>
      <c r="AK38" s="5"/>
      <c r="AL38" s="140"/>
      <c r="AM38" s="122"/>
      <c r="AN38" s="123"/>
      <c r="AO38" s="122"/>
      <c r="AP38" s="123"/>
      <c r="AQ38" s="122"/>
      <c r="AR38" s="123"/>
    </row>
    <row r="39" spans="1:44" x14ac:dyDescent="0.2">
      <c r="A39" s="5" t="s">
        <v>395</v>
      </c>
      <c r="B39" s="140" t="s">
        <v>394</v>
      </c>
      <c r="C39" s="306">
        <v>50</v>
      </c>
      <c r="D39" s="121"/>
      <c r="E39" s="121">
        <v>10</v>
      </c>
      <c r="F39" s="121">
        <v>10</v>
      </c>
      <c r="G39" s="121">
        <v>20</v>
      </c>
      <c r="H39" s="121">
        <v>10</v>
      </c>
      <c r="I39" s="122">
        <f t="shared" si="30"/>
        <v>50</v>
      </c>
      <c r="J39" s="123">
        <f>I39/I$50</f>
        <v>1.7301038062283738E-2</v>
      </c>
      <c r="K39" s="306"/>
      <c r="L39" s="121"/>
      <c r="M39" s="121"/>
      <c r="N39" s="121"/>
      <c r="O39" s="121"/>
      <c r="P39" s="121"/>
      <c r="Q39" s="122">
        <f t="shared" si="31"/>
        <v>0</v>
      </c>
      <c r="R39" s="123">
        <f>Q39/Q$50</f>
        <v>0</v>
      </c>
      <c r="S39" s="310">
        <f t="shared" si="32"/>
        <v>50</v>
      </c>
      <c r="T39" s="122">
        <f t="shared" si="33"/>
        <v>50</v>
      </c>
      <c r="U39" s="123">
        <f>T39/T$50</f>
        <v>1.4285714285714285E-2</v>
      </c>
      <c r="V39" s="185">
        <f t="shared" si="34"/>
        <v>1</v>
      </c>
      <c r="AK39" s="5"/>
      <c r="AL39" s="140"/>
      <c r="AM39" s="122"/>
      <c r="AN39" s="123"/>
      <c r="AO39" s="122"/>
      <c r="AP39" s="123"/>
      <c r="AQ39" s="122"/>
      <c r="AR39" s="123"/>
    </row>
    <row r="40" spans="1:44" x14ac:dyDescent="0.2">
      <c r="A40" s="5" t="s">
        <v>179</v>
      </c>
      <c r="B40" s="140" t="s">
        <v>295</v>
      </c>
      <c r="C40" s="306">
        <v>30</v>
      </c>
      <c r="D40" s="121"/>
      <c r="E40" s="121">
        <v>10</v>
      </c>
      <c r="F40" s="121">
        <v>10</v>
      </c>
      <c r="G40" s="121">
        <v>10</v>
      </c>
      <c r="H40" s="121">
        <v>10</v>
      </c>
      <c r="I40" s="122">
        <f t="shared" si="30"/>
        <v>40</v>
      </c>
      <c r="J40" s="123">
        <f t="shared" si="1"/>
        <v>1.384083044982699E-2</v>
      </c>
      <c r="K40" s="306"/>
      <c r="L40" s="121"/>
      <c r="M40" s="121"/>
      <c r="N40" s="121"/>
      <c r="O40" s="121"/>
      <c r="P40" s="121"/>
      <c r="Q40" s="122">
        <f t="shared" si="31"/>
        <v>0</v>
      </c>
      <c r="R40" s="123">
        <f t="shared" si="2"/>
        <v>0</v>
      </c>
      <c r="S40" s="310">
        <f t="shared" si="32"/>
        <v>30</v>
      </c>
      <c r="T40" s="122">
        <f t="shared" si="33"/>
        <v>40</v>
      </c>
      <c r="U40" s="123">
        <f t="shared" si="3"/>
        <v>1.1428571428571429E-2</v>
      </c>
      <c r="V40" s="185">
        <f t="shared" si="34"/>
        <v>1</v>
      </c>
      <c r="AK40" s="5" t="s">
        <v>179</v>
      </c>
      <c r="AL40" s="140" t="s">
        <v>295</v>
      </c>
      <c r="AM40" s="122">
        <f t="shared" si="14"/>
        <v>40</v>
      </c>
      <c r="AN40" s="123">
        <f t="shared" si="5"/>
        <v>1.384083044982699E-2</v>
      </c>
      <c r="AO40" s="122">
        <f t="shared" si="6"/>
        <v>0</v>
      </c>
      <c r="AP40" s="123">
        <f t="shared" si="7"/>
        <v>0</v>
      </c>
      <c r="AQ40" s="122">
        <f>AM40+AO40</f>
        <v>40</v>
      </c>
      <c r="AR40" s="123">
        <f t="shared" si="9"/>
        <v>1.1764705882352941E-2</v>
      </c>
    </row>
    <row r="41" spans="1:44" x14ac:dyDescent="0.2">
      <c r="A41" s="118" t="s">
        <v>187</v>
      </c>
      <c r="B41" s="139">
        <f t="shared" ref="B41:I41" si="35">SUM(B34:B40)</f>
        <v>9000</v>
      </c>
      <c r="C41" s="307">
        <f t="shared" si="35"/>
        <v>390</v>
      </c>
      <c r="D41" s="127">
        <f t="shared" si="35"/>
        <v>0</v>
      </c>
      <c r="E41" s="127">
        <f t="shared" si="35"/>
        <v>90</v>
      </c>
      <c r="F41" s="127">
        <f t="shared" si="35"/>
        <v>100</v>
      </c>
      <c r="G41" s="127">
        <f t="shared" si="35"/>
        <v>120</v>
      </c>
      <c r="H41" s="127">
        <f t="shared" si="35"/>
        <v>90</v>
      </c>
      <c r="I41" s="127">
        <f t="shared" si="35"/>
        <v>400</v>
      </c>
      <c r="J41" s="128">
        <f t="shared" si="1"/>
        <v>0.13840830449826991</v>
      </c>
      <c r="K41" s="307">
        <f>SUM(K34:K40)</f>
        <v>0</v>
      </c>
      <c r="L41" s="127">
        <f t="shared" ref="L41:Q41" si="36">SUM(L34:L40)</f>
        <v>0</v>
      </c>
      <c r="M41" s="127">
        <f t="shared" si="36"/>
        <v>0</v>
      </c>
      <c r="N41" s="127">
        <f t="shared" si="36"/>
        <v>0</v>
      </c>
      <c r="O41" s="127">
        <f t="shared" si="36"/>
        <v>0</v>
      </c>
      <c r="P41" s="127">
        <f t="shared" si="36"/>
        <v>0</v>
      </c>
      <c r="Q41" s="127">
        <f t="shared" si="36"/>
        <v>0</v>
      </c>
      <c r="R41" s="128">
        <f t="shared" si="2"/>
        <v>0</v>
      </c>
      <c r="S41" s="307">
        <f>SUM(S34:S40)</f>
        <v>390</v>
      </c>
      <c r="T41" s="127">
        <f>SUM(T34:T40)</f>
        <v>400</v>
      </c>
      <c r="U41" s="128">
        <f t="shared" si="3"/>
        <v>0.11428571428571428</v>
      </c>
      <c r="V41" s="186">
        <f>SUM(V34:V40)</f>
        <v>7</v>
      </c>
      <c r="AK41" s="118" t="s">
        <v>187</v>
      </c>
      <c r="AL41" s="139">
        <f>SUM(AL34:AL40)</f>
        <v>9000</v>
      </c>
      <c r="AM41" s="127">
        <f t="shared" si="14"/>
        <v>400</v>
      </c>
      <c r="AN41" s="128">
        <f t="shared" si="5"/>
        <v>0.13840830449826991</v>
      </c>
      <c r="AO41" s="127">
        <f t="shared" si="6"/>
        <v>0</v>
      </c>
      <c r="AP41" s="128">
        <f t="shared" si="7"/>
        <v>0</v>
      </c>
      <c r="AQ41" s="127">
        <f>SUM(AQ34:AQ40)</f>
        <v>300</v>
      </c>
      <c r="AR41" s="128">
        <f t="shared" si="9"/>
        <v>8.8235294117647065E-2</v>
      </c>
    </row>
    <row r="42" spans="1:44" x14ac:dyDescent="0.2">
      <c r="A42" s="5" t="s">
        <v>221</v>
      </c>
      <c r="B42" s="140">
        <v>10000</v>
      </c>
      <c r="C42" s="306"/>
      <c r="D42" s="121"/>
      <c r="E42" s="121"/>
      <c r="F42" s="121"/>
      <c r="G42" s="121"/>
      <c r="H42" s="121"/>
      <c r="I42" s="122">
        <f t="shared" ref="I42:I48" si="37">SUM(D42:H42)</f>
        <v>0</v>
      </c>
      <c r="J42" s="123">
        <f t="shared" si="1"/>
        <v>0</v>
      </c>
      <c r="K42" s="306"/>
      <c r="L42" s="121"/>
      <c r="M42" s="121"/>
      <c r="N42" s="121"/>
      <c r="O42" s="121"/>
      <c r="P42" s="121"/>
      <c r="Q42" s="122">
        <f t="shared" ref="Q42:Q48" si="38">SUM(L42:P42)</f>
        <v>0</v>
      </c>
      <c r="R42" s="123">
        <f t="shared" si="2"/>
        <v>0</v>
      </c>
      <c r="S42" s="310">
        <f t="shared" ref="S42:S48" si="39">C42+K42</f>
        <v>0</v>
      </c>
      <c r="T42" s="122">
        <f t="shared" ref="T42:T48" si="40">I42+Q42</f>
        <v>0</v>
      </c>
      <c r="U42" s="123">
        <f t="shared" si="3"/>
        <v>0</v>
      </c>
      <c r="V42" s="185">
        <f t="shared" ref="V42:V48" si="41">IF(A42&lt;&gt;0,1,0)</f>
        <v>1</v>
      </c>
      <c r="AK42" s="5" t="s">
        <v>221</v>
      </c>
      <c r="AL42" s="140">
        <v>10000</v>
      </c>
      <c r="AM42" s="122">
        <f t="shared" si="14"/>
        <v>0</v>
      </c>
      <c r="AN42" s="123">
        <f t="shared" si="5"/>
        <v>0</v>
      </c>
      <c r="AO42" s="122">
        <f t="shared" si="6"/>
        <v>0</v>
      </c>
      <c r="AP42" s="123">
        <f t="shared" si="7"/>
        <v>0</v>
      </c>
      <c r="AQ42" s="122">
        <f t="shared" ref="AQ42:AQ48" si="42">AM42+AO42</f>
        <v>0</v>
      </c>
      <c r="AR42" s="123">
        <f t="shared" si="9"/>
        <v>0</v>
      </c>
    </row>
    <row r="43" spans="1:44" x14ac:dyDescent="0.2">
      <c r="A43" s="5" t="s">
        <v>220</v>
      </c>
      <c r="B43" s="140">
        <v>50000</v>
      </c>
      <c r="C43" s="306">
        <v>50</v>
      </c>
      <c r="D43" s="121"/>
      <c r="E43" s="121">
        <v>20</v>
      </c>
      <c r="F43" s="121">
        <v>20</v>
      </c>
      <c r="G43" s="121">
        <v>10</v>
      </c>
      <c r="H43" s="121"/>
      <c r="I43" s="122">
        <f t="shared" si="37"/>
        <v>50</v>
      </c>
      <c r="J43" s="123">
        <f t="shared" si="1"/>
        <v>1.7301038062283738E-2</v>
      </c>
      <c r="K43" s="306"/>
      <c r="L43" s="121"/>
      <c r="M43" s="121"/>
      <c r="N43" s="121"/>
      <c r="O43" s="121"/>
      <c r="P43" s="121"/>
      <c r="Q43" s="122">
        <f t="shared" si="38"/>
        <v>0</v>
      </c>
      <c r="R43" s="123">
        <f t="shared" si="2"/>
        <v>0</v>
      </c>
      <c r="S43" s="310">
        <f t="shared" si="39"/>
        <v>50</v>
      </c>
      <c r="T43" s="122">
        <f t="shared" si="40"/>
        <v>50</v>
      </c>
      <c r="U43" s="123">
        <f t="shared" si="3"/>
        <v>1.4285714285714285E-2</v>
      </c>
      <c r="V43" s="185">
        <f t="shared" si="41"/>
        <v>1</v>
      </c>
      <c r="AK43" s="5" t="s">
        <v>220</v>
      </c>
      <c r="AL43" s="140">
        <v>50000</v>
      </c>
      <c r="AM43" s="122">
        <f t="shared" si="14"/>
        <v>50</v>
      </c>
      <c r="AN43" s="123">
        <f t="shared" si="5"/>
        <v>1.7301038062283738E-2</v>
      </c>
      <c r="AO43" s="122">
        <f t="shared" si="6"/>
        <v>0</v>
      </c>
      <c r="AP43" s="123">
        <f t="shared" si="7"/>
        <v>0</v>
      </c>
      <c r="AQ43" s="122">
        <f t="shared" si="42"/>
        <v>50</v>
      </c>
      <c r="AR43" s="123">
        <f t="shared" si="9"/>
        <v>1.4705882352941176E-2</v>
      </c>
    </row>
    <row r="44" spans="1:44" x14ac:dyDescent="0.2">
      <c r="A44" s="5" t="s">
        <v>188</v>
      </c>
      <c r="B44" s="140">
        <v>10000</v>
      </c>
      <c r="C44" s="306"/>
      <c r="D44" s="121"/>
      <c r="E44" s="121"/>
      <c r="F44" s="121"/>
      <c r="G44" s="121"/>
      <c r="H44" s="121"/>
      <c r="I44" s="122">
        <f t="shared" si="37"/>
        <v>0</v>
      </c>
      <c r="J44" s="123">
        <f t="shared" si="1"/>
        <v>0</v>
      </c>
      <c r="K44" s="306"/>
      <c r="L44" s="121"/>
      <c r="M44" s="121"/>
      <c r="N44" s="121"/>
      <c r="O44" s="121"/>
      <c r="P44" s="121"/>
      <c r="Q44" s="122">
        <f t="shared" si="38"/>
        <v>0</v>
      </c>
      <c r="R44" s="123">
        <f t="shared" si="2"/>
        <v>0</v>
      </c>
      <c r="S44" s="310">
        <f t="shared" si="39"/>
        <v>0</v>
      </c>
      <c r="T44" s="122">
        <f t="shared" si="40"/>
        <v>0</v>
      </c>
      <c r="U44" s="123">
        <f t="shared" si="3"/>
        <v>0</v>
      </c>
      <c r="V44" s="185">
        <f t="shared" si="41"/>
        <v>1</v>
      </c>
      <c r="AK44" s="5" t="s">
        <v>188</v>
      </c>
      <c r="AL44" s="140">
        <v>10000</v>
      </c>
      <c r="AM44" s="122">
        <f t="shared" si="14"/>
        <v>0</v>
      </c>
      <c r="AN44" s="123">
        <f t="shared" si="5"/>
        <v>0</v>
      </c>
      <c r="AO44" s="122">
        <f t="shared" si="6"/>
        <v>0</v>
      </c>
      <c r="AP44" s="123">
        <f t="shared" si="7"/>
        <v>0</v>
      </c>
      <c r="AQ44" s="122">
        <f t="shared" si="42"/>
        <v>0</v>
      </c>
      <c r="AR44" s="123">
        <f t="shared" si="9"/>
        <v>0</v>
      </c>
    </row>
    <row r="45" spans="1:44" x14ac:dyDescent="0.2">
      <c r="A45" s="5" t="s">
        <v>189</v>
      </c>
      <c r="B45" s="140">
        <v>20000</v>
      </c>
      <c r="C45" s="306"/>
      <c r="D45" s="121"/>
      <c r="E45" s="121"/>
      <c r="F45" s="121"/>
      <c r="G45" s="121"/>
      <c r="H45" s="121"/>
      <c r="I45" s="122">
        <f t="shared" si="37"/>
        <v>0</v>
      </c>
      <c r="J45" s="123">
        <f t="shared" si="1"/>
        <v>0</v>
      </c>
      <c r="K45" s="306"/>
      <c r="L45" s="121"/>
      <c r="M45" s="121"/>
      <c r="N45" s="121"/>
      <c r="O45" s="121"/>
      <c r="P45" s="121"/>
      <c r="Q45" s="122">
        <f t="shared" si="38"/>
        <v>0</v>
      </c>
      <c r="R45" s="123">
        <f t="shared" si="2"/>
        <v>0</v>
      </c>
      <c r="S45" s="310">
        <f t="shared" si="39"/>
        <v>0</v>
      </c>
      <c r="T45" s="122">
        <f t="shared" si="40"/>
        <v>0</v>
      </c>
      <c r="U45" s="123">
        <f t="shared" si="3"/>
        <v>0</v>
      </c>
      <c r="V45" s="185">
        <f t="shared" si="41"/>
        <v>1</v>
      </c>
      <c r="AK45" s="5" t="s">
        <v>189</v>
      </c>
      <c r="AL45" s="140">
        <v>20000</v>
      </c>
      <c r="AM45" s="122">
        <f t="shared" si="14"/>
        <v>0</v>
      </c>
      <c r="AN45" s="123">
        <f t="shared" si="5"/>
        <v>0</v>
      </c>
      <c r="AO45" s="122">
        <f t="shared" si="6"/>
        <v>0</v>
      </c>
      <c r="AP45" s="123">
        <f t="shared" si="7"/>
        <v>0</v>
      </c>
      <c r="AQ45" s="122">
        <f t="shared" si="42"/>
        <v>0</v>
      </c>
      <c r="AR45" s="123">
        <f t="shared" si="9"/>
        <v>0</v>
      </c>
    </row>
    <row r="46" spans="1:44" x14ac:dyDescent="0.2">
      <c r="A46" s="5" t="s">
        <v>218</v>
      </c>
      <c r="B46" s="140">
        <v>15000</v>
      </c>
      <c r="C46" s="306"/>
      <c r="D46" s="121"/>
      <c r="E46" s="121"/>
      <c r="F46" s="121"/>
      <c r="G46" s="121"/>
      <c r="H46" s="121"/>
      <c r="I46" s="122">
        <f t="shared" si="37"/>
        <v>0</v>
      </c>
      <c r="J46" s="123">
        <f t="shared" si="1"/>
        <v>0</v>
      </c>
      <c r="K46" s="306"/>
      <c r="L46" s="121"/>
      <c r="M46" s="121"/>
      <c r="N46" s="121"/>
      <c r="O46" s="121"/>
      <c r="P46" s="121"/>
      <c r="Q46" s="122">
        <f t="shared" si="38"/>
        <v>0</v>
      </c>
      <c r="R46" s="123">
        <f t="shared" si="2"/>
        <v>0</v>
      </c>
      <c r="S46" s="310">
        <f t="shared" si="39"/>
        <v>0</v>
      </c>
      <c r="T46" s="122">
        <f t="shared" si="40"/>
        <v>0</v>
      </c>
      <c r="U46" s="123">
        <f t="shared" si="3"/>
        <v>0</v>
      </c>
      <c r="V46" s="185">
        <f t="shared" si="41"/>
        <v>1</v>
      </c>
      <c r="AK46" s="5" t="s">
        <v>218</v>
      </c>
      <c r="AL46" s="140">
        <v>15000</v>
      </c>
      <c r="AM46" s="122">
        <f t="shared" si="14"/>
        <v>0</v>
      </c>
      <c r="AN46" s="123">
        <f t="shared" si="5"/>
        <v>0</v>
      </c>
      <c r="AO46" s="122">
        <f t="shared" si="6"/>
        <v>0</v>
      </c>
      <c r="AP46" s="123">
        <f t="shared" si="7"/>
        <v>0</v>
      </c>
      <c r="AQ46" s="122">
        <f t="shared" si="42"/>
        <v>0</v>
      </c>
      <c r="AR46" s="123">
        <f t="shared" si="9"/>
        <v>0</v>
      </c>
    </row>
    <row r="47" spans="1:44" x14ac:dyDescent="0.2">
      <c r="A47" s="5" t="s">
        <v>180</v>
      </c>
      <c r="B47" s="140">
        <v>1500</v>
      </c>
      <c r="C47" s="306"/>
      <c r="D47" s="121"/>
      <c r="E47" s="121"/>
      <c r="F47" s="121"/>
      <c r="G47" s="121"/>
      <c r="H47" s="121"/>
      <c r="I47" s="122">
        <f t="shared" si="37"/>
        <v>0</v>
      </c>
      <c r="J47" s="123">
        <f t="shared" si="1"/>
        <v>0</v>
      </c>
      <c r="K47" s="306"/>
      <c r="L47" s="121"/>
      <c r="M47" s="121"/>
      <c r="N47" s="121"/>
      <c r="O47" s="121"/>
      <c r="P47" s="121"/>
      <c r="Q47" s="122">
        <f t="shared" si="38"/>
        <v>0</v>
      </c>
      <c r="R47" s="123">
        <f t="shared" si="2"/>
        <v>0</v>
      </c>
      <c r="S47" s="310">
        <f t="shared" si="39"/>
        <v>0</v>
      </c>
      <c r="T47" s="122">
        <f t="shared" si="40"/>
        <v>0</v>
      </c>
      <c r="U47" s="123">
        <f t="shared" si="3"/>
        <v>0</v>
      </c>
      <c r="V47" s="185">
        <f t="shared" si="41"/>
        <v>1</v>
      </c>
      <c r="AK47" s="5" t="s">
        <v>180</v>
      </c>
      <c r="AL47" s="140">
        <v>1500</v>
      </c>
      <c r="AM47" s="122">
        <f t="shared" si="14"/>
        <v>0</v>
      </c>
      <c r="AN47" s="123">
        <f t="shared" si="5"/>
        <v>0</v>
      </c>
      <c r="AO47" s="122">
        <f t="shared" si="6"/>
        <v>0</v>
      </c>
      <c r="AP47" s="123">
        <f t="shared" si="7"/>
        <v>0</v>
      </c>
      <c r="AQ47" s="122">
        <f t="shared" si="42"/>
        <v>0</v>
      </c>
      <c r="AR47" s="123">
        <f t="shared" si="9"/>
        <v>0</v>
      </c>
    </row>
    <row r="48" spans="1:44" x14ac:dyDescent="0.2">
      <c r="A48" s="5" t="s">
        <v>179</v>
      </c>
      <c r="B48" s="140" t="s">
        <v>295</v>
      </c>
      <c r="C48" s="306"/>
      <c r="D48" s="121"/>
      <c r="E48" s="121"/>
      <c r="F48" s="121"/>
      <c r="G48" s="121"/>
      <c r="H48" s="121"/>
      <c r="I48" s="122">
        <f t="shared" si="37"/>
        <v>0</v>
      </c>
      <c r="J48" s="123">
        <f t="shared" si="1"/>
        <v>0</v>
      </c>
      <c r="K48" s="306"/>
      <c r="L48" s="121"/>
      <c r="M48" s="121"/>
      <c r="N48" s="121"/>
      <c r="O48" s="121"/>
      <c r="P48" s="121"/>
      <c r="Q48" s="122">
        <f t="shared" si="38"/>
        <v>0</v>
      </c>
      <c r="R48" s="123">
        <f t="shared" si="2"/>
        <v>0</v>
      </c>
      <c r="S48" s="310">
        <f t="shared" si="39"/>
        <v>0</v>
      </c>
      <c r="T48" s="122">
        <f t="shared" si="40"/>
        <v>0</v>
      </c>
      <c r="U48" s="123">
        <f t="shared" si="3"/>
        <v>0</v>
      </c>
      <c r="V48" s="185">
        <f t="shared" si="41"/>
        <v>1</v>
      </c>
      <c r="AK48" s="5" t="s">
        <v>179</v>
      </c>
      <c r="AL48" s="140" t="s">
        <v>295</v>
      </c>
      <c r="AM48" s="122">
        <f t="shared" si="14"/>
        <v>0</v>
      </c>
      <c r="AN48" s="123">
        <f t="shared" si="5"/>
        <v>0</v>
      </c>
      <c r="AO48" s="122">
        <f t="shared" si="6"/>
        <v>0</v>
      </c>
      <c r="AP48" s="123">
        <f t="shared" si="7"/>
        <v>0</v>
      </c>
      <c r="AQ48" s="122">
        <f t="shared" si="42"/>
        <v>0</v>
      </c>
      <c r="AR48" s="123">
        <f t="shared" si="9"/>
        <v>0</v>
      </c>
    </row>
    <row r="49" spans="1:44" x14ac:dyDescent="0.2">
      <c r="A49" s="118" t="s">
        <v>158</v>
      </c>
      <c r="B49" s="142">
        <f>SUM(B43:B48)</f>
        <v>96500</v>
      </c>
      <c r="C49" s="307">
        <f>SUM(C42:C48)</f>
        <v>50</v>
      </c>
      <c r="D49" s="127">
        <f t="shared" ref="D49:I49" si="43">SUM(D42:D48)</f>
        <v>0</v>
      </c>
      <c r="E49" s="127">
        <f t="shared" si="43"/>
        <v>20</v>
      </c>
      <c r="F49" s="127">
        <f t="shared" si="43"/>
        <v>20</v>
      </c>
      <c r="G49" s="127">
        <f t="shared" si="43"/>
        <v>10</v>
      </c>
      <c r="H49" s="127">
        <f t="shared" si="43"/>
        <v>0</v>
      </c>
      <c r="I49" s="127">
        <f t="shared" si="43"/>
        <v>50</v>
      </c>
      <c r="J49" s="128">
        <f t="shared" si="1"/>
        <v>1.7301038062283738E-2</v>
      </c>
      <c r="K49" s="307">
        <f>SUM(K42:K48)</f>
        <v>0</v>
      </c>
      <c r="L49" s="127">
        <f t="shared" ref="L49:Q49" si="44">SUM(L42:L48)</f>
        <v>0</v>
      </c>
      <c r="M49" s="127">
        <f t="shared" si="44"/>
        <v>0</v>
      </c>
      <c r="N49" s="127">
        <f t="shared" si="44"/>
        <v>0</v>
      </c>
      <c r="O49" s="127">
        <f t="shared" si="44"/>
        <v>0</v>
      </c>
      <c r="P49" s="127">
        <f t="shared" si="44"/>
        <v>0</v>
      </c>
      <c r="Q49" s="127">
        <f t="shared" si="44"/>
        <v>0</v>
      </c>
      <c r="R49" s="128">
        <f t="shared" si="2"/>
        <v>0</v>
      </c>
      <c r="S49" s="307">
        <f>SUM(S42:S48)</f>
        <v>50</v>
      </c>
      <c r="T49" s="127">
        <f>SUM(T42:T48)</f>
        <v>50</v>
      </c>
      <c r="U49" s="128">
        <f t="shared" si="3"/>
        <v>1.4285714285714285E-2</v>
      </c>
      <c r="V49" s="186">
        <f>SUM(V42:V48)</f>
        <v>7</v>
      </c>
      <c r="AK49" s="118" t="s">
        <v>158</v>
      </c>
      <c r="AL49" s="142">
        <f>SUM(AL43:AL48)</f>
        <v>96500</v>
      </c>
      <c r="AM49" s="127">
        <f t="shared" si="14"/>
        <v>50</v>
      </c>
      <c r="AN49" s="128">
        <f t="shared" si="5"/>
        <v>1.7301038062283738E-2</v>
      </c>
      <c r="AO49" s="127">
        <f t="shared" si="6"/>
        <v>0</v>
      </c>
      <c r="AP49" s="128">
        <f t="shared" si="7"/>
        <v>0</v>
      </c>
      <c r="AQ49" s="127">
        <f>SUM(AQ42:AQ48)</f>
        <v>50</v>
      </c>
      <c r="AR49" s="128">
        <f t="shared" si="9"/>
        <v>1.4705882352941176E-2</v>
      </c>
    </row>
    <row r="50" spans="1:44" ht="19.95" customHeight="1" x14ac:dyDescent="0.2">
      <c r="A50" s="567" t="s">
        <v>190</v>
      </c>
      <c r="B50" s="600">
        <f>B19+B22+B33+B41+B49</f>
        <v>282200</v>
      </c>
      <c r="C50" s="307">
        <f t="shared" ref="C50:I50" si="45">C19+C22+C33+C41+C49</f>
        <v>2880</v>
      </c>
      <c r="D50" s="127">
        <f t="shared" si="45"/>
        <v>80</v>
      </c>
      <c r="E50" s="127">
        <f t="shared" si="45"/>
        <v>440</v>
      </c>
      <c r="F50" s="127">
        <f t="shared" si="45"/>
        <v>670</v>
      </c>
      <c r="G50" s="127">
        <f t="shared" si="45"/>
        <v>810</v>
      </c>
      <c r="H50" s="127">
        <f t="shared" si="45"/>
        <v>890</v>
      </c>
      <c r="I50" s="594">
        <f t="shared" si="45"/>
        <v>2890</v>
      </c>
      <c r="J50" s="598">
        <f>I50/T50</f>
        <v>0.82571428571428573</v>
      </c>
      <c r="K50" s="307">
        <f t="shared" ref="K50:Q50" si="46">K19+K22+K33+K41+K49</f>
        <v>610</v>
      </c>
      <c r="L50" s="127">
        <f t="shared" si="46"/>
        <v>160</v>
      </c>
      <c r="M50" s="127">
        <f t="shared" si="46"/>
        <v>190</v>
      </c>
      <c r="N50" s="127">
        <f t="shared" si="46"/>
        <v>180</v>
      </c>
      <c r="O50" s="127">
        <f t="shared" si="46"/>
        <v>80</v>
      </c>
      <c r="P50" s="127">
        <f t="shared" si="46"/>
        <v>0</v>
      </c>
      <c r="Q50" s="594">
        <f t="shared" si="46"/>
        <v>610</v>
      </c>
      <c r="R50" s="598">
        <f>Q50/T50</f>
        <v>0.17428571428571429</v>
      </c>
      <c r="S50" s="307">
        <f>S19+S22+S33+S41+S49</f>
        <v>3490</v>
      </c>
      <c r="T50" s="594">
        <f>T19+T22+T33+T41+T49</f>
        <v>3500</v>
      </c>
      <c r="U50" s="593">
        <f t="shared" si="3"/>
        <v>1</v>
      </c>
      <c r="V50" s="187">
        <f>V22+V33+V41+V49</f>
        <v>26</v>
      </c>
      <c r="AK50" s="567" t="s">
        <v>190</v>
      </c>
      <c r="AL50" s="600">
        <f>AL19+AL22+AL33+AL41+AL49</f>
        <v>282200</v>
      </c>
      <c r="AM50" s="594">
        <f>AM19+AM22+AM33+AM41+AM49</f>
        <v>2890</v>
      </c>
      <c r="AN50" s="598">
        <f>AM50/AQ50</f>
        <v>0.85</v>
      </c>
      <c r="AO50" s="594">
        <f>AO19+AO22+AO33+AO41+AO49</f>
        <v>610</v>
      </c>
      <c r="AP50" s="598">
        <f>AO50/AQ50</f>
        <v>0.17941176470588235</v>
      </c>
      <c r="AQ50" s="594">
        <f>AQ19+AQ22+AQ33+AQ41+AQ49</f>
        <v>3400</v>
      </c>
      <c r="AR50" s="593">
        <f t="shared" si="9"/>
        <v>1</v>
      </c>
    </row>
    <row r="51" spans="1:44" ht="12" customHeight="1" x14ac:dyDescent="0.2">
      <c r="A51" s="567"/>
      <c r="B51" s="600"/>
      <c r="C51" s="308">
        <f>C50/B50</f>
        <v>1.0205527994330263E-2</v>
      </c>
      <c r="D51" s="146"/>
      <c r="E51" s="144">
        <f>IF(D50&lt;&gt;0,(E50-D50)/D50,0)</f>
        <v>4.5</v>
      </c>
      <c r="F51" s="144">
        <f>IF(E50&lt;&gt;0,(F50-E50)/E50,0)</f>
        <v>0.52272727272727271</v>
      </c>
      <c r="G51" s="144">
        <f>IF(F50&lt;&gt;0,(G50-F50)/F50,0)</f>
        <v>0.20895522388059701</v>
      </c>
      <c r="H51" s="144">
        <f>IF(G50&lt;&gt;0,(H50-G50)/G50,0)</f>
        <v>9.8765432098765427E-2</v>
      </c>
      <c r="I51" s="559"/>
      <c r="J51" s="599"/>
      <c r="K51" s="308">
        <f>K50/B50</f>
        <v>2.1615875265768958E-3</v>
      </c>
      <c r="L51" s="146"/>
      <c r="M51" s="144">
        <f>(M50-L50)/L50</f>
        <v>0.1875</v>
      </c>
      <c r="N51" s="144">
        <f>(N50-M50)/M50</f>
        <v>-5.2631578947368418E-2</v>
      </c>
      <c r="O51" s="144">
        <f>(O50-N50)/N50</f>
        <v>-0.55555555555555558</v>
      </c>
      <c r="P51" s="144">
        <f>(P50-O50)/O50</f>
        <v>-1</v>
      </c>
      <c r="Q51" s="559"/>
      <c r="R51" s="599"/>
      <c r="S51" s="308">
        <f>S50/B50</f>
        <v>1.2367115520907157E-2</v>
      </c>
      <c r="T51" s="559"/>
      <c r="U51" s="547"/>
      <c r="AK51" s="567"/>
      <c r="AL51" s="600"/>
      <c r="AM51" s="559"/>
      <c r="AN51" s="599"/>
      <c r="AO51" s="559"/>
      <c r="AP51" s="599"/>
      <c r="AQ51" s="559"/>
      <c r="AR51" s="547"/>
    </row>
    <row r="52" spans="1:44" ht="10.95" customHeight="1" x14ac:dyDescent="0.2">
      <c r="A52" s="188" t="s">
        <v>256</v>
      </c>
      <c r="B52" s="145"/>
      <c r="C52" s="268"/>
      <c r="D52" s="147"/>
      <c r="E52" s="148"/>
      <c r="F52" s="148"/>
      <c r="G52" s="148"/>
      <c r="H52" s="148"/>
      <c r="I52" s="149"/>
      <c r="J52" s="143"/>
      <c r="K52" s="271"/>
      <c r="L52" s="147"/>
      <c r="M52" s="148"/>
      <c r="N52" s="148"/>
      <c r="O52" s="148"/>
      <c r="P52" s="148"/>
      <c r="Q52" s="149"/>
      <c r="R52" s="143"/>
      <c r="S52" s="271"/>
      <c r="T52" s="143"/>
      <c r="U52" s="143"/>
      <c r="AK52" s="188"/>
      <c r="AL52" s="145"/>
      <c r="AM52" s="149"/>
      <c r="AN52" s="143"/>
      <c r="AO52" s="149"/>
      <c r="AP52" s="143"/>
      <c r="AQ52" s="143"/>
      <c r="AR52" s="143"/>
    </row>
    <row r="53" spans="1:44" ht="13.05" customHeight="1" x14ac:dyDescent="0.2">
      <c r="B53"/>
      <c r="C53" s="269"/>
      <c r="D53" s="398">
        <f>D22+D33+D41</f>
        <v>30</v>
      </c>
      <c r="E53" s="398">
        <f>E22+E33+E41+E49</f>
        <v>240</v>
      </c>
      <c r="F53" s="398">
        <f>F22+F33+F41</f>
        <v>390</v>
      </c>
      <c r="G53" s="398">
        <f>G22+G33+G41</f>
        <v>530</v>
      </c>
      <c r="H53" s="398">
        <f>H22+H33+H41</f>
        <v>560</v>
      </c>
      <c r="I53" s="116">
        <f>SUM(D53:H53)</f>
        <v>1750</v>
      </c>
      <c r="K53" s="270"/>
      <c r="L53"/>
      <c r="M53"/>
      <c r="N53"/>
      <c r="O53"/>
      <c r="P53" s="83"/>
      <c r="AL53"/>
    </row>
    <row r="54" spans="1:44" ht="13.05" customHeight="1" x14ac:dyDescent="0.2">
      <c r="B54"/>
      <c r="C54" s="269"/>
      <c r="D54"/>
      <c r="E54" s="398">
        <f>SUM(D53:E53)</f>
        <v>270</v>
      </c>
      <c r="F54"/>
      <c r="G54"/>
      <c r="K54" s="270"/>
      <c r="L54"/>
      <c r="M54"/>
      <c r="N54"/>
      <c r="O54"/>
      <c r="AL54"/>
    </row>
    <row r="55" spans="1:44" ht="13.05" customHeight="1" x14ac:dyDescent="0.2">
      <c r="B55"/>
      <c r="C55" s="269"/>
      <c r="D55"/>
      <c r="E55"/>
      <c r="F55"/>
      <c r="G55"/>
      <c r="L55"/>
      <c r="M55"/>
      <c r="N55"/>
      <c r="O55"/>
      <c r="AL55"/>
    </row>
    <row r="56" spans="1:44" ht="13.05" customHeight="1" x14ac:dyDescent="0.2">
      <c r="B56"/>
      <c r="C56" s="269"/>
      <c r="D56"/>
      <c r="E56"/>
      <c r="F56"/>
      <c r="G56"/>
      <c r="L56"/>
      <c r="M56"/>
      <c r="N56"/>
      <c r="O56"/>
      <c r="AL56"/>
    </row>
    <row r="57" spans="1:44" ht="13.05" customHeight="1" x14ac:dyDescent="0.2">
      <c r="B57"/>
      <c r="C57" s="269"/>
      <c r="D57"/>
      <c r="E57"/>
      <c r="F57"/>
      <c r="G57"/>
      <c r="L57"/>
      <c r="M57"/>
      <c r="N57"/>
      <c r="O57"/>
      <c r="AL57"/>
    </row>
    <row r="58" spans="1:44" ht="13.05" customHeight="1" x14ac:dyDescent="0.2">
      <c r="B58"/>
      <c r="C58" s="269"/>
      <c r="D58"/>
      <c r="E58"/>
      <c r="F58"/>
      <c r="G58"/>
      <c r="L58"/>
      <c r="M58"/>
      <c r="N58"/>
      <c r="O58"/>
      <c r="AL58"/>
    </row>
    <row r="59" spans="1:44" ht="13.05" customHeight="1" x14ac:dyDescent="0.2">
      <c r="B59"/>
      <c r="C59" s="269"/>
      <c r="D59"/>
      <c r="E59"/>
      <c r="F59"/>
      <c r="G59"/>
      <c r="L59"/>
      <c r="M59"/>
      <c r="N59"/>
      <c r="O59"/>
      <c r="AL59"/>
    </row>
    <row r="60" spans="1:44" ht="13.05" customHeight="1" x14ac:dyDescent="0.2">
      <c r="B60"/>
      <c r="C60" s="269"/>
      <c r="D60"/>
      <c r="E60"/>
      <c r="F60"/>
      <c r="G60"/>
      <c r="L60"/>
      <c r="M60"/>
      <c r="N60"/>
      <c r="O60"/>
      <c r="AL60"/>
    </row>
    <row r="61" spans="1:44" ht="13.05" customHeight="1" x14ac:dyDescent="0.2">
      <c r="C61" s="270"/>
    </row>
    <row r="62" spans="1:44" ht="13.05" customHeight="1" x14ac:dyDescent="0.2">
      <c r="C62" s="270"/>
    </row>
    <row r="63" spans="1:44" ht="13.05" customHeight="1" x14ac:dyDescent="0.2">
      <c r="C63" s="270"/>
    </row>
    <row r="64" spans="1:44" ht="13.05" customHeight="1" x14ac:dyDescent="0.2">
      <c r="C64" s="270"/>
    </row>
    <row r="65" spans="3:3" ht="13.05" customHeight="1" x14ac:dyDescent="0.2">
      <c r="C65" s="270"/>
    </row>
    <row r="66" spans="3:3" ht="13.05" customHeight="1" x14ac:dyDescent="0.2">
      <c r="C66" s="270"/>
    </row>
    <row r="67" spans="3:3" ht="13.05" customHeight="1" x14ac:dyDescent="0.2"/>
    <row r="68" spans="3:3" ht="13.05" customHeight="1" x14ac:dyDescent="0.2"/>
    <row r="69" spans="3:3" ht="13.05" customHeight="1" x14ac:dyDescent="0.2"/>
    <row r="70" spans="3:3" ht="13.05" customHeight="1" x14ac:dyDescent="0.2"/>
    <row r="90" spans="2:38" x14ac:dyDescent="0.2">
      <c r="B90" s="129"/>
      <c r="C90" s="130"/>
      <c r="D90" s="83"/>
      <c r="E90" s="83"/>
      <c r="F90" s="83"/>
      <c r="G90" s="83"/>
      <c r="H90" s="83"/>
      <c r="L90" s="83"/>
      <c r="M90" s="83"/>
      <c r="N90" s="83"/>
      <c r="O90" s="83"/>
      <c r="P90" s="83"/>
      <c r="AL90" s="129"/>
    </row>
    <row r="91" spans="2:38" x14ac:dyDescent="0.2">
      <c r="C91" s="131"/>
    </row>
    <row r="92" spans="2:38" x14ac:dyDescent="0.2">
      <c r="C92" s="131"/>
    </row>
    <row r="93" spans="2:38" x14ac:dyDescent="0.2">
      <c r="C93" s="131"/>
    </row>
    <row r="94" spans="2:38" x14ac:dyDescent="0.2">
      <c r="C94" s="131"/>
    </row>
    <row r="95" spans="2:38" x14ac:dyDescent="0.2">
      <c r="C95" s="131"/>
    </row>
    <row r="96" spans="2:38" x14ac:dyDescent="0.2">
      <c r="C96" s="131"/>
    </row>
    <row r="97" spans="3:3" x14ac:dyDescent="0.2">
      <c r="C97" s="131"/>
    </row>
    <row r="98" spans="3:3" x14ac:dyDescent="0.2">
      <c r="C98" s="131"/>
    </row>
    <row r="99" spans="3:3" x14ac:dyDescent="0.2">
      <c r="C99" s="131"/>
    </row>
    <row r="100" spans="3:3" x14ac:dyDescent="0.2">
      <c r="C100" s="131"/>
    </row>
    <row r="101" spans="3:3" x14ac:dyDescent="0.2">
      <c r="C101" s="131"/>
    </row>
    <row r="102" spans="3:3" x14ac:dyDescent="0.2">
      <c r="C102" s="131"/>
    </row>
    <row r="103" spans="3:3" x14ac:dyDescent="0.2">
      <c r="C103" s="131"/>
    </row>
    <row r="104" spans="3:3" x14ac:dyDescent="0.2">
      <c r="C104" s="131"/>
    </row>
    <row r="105" spans="3:3" x14ac:dyDescent="0.2">
      <c r="C105" s="131"/>
    </row>
    <row r="106" spans="3:3" x14ac:dyDescent="0.2">
      <c r="C106" s="131"/>
    </row>
    <row r="107" spans="3:3" x14ac:dyDescent="0.2">
      <c r="C107" s="131"/>
    </row>
    <row r="108" spans="3:3" x14ac:dyDescent="0.2">
      <c r="C108" s="131"/>
    </row>
    <row r="109" spans="3:3" x14ac:dyDescent="0.2">
      <c r="C109" s="131"/>
    </row>
    <row r="110" spans="3:3" x14ac:dyDescent="0.2">
      <c r="C110" s="131"/>
    </row>
    <row r="111" spans="3:3" x14ac:dyDescent="0.2">
      <c r="C111" s="131"/>
    </row>
    <row r="112" spans="3:3" x14ac:dyDescent="0.2">
      <c r="C112" s="131"/>
    </row>
    <row r="113" spans="3:3" x14ac:dyDescent="0.2">
      <c r="C113" s="131"/>
    </row>
    <row r="114" spans="3:3" x14ac:dyDescent="0.2">
      <c r="C114" s="131"/>
    </row>
    <row r="115" spans="3:3" x14ac:dyDescent="0.2">
      <c r="C115" s="131"/>
    </row>
    <row r="116" spans="3:3" x14ac:dyDescent="0.2">
      <c r="C116" s="131"/>
    </row>
    <row r="117" spans="3:3" x14ac:dyDescent="0.2">
      <c r="C117" s="131"/>
    </row>
    <row r="118" spans="3:3" x14ac:dyDescent="0.2">
      <c r="C118" s="131"/>
    </row>
    <row r="119" spans="3:3" x14ac:dyDescent="0.2">
      <c r="C119" s="131"/>
    </row>
    <row r="120" spans="3:3" x14ac:dyDescent="0.2">
      <c r="C120" s="132"/>
    </row>
    <row r="121" spans="3:3" x14ac:dyDescent="0.2">
      <c r="C121" s="132"/>
    </row>
    <row r="122" spans="3:3" x14ac:dyDescent="0.2">
      <c r="C122" s="132"/>
    </row>
    <row r="123" spans="3:3" x14ac:dyDescent="0.2">
      <c r="C123" s="132"/>
    </row>
    <row r="124" spans="3:3" x14ac:dyDescent="0.2">
      <c r="C124" s="132"/>
    </row>
    <row r="125" spans="3:3" x14ac:dyDescent="0.2">
      <c r="C125" s="132"/>
    </row>
    <row r="126" spans="3:3" x14ac:dyDescent="0.2">
      <c r="C126" s="132"/>
    </row>
    <row r="127" spans="3:3" x14ac:dyDescent="0.2">
      <c r="C127" s="132"/>
    </row>
    <row r="128" spans="3:3" x14ac:dyDescent="0.2">
      <c r="C128" s="132"/>
    </row>
    <row r="129" spans="3:3" x14ac:dyDescent="0.2">
      <c r="C129" s="132"/>
    </row>
    <row r="130" spans="3:3" x14ac:dyDescent="0.2">
      <c r="C130" s="132"/>
    </row>
    <row r="131" spans="3:3" x14ac:dyDescent="0.2">
      <c r="C131" s="132"/>
    </row>
    <row r="132" spans="3:3" x14ac:dyDescent="0.2">
      <c r="C132" s="132"/>
    </row>
    <row r="133" spans="3:3" x14ac:dyDescent="0.2">
      <c r="C133" s="132"/>
    </row>
    <row r="134" spans="3:3" x14ac:dyDescent="0.2">
      <c r="C134" s="132"/>
    </row>
    <row r="135" spans="3:3" x14ac:dyDescent="0.2">
      <c r="C135" s="132"/>
    </row>
    <row r="136" spans="3:3" x14ac:dyDescent="0.2">
      <c r="C136" s="132"/>
    </row>
    <row r="137" spans="3:3" x14ac:dyDescent="0.2">
      <c r="C137" s="132"/>
    </row>
    <row r="138" spans="3:3" x14ac:dyDescent="0.2">
      <c r="C138" s="132"/>
    </row>
    <row r="139" spans="3:3" x14ac:dyDescent="0.2">
      <c r="C139" s="132"/>
    </row>
    <row r="140" spans="3:3" x14ac:dyDescent="0.2">
      <c r="C140" s="132"/>
    </row>
    <row r="141" spans="3:3" x14ac:dyDescent="0.2">
      <c r="C141" s="132"/>
    </row>
    <row r="142" spans="3:3" x14ac:dyDescent="0.2">
      <c r="C142" s="132"/>
    </row>
    <row r="143" spans="3:3" x14ac:dyDescent="0.2">
      <c r="C143" s="132"/>
    </row>
    <row r="144" spans="3:3" x14ac:dyDescent="0.2">
      <c r="C144" s="132"/>
    </row>
    <row r="145" spans="3:3" x14ac:dyDescent="0.2">
      <c r="C145" s="132"/>
    </row>
    <row r="146" spans="3:3" x14ac:dyDescent="0.2">
      <c r="C146" s="132"/>
    </row>
    <row r="147" spans="3:3" x14ac:dyDescent="0.2">
      <c r="C147" s="132"/>
    </row>
    <row r="148" spans="3:3" x14ac:dyDescent="0.2">
      <c r="C148" s="132"/>
    </row>
    <row r="149" spans="3:3" x14ac:dyDescent="0.2">
      <c r="C149" s="132"/>
    </row>
    <row r="150" spans="3:3" x14ac:dyDescent="0.2">
      <c r="C150" s="132"/>
    </row>
    <row r="151" spans="3:3" x14ac:dyDescent="0.2">
      <c r="C151" s="132"/>
    </row>
    <row r="152" spans="3:3" x14ac:dyDescent="0.2">
      <c r="C152" s="132"/>
    </row>
    <row r="153" spans="3:3" x14ac:dyDescent="0.2">
      <c r="C153" s="132"/>
    </row>
    <row r="154" spans="3:3" x14ac:dyDescent="0.2">
      <c r="C154" s="132"/>
    </row>
    <row r="155" spans="3:3" x14ac:dyDescent="0.2">
      <c r="C155" s="132"/>
    </row>
    <row r="156" spans="3:3" x14ac:dyDescent="0.2">
      <c r="C156" s="132"/>
    </row>
    <row r="157" spans="3:3" x14ac:dyDescent="0.2">
      <c r="C157" s="132"/>
    </row>
  </sheetData>
  <mergeCells count="30">
    <mergeCell ref="AK2:AR2"/>
    <mergeCell ref="AK1:AR1"/>
    <mergeCell ref="AK50:AK51"/>
    <mergeCell ref="AL50:AL51"/>
    <mergeCell ref="AM50:AM51"/>
    <mergeCell ref="AN50:AN51"/>
    <mergeCell ref="AO50:AO51"/>
    <mergeCell ref="AP50:AP51"/>
    <mergeCell ref="AQ50:AQ51"/>
    <mergeCell ref="AR50:AR51"/>
    <mergeCell ref="A50:A51"/>
    <mergeCell ref="B50:B51"/>
    <mergeCell ref="A4:A5"/>
    <mergeCell ref="B4:B5"/>
    <mergeCell ref="K4:R4"/>
    <mergeCell ref="AQ4:AR4"/>
    <mergeCell ref="AO4:AP4"/>
    <mergeCell ref="AM4:AN4"/>
    <mergeCell ref="AL4:AL5"/>
    <mergeCell ref="AK4:AK5"/>
    <mergeCell ref="S4:U4"/>
    <mergeCell ref="U50:U51"/>
    <mergeCell ref="I50:I51"/>
    <mergeCell ref="T50:T51"/>
    <mergeCell ref="Q50:Q51"/>
    <mergeCell ref="A1:U1"/>
    <mergeCell ref="A2:U2"/>
    <mergeCell ref="C4:J4"/>
    <mergeCell ref="J50:J51"/>
    <mergeCell ref="R50:R51"/>
  </mergeCells>
  <phoneticPr fontId="10"/>
  <printOptions horizontalCentered="1"/>
  <pageMargins left="0.47244094488188981" right="0.55118110236220474" top="0.74803149606299213" bottom="0.98425196850393704" header="0.51181102362204722" footer="0.51181102362204722"/>
  <pageSetup paperSize="0" scale="68" orientation="landscape" horizontalDpi="4294967292" verticalDpi="4294967292"/>
  <headerFooter alignWithMargins="0">
    <oddFooter>&amp;LCopyright OPTIMOIL Technologies SA (c)&amp;C*** DOCUMENT CONFIDENTIEL ***&amp;RImprimé le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4"/>
  <sheetViews>
    <sheetView topLeftCell="A181" zoomScaleNormal="100" workbookViewId="0">
      <selection activeCell="A150" sqref="A150"/>
    </sheetView>
  </sheetViews>
  <sheetFormatPr defaultColWidth="10.6328125" defaultRowHeight="12.6" x14ac:dyDescent="0.2"/>
  <cols>
    <col min="1" max="1" width="40.36328125" style="2" customWidth="1"/>
    <col min="2" max="2" width="4.36328125" style="2" customWidth="1"/>
    <col min="3" max="3" width="9" style="2" customWidth="1"/>
    <col min="4" max="4" width="3" style="2" customWidth="1"/>
    <col min="5" max="5" width="11.6328125" style="2" customWidth="1"/>
    <col min="6" max="6" width="3" style="2" customWidth="1"/>
    <col min="7" max="7" width="11.6328125" style="2" customWidth="1"/>
    <col min="8" max="8" width="3" style="2" customWidth="1"/>
    <col min="9" max="9" width="11.6328125" style="2" customWidth="1"/>
    <col min="10" max="10" width="3" style="2" customWidth="1"/>
    <col min="11" max="11" width="11.6328125" style="2" customWidth="1"/>
    <col min="12" max="12" width="3" style="2" customWidth="1"/>
    <col min="13" max="13" width="11.6328125" style="2" customWidth="1"/>
    <col min="14" max="14" width="14.1796875" style="2" customWidth="1"/>
    <col min="15" max="15" width="10.6328125" style="2"/>
    <col min="16" max="19" width="10.6328125" style="2" hidden="1" customWidth="1"/>
    <col min="20" max="16384" width="10.6328125" style="2"/>
  </cols>
  <sheetData>
    <row r="1" spans="1:19" ht="24.6" x14ac:dyDescent="0.2">
      <c r="A1" s="595" t="s">
        <v>145</v>
      </c>
      <c r="B1" s="595"/>
      <c r="C1" s="595"/>
      <c r="D1" s="595"/>
      <c r="E1" s="595"/>
      <c r="F1" s="595"/>
      <c r="G1" s="595"/>
      <c r="H1" s="595"/>
      <c r="I1" s="595"/>
      <c r="J1" s="595"/>
      <c r="K1" s="595"/>
      <c r="L1" s="595"/>
      <c r="M1" s="595"/>
      <c r="N1" s="595"/>
    </row>
    <row r="2" spans="1:19" ht="6" customHeight="1" thickBot="1" x14ac:dyDescent="0.25"/>
    <row r="3" spans="1:19" ht="43.95" customHeight="1" thickBot="1" x14ac:dyDescent="0.25">
      <c r="A3" s="41" t="s">
        <v>60</v>
      </c>
      <c r="B3" s="651" t="s">
        <v>289</v>
      </c>
      <c r="C3" s="652"/>
      <c r="D3" s="647">
        <v>2012</v>
      </c>
      <c r="E3" s="648"/>
      <c r="F3" s="647">
        <v>2013</v>
      </c>
      <c r="G3" s="648"/>
      <c r="H3" s="647">
        <v>2014</v>
      </c>
      <c r="I3" s="648"/>
      <c r="J3" s="647">
        <v>2015</v>
      </c>
      <c r="K3" s="648"/>
      <c r="L3" s="647">
        <v>2016</v>
      </c>
      <c r="M3" s="648"/>
      <c r="N3" s="64" t="s">
        <v>498</v>
      </c>
      <c r="O3" s="1"/>
      <c r="P3" s="1"/>
      <c r="Q3" s="1"/>
    </row>
    <row r="4" spans="1:19" ht="7.05" customHeight="1" thickBot="1" x14ac:dyDescent="0.25">
      <c r="C4" s="1"/>
      <c r="D4" s="55"/>
      <c r="E4" s="7"/>
      <c r="F4" s="55"/>
      <c r="G4" s="7"/>
      <c r="H4" s="55"/>
      <c r="I4" s="7"/>
      <c r="J4" s="55"/>
      <c r="K4" s="7"/>
      <c r="L4" s="55"/>
      <c r="M4" s="7"/>
      <c r="N4" s="7"/>
      <c r="O4" s="6"/>
    </row>
    <row r="5" spans="1:19" ht="13.05" customHeight="1" x14ac:dyDescent="0.2">
      <c r="A5" s="18" t="s">
        <v>61</v>
      </c>
      <c r="B5" s="27"/>
      <c r="C5" s="157">
        <v>50000</v>
      </c>
      <c r="D5" s="56"/>
      <c r="E5" s="153">
        <f>D5*$C5</f>
        <v>0</v>
      </c>
      <c r="F5" s="56">
        <v>1</v>
      </c>
      <c r="G5" s="153">
        <f>F5*$C5</f>
        <v>50000</v>
      </c>
      <c r="H5" s="56"/>
      <c r="I5" s="153">
        <f>H5*$C5</f>
        <v>0</v>
      </c>
      <c r="J5" s="56"/>
      <c r="K5" s="153">
        <f>J5*$C5</f>
        <v>0</v>
      </c>
      <c r="L5" s="56"/>
      <c r="M5" s="153">
        <f>L5*$C5</f>
        <v>0</v>
      </c>
      <c r="N5" s="163">
        <f>E5+G5+I5+K5+M5</f>
        <v>50000</v>
      </c>
      <c r="O5" s="6"/>
      <c r="P5" s="82"/>
      <c r="Q5" s="82"/>
      <c r="R5" s="82"/>
      <c r="S5" s="82"/>
    </row>
    <row r="6" spans="1:19" ht="13.05" customHeight="1" thickBot="1" x14ac:dyDescent="0.25">
      <c r="A6" s="31" t="s">
        <v>104</v>
      </c>
      <c r="B6" s="37"/>
      <c r="C6" s="160">
        <v>150000</v>
      </c>
      <c r="D6" s="57">
        <v>1</v>
      </c>
      <c r="E6" s="155">
        <v>100000</v>
      </c>
      <c r="F6" s="57"/>
      <c r="G6" s="155">
        <f>F6*$C6</f>
        <v>0</v>
      </c>
      <c r="H6" s="57"/>
      <c r="I6" s="155">
        <f>H6*$C6</f>
        <v>0</v>
      </c>
      <c r="J6" s="57"/>
      <c r="K6" s="155">
        <f>J6*$C6</f>
        <v>0</v>
      </c>
      <c r="L6" s="57"/>
      <c r="M6" s="155">
        <f>L6*$C6</f>
        <v>0</v>
      </c>
      <c r="N6" s="164">
        <f>E6+G6+I6+K6+M6</f>
        <v>100000</v>
      </c>
      <c r="O6" s="6"/>
      <c r="P6" s="82"/>
      <c r="Q6" s="82"/>
      <c r="R6" s="82"/>
      <c r="S6" s="82"/>
    </row>
    <row r="7" spans="1:19" ht="13.05" customHeight="1" thickBot="1" x14ac:dyDescent="0.25">
      <c r="A7" s="35" t="s">
        <v>494</v>
      </c>
      <c r="B7" s="669">
        <f>SUM(C5:C6)</f>
        <v>200000</v>
      </c>
      <c r="C7" s="670"/>
      <c r="D7" s="669">
        <f>SUM(E5:E6)</f>
        <v>100000</v>
      </c>
      <c r="E7" s="670"/>
      <c r="F7" s="669">
        <f>SUM(G5:G6)</f>
        <v>50000</v>
      </c>
      <c r="G7" s="670"/>
      <c r="H7" s="669">
        <f>SUM(I5:I6)</f>
        <v>0</v>
      </c>
      <c r="I7" s="670"/>
      <c r="J7" s="669">
        <f>SUM(K5:K6)</f>
        <v>0</v>
      </c>
      <c r="K7" s="670"/>
      <c r="L7" s="669">
        <f>SUM(M5:M6)</f>
        <v>0</v>
      </c>
      <c r="M7" s="670"/>
      <c r="N7" s="489">
        <f>D7+F7+H7+J7+L7</f>
        <v>150000</v>
      </c>
      <c r="O7" s="6"/>
      <c r="P7" s="82"/>
      <c r="Q7" s="82"/>
      <c r="R7" s="82"/>
      <c r="S7" s="82"/>
    </row>
    <row r="8" spans="1:19" ht="13.05" customHeight="1" x14ac:dyDescent="0.2">
      <c r="A8" s="43" t="s">
        <v>199</v>
      </c>
      <c r="B8" s="345"/>
      <c r="C8" s="162">
        <v>15000</v>
      </c>
      <c r="D8" s="59">
        <v>3</v>
      </c>
      <c r="E8" s="156">
        <f>D8*$C8</f>
        <v>45000</v>
      </c>
      <c r="F8" s="59">
        <v>4</v>
      </c>
      <c r="G8" s="156">
        <f>F8*$C8</f>
        <v>60000</v>
      </c>
      <c r="H8" s="59">
        <v>4</v>
      </c>
      <c r="I8" s="156">
        <f>H8*$C8</f>
        <v>60000</v>
      </c>
      <c r="J8" s="59">
        <v>2</v>
      </c>
      <c r="K8" s="156">
        <f>J8*$C8</f>
        <v>30000</v>
      </c>
      <c r="L8" s="59">
        <v>2</v>
      </c>
      <c r="M8" s="156">
        <f>L8*$C8</f>
        <v>30000</v>
      </c>
      <c r="N8" s="169">
        <f>E8+G8+I8+K8+M8</f>
        <v>225000</v>
      </c>
      <c r="O8" s="6"/>
      <c r="P8" s="82"/>
      <c r="Q8" s="82"/>
      <c r="R8" s="82"/>
      <c r="S8" s="82"/>
    </row>
    <row r="9" spans="1:19" ht="13.05" customHeight="1" x14ac:dyDescent="0.2">
      <c r="A9" s="31" t="s">
        <v>462</v>
      </c>
      <c r="B9" s="484"/>
      <c r="C9" s="159">
        <v>15000</v>
      </c>
      <c r="D9" s="58"/>
      <c r="E9" s="154">
        <f>D9*$C9</f>
        <v>0</v>
      </c>
      <c r="F9" s="58"/>
      <c r="G9" s="154">
        <f>F9*$C9</f>
        <v>0</v>
      </c>
      <c r="H9" s="58"/>
      <c r="I9" s="154">
        <f>H9*$C9</f>
        <v>0</v>
      </c>
      <c r="J9" s="58"/>
      <c r="K9" s="154">
        <f>J9*$C9</f>
        <v>0</v>
      </c>
      <c r="L9" s="58"/>
      <c r="M9" s="154">
        <f>L9*$C9</f>
        <v>0</v>
      </c>
      <c r="N9" s="166">
        <f>E9+G9+I9+K9+M9</f>
        <v>0</v>
      </c>
      <c r="O9" s="6"/>
      <c r="P9" s="82"/>
      <c r="Q9" s="82"/>
      <c r="R9" s="82"/>
      <c r="S9" s="82"/>
    </row>
    <row r="10" spans="1:19" ht="13.05" customHeight="1" thickBot="1" x14ac:dyDescent="0.25">
      <c r="A10" s="31" t="s">
        <v>495</v>
      </c>
      <c r="B10" s="37"/>
      <c r="C10" s="160"/>
      <c r="D10" s="57"/>
      <c r="E10" s="155">
        <f>D10*$C10</f>
        <v>0</v>
      </c>
      <c r="F10" s="57"/>
      <c r="G10" s="155">
        <f>F10*$C10</f>
        <v>0</v>
      </c>
      <c r="H10" s="57"/>
      <c r="I10" s="155">
        <f>H10*$C10</f>
        <v>0</v>
      </c>
      <c r="J10" s="57"/>
      <c r="K10" s="155">
        <f>J10*$C10</f>
        <v>0</v>
      </c>
      <c r="L10" s="57"/>
      <c r="M10" s="155">
        <f>L10*$C10</f>
        <v>0</v>
      </c>
      <c r="N10" s="164">
        <f>E10+G10+I10+K10+M10</f>
        <v>0</v>
      </c>
      <c r="O10" s="6"/>
      <c r="P10" s="82"/>
      <c r="Q10" s="82"/>
      <c r="R10" s="82"/>
      <c r="S10" s="82"/>
    </row>
    <row r="11" spans="1:19" ht="13.05" customHeight="1" thickBot="1" x14ac:dyDescent="0.25">
      <c r="A11" s="35" t="s">
        <v>439</v>
      </c>
      <c r="B11" s="669">
        <f>SUM(C8:C10)</f>
        <v>30000</v>
      </c>
      <c r="C11" s="670"/>
      <c r="D11" s="669">
        <f>SUM(E8:E10)</f>
        <v>45000</v>
      </c>
      <c r="E11" s="670"/>
      <c r="F11" s="669">
        <f>SUM(G8:G10)</f>
        <v>60000</v>
      </c>
      <c r="G11" s="670"/>
      <c r="H11" s="669">
        <f>SUM(I8:I10)</f>
        <v>60000</v>
      </c>
      <c r="I11" s="670"/>
      <c r="J11" s="669">
        <f>SUM(K8:K10)</f>
        <v>30000</v>
      </c>
      <c r="K11" s="670"/>
      <c r="L11" s="669">
        <f>SUM(M8:M10)</f>
        <v>30000</v>
      </c>
      <c r="M11" s="670"/>
      <c r="N11" s="489">
        <f>D11+F11+H11+J11+L11</f>
        <v>225000</v>
      </c>
      <c r="O11" s="6"/>
      <c r="P11" s="82"/>
      <c r="Q11" s="82"/>
      <c r="R11" s="82"/>
      <c r="S11" s="82"/>
    </row>
    <row r="12" spans="1:19" ht="16.05" customHeight="1" thickBot="1" x14ac:dyDescent="0.25">
      <c r="A12" s="42" t="s">
        <v>178</v>
      </c>
      <c r="B12" s="655">
        <f>B7+B11</f>
        <v>230000</v>
      </c>
      <c r="C12" s="656"/>
      <c r="D12" s="665">
        <f>D7+D11</f>
        <v>145000</v>
      </c>
      <c r="E12" s="666"/>
      <c r="F12" s="665">
        <f>F7+F11</f>
        <v>110000</v>
      </c>
      <c r="G12" s="666"/>
      <c r="H12" s="665">
        <f>H7+H11</f>
        <v>60000</v>
      </c>
      <c r="I12" s="666"/>
      <c r="J12" s="665">
        <f>J7+J11</f>
        <v>30000</v>
      </c>
      <c r="K12" s="666"/>
      <c r="L12" s="665">
        <f>L7+L11</f>
        <v>30000</v>
      </c>
      <c r="M12" s="666"/>
      <c r="N12" s="165">
        <f>N7+N11</f>
        <v>375000</v>
      </c>
      <c r="O12" s="6"/>
      <c r="P12" s="82"/>
      <c r="Q12" s="82"/>
      <c r="R12" s="82"/>
      <c r="S12" s="82"/>
    </row>
    <row r="13" spans="1:19" ht="7.05" customHeight="1" thickBot="1" x14ac:dyDescent="0.25">
      <c r="C13" s="1"/>
      <c r="D13" s="55"/>
      <c r="E13" s="7"/>
      <c r="F13" s="55"/>
      <c r="G13" s="7"/>
      <c r="H13" s="55"/>
      <c r="I13" s="7"/>
      <c r="J13" s="55"/>
      <c r="K13" s="7"/>
      <c r="L13" s="55"/>
      <c r="M13" s="7"/>
      <c r="N13" s="7"/>
      <c r="O13" s="6"/>
    </row>
    <row r="14" spans="1:19" ht="15" customHeight="1" x14ac:dyDescent="0.2">
      <c r="A14" s="25" t="s">
        <v>129</v>
      </c>
      <c r="B14" s="639" t="s">
        <v>193</v>
      </c>
      <c r="C14" s="641" t="s">
        <v>138</v>
      </c>
      <c r="D14" s="643">
        <v>12</v>
      </c>
      <c r="E14" s="644"/>
      <c r="F14" s="643">
        <v>12</v>
      </c>
      <c r="G14" s="644"/>
      <c r="H14" s="643">
        <v>12</v>
      </c>
      <c r="I14" s="644"/>
      <c r="J14" s="643">
        <v>12</v>
      </c>
      <c r="K14" s="644"/>
      <c r="L14" s="643">
        <v>12</v>
      </c>
      <c r="M14" s="644"/>
      <c r="N14" s="23">
        <f>SUM(D14:L14)</f>
        <v>60</v>
      </c>
      <c r="O14" s="6"/>
      <c r="P14" s="17">
        <f>F3</f>
        <v>2013</v>
      </c>
      <c r="Q14" s="17">
        <f>H3</f>
        <v>2014</v>
      </c>
      <c r="R14" s="17">
        <f>J3</f>
        <v>2015</v>
      </c>
      <c r="S14" s="17">
        <f>L3</f>
        <v>2016</v>
      </c>
    </row>
    <row r="15" spans="1:19" ht="13.95" customHeight="1" thickBot="1" x14ac:dyDescent="0.25">
      <c r="A15" s="26" t="s">
        <v>215</v>
      </c>
      <c r="B15" s="640"/>
      <c r="C15" s="642"/>
      <c r="D15" s="649"/>
      <c r="E15" s="650"/>
      <c r="F15" s="620">
        <v>0.03</v>
      </c>
      <c r="G15" s="621"/>
      <c r="H15" s="620">
        <v>0.03</v>
      </c>
      <c r="I15" s="621"/>
      <c r="J15" s="620">
        <v>0.03</v>
      </c>
      <c r="K15" s="621"/>
      <c r="L15" s="620">
        <v>0.03</v>
      </c>
      <c r="M15" s="621"/>
      <c r="N15" s="24">
        <f>SUM(E15:L15)/4</f>
        <v>0.03</v>
      </c>
      <c r="O15" s="6"/>
    </row>
    <row r="16" spans="1:19" ht="13.05" customHeight="1" x14ac:dyDescent="0.2">
      <c r="A16" s="18" t="s">
        <v>71</v>
      </c>
      <c r="B16" s="27"/>
      <c r="C16" s="157">
        <v>1200</v>
      </c>
      <c r="D16" s="56"/>
      <c r="E16" s="153">
        <f>D16*$C16</f>
        <v>0</v>
      </c>
      <c r="F16" s="56">
        <v>6</v>
      </c>
      <c r="G16" s="153">
        <f>F16*P16</f>
        <v>7416</v>
      </c>
      <c r="H16" s="56">
        <v>12</v>
      </c>
      <c r="I16" s="153">
        <f>H16*Q16</f>
        <v>15276.96</v>
      </c>
      <c r="J16" s="56">
        <v>12</v>
      </c>
      <c r="K16" s="153">
        <f>J16*R16</f>
        <v>15735.268800000002</v>
      </c>
      <c r="L16" s="56">
        <v>12</v>
      </c>
      <c r="M16" s="153">
        <f>L16*S16</f>
        <v>16207.326864000001</v>
      </c>
      <c r="N16" s="163">
        <f>E16+G16+I16+K16+M16</f>
        <v>54635.555664</v>
      </c>
      <c r="O16" s="6"/>
      <c r="P16" s="262">
        <f>$C16*(1+F$15)</f>
        <v>1236</v>
      </c>
      <c r="Q16" s="262">
        <f>P16*(1+H$15)</f>
        <v>1273.08</v>
      </c>
      <c r="R16" s="262">
        <f>Q16*(1+J$15)</f>
        <v>1311.2724000000001</v>
      </c>
      <c r="S16" s="262">
        <f>R16*(1+L$15)</f>
        <v>1350.610572</v>
      </c>
    </row>
    <row r="17" spans="1:19" ht="13.05" customHeight="1" x14ac:dyDescent="0.2">
      <c r="A17" s="482" t="s">
        <v>455</v>
      </c>
      <c r="B17" s="29"/>
      <c r="C17" s="159">
        <v>3000</v>
      </c>
      <c r="D17" s="58">
        <v>6</v>
      </c>
      <c r="E17" s="154">
        <f>D17*$C17</f>
        <v>18000</v>
      </c>
      <c r="F17" s="58">
        <v>12</v>
      </c>
      <c r="G17" s="154">
        <f>F17*P17</f>
        <v>37080</v>
      </c>
      <c r="H17" s="58">
        <v>12</v>
      </c>
      <c r="I17" s="154">
        <f>H17*Q17</f>
        <v>38192.400000000001</v>
      </c>
      <c r="J17" s="58">
        <v>12</v>
      </c>
      <c r="K17" s="154">
        <f>J17*R17</f>
        <v>39338.172000000006</v>
      </c>
      <c r="L17" s="58">
        <v>12</v>
      </c>
      <c r="M17" s="154">
        <f>L17*S17</f>
        <v>40518.317160000006</v>
      </c>
      <c r="N17" s="166">
        <f>E17+G17+I17+K17+M17</f>
        <v>173128.88915999999</v>
      </c>
      <c r="O17" s="6"/>
      <c r="P17" s="262">
        <f>$C17*(1+F$15)</f>
        <v>3090</v>
      </c>
      <c r="Q17" s="262">
        <f>P17*(1+H$15)</f>
        <v>3182.7000000000003</v>
      </c>
      <c r="R17" s="262">
        <f>Q17*(1+J$15)</f>
        <v>3278.1810000000005</v>
      </c>
      <c r="S17" s="262">
        <f>R17*(1+L$15)</f>
        <v>3376.5264300000008</v>
      </c>
    </row>
    <row r="18" spans="1:19" ht="13.05" customHeight="1" thickBot="1" x14ac:dyDescent="0.25">
      <c r="A18" s="31" t="s">
        <v>204</v>
      </c>
      <c r="B18" s="32">
        <v>0.2</v>
      </c>
      <c r="C18" s="158">
        <f>(C16+C17)*B18</f>
        <v>840</v>
      </c>
      <c r="D18" s="57"/>
      <c r="E18" s="155">
        <f>D18*$C18</f>
        <v>0</v>
      </c>
      <c r="F18" s="57">
        <v>6</v>
      </c>
      <c r="G18" s="155">
        <f>F18*P18</f>
        <v>5191.2000000000007</v>
      </c>
      <c r="H18" s="57">
        <v>12</v>
      </c>
      <c r="I18" s="155">
        <f>H18*Q18</f>
        <v>10693.872000000001</v>
      </c>
      <c r="J18" s="57">
        <v>12</v>
      </c>
      <c r="K18" s="155">
        <f>J18*R18</f>
        <v>11014.688160000002</v>
      </c>
      <c r="L18" s="57">
        <v>12</v>
      </c>
      <c r="M18" s="155">
        <f>L18*S18</f>
        <v>11345.128804800002</v>
      </c>
      <c r="N18" s="164">
        <f>E18+G18+I18+K18+M18</f>
        <v>38244.888964800004</v>
      </c>
      <c r="O18" s="6"/>
      <c r="P18" s="262">
        <f>$C18*(1+F$15)</f>
        <v>865.2</v>
      </c>
      <c r="Q18" s="262">
        <f>P18*(1+H$15)</f>
        <v>891.15600000000006</v>
      </c>
      <c r="R18" s="262">
        <f>Q18*(1+J$15)</f>
        <v>917.89068000000009</v>
      </c>
      <c r="S18" s="262">
        <f>R18*(1+L$15)</f>
        <v>945.42740040000012</v>
      </c>
    </row>
    <row r="19" spans="1:19" ht="16.05" customHeight="1" thickBot="1" x14ac:dyDescent="0.25">
      <c r="A19" s="35" t="s">
        <v>286</v>
      </c>
      <c r="B19" s="655">
        <f>SUM(C16:C18)</f>
        <v>5040</v>
      </c>
      <c r="C19" s="656"/>
      <c r="D19" s="665">
        <f>SUM(E16:E18)</f>
        <v>18000</v>
      </c>
      <c r="E19" s="666"/>
      <c r="F19" s="665">
        <f>SUM(G16:G18)</f>
        <v>49687.199999999997</v>
      </c>
      <c r="G19" s="666"/>
      <c r="H19" s="665">
        <f>SUM(I16:I18)</f>
        <v>64163.232000000004</v>
      </c>
      <c r="I19" s="666"/>
      <c r="J19" s="665">
        <f>SUM(K16:K18)</f>
        <v>66088.128960000016</v>
      </c>
      <c r="K19" s="666"/>
      <c r="L19" s="665">
        <f>SUM(M16:M18)</f>
        <v>68070.772828800007</v>
      </c>
      <c r="M19" s="666"/>
      <c r="N19" s="165">
        <f>SUM(N16:N18)</f>
        <v>266009.3337888</v>
      </c>
      <c r="O19" s="6"/>
      <c r="P19" s="262"/>
      <c r="Q19" s="262"/>
      <c r="R19" s="262"/>
      <c r="S19" s="262"/>
    </row>
    <row r="20" spans="1:19" ht="13.05" customHeight="1" x14ac:dyDescent="0.2">
      <c r="A20" s="18" t="s">
        <v>336</v>
      </c>
      <c r="B20" s="27"/>
      <c r="C20" s="157">
        <v>400</v>
      </c>
      <c r="D20" s="56">
        <v>12</v>
      </c>
      <c r="E20" s="153">
        <f>D20*$C20</f>
        <v>4800</v>
      </c>
      <c r="F20" s="56">
        <v>12</v>
      </c>
      <c r="G20" s="153">
        <f>F20*P20</f>
        <v>4944</v>
      </c>
      <c r="H20" s="56">
        <v>12</v>
      </c>
      <c r="I20" s="153">
        <f>H20*Q20</f>
        <v>5092.32</v>
      </c>
      <c r="J20" s="56">
        <v>12</v>
      </c>
      <c r="K20" s="153">
        <f>J20*R20</f>
        <v>5245.0896000000002</v>
      </c>
      <c r="L20" s="56">
        <v>12</v>
      </c>
      <c r="M20" s="153">
        <f>L20*S20</f>
        <v>5402.4422880000002</v>
      </c>
      <c r="N20" s="163">
        <f>E20+G20+I20+K20+M20</f>
        <v>25483.851887999997</v>
      </c>
      <c r="O20" s="6"/>
      <c r="P20" s="262">
        <f>$C20*(1+F$15)</f>
        <v>412</v>
      </c>
      <c r="Q20" s="262">
        <f>P20*(1+H$15)</f>
        <v>424.36</v>
      </c>
      <c r="R20" s="262">
        <f>Q20*(1+J$15)</f>
        <v>437.0908</v>
      </c>
      <c r="S20" s="262">
        <f>R20*(1+L$15)</f>
        <v>450.20352400000002</v>
      </c>
    </row>
    <row r="21" spans="1:19" ht="13.05" customHeight="1" x14ac:dyDescent="0.2">
      <c r="A21" s="19" t="s">
        <v>216</v>
      </c>
      <c r="B21" s="29"/>
      <c r="C21" s="159">
        <v>300</v>
      </c>
      <c r="D21" s="58">
        <v>6</v>
      </c>
      <c r="E21" s="154">
        <f>D21*$C21</f>
        <v>1800</v>
      </c>
      <c r="F21" s="58">
        <v>12</v>
      </c>
      <c r="G21" s="154">
        <f>F21*P21</f>
        <v>3708</v>
      </c>
      <c r="H21" s="58">
        <v>12</v>
      </c>
      <c r="I21" s="154">
        <f>H21*Q21</f>
        <v>3819.24</v>
      </c>
      <c r="J21" s="58">
        <v>12</v>
      </c>
      <c r="K21" s="154">
        <f>J21*R21</f>
        <v>3933.8172000000004</v>
      </c>
      <c r="L21" s="58">
        <v>12</v>
      </c>
      <c r="M21" s="154">
        <f>L21*S21</f>
        <v>4051.8317160000001</v>
      </c>
      <c r="N21" s="166">
        <f>E21+G21+I21+K21+M21</f>
        <v>17312.888916</v>
      </c>
      <c r="O21" s="6"/>
      <c r="P21" s="262">
        <f>$C21*(1+F$15)</f>
        <v>309</v>
      </c>
      <c r="Q21" s="262">
        <f>P21*(1+H$15)</f>
        <v>318.27</v>
      </c>
      <c r="R21" s="262">
        <f>Q21*(1+J$15)</f>
        <v>327.81810000000002</v>
      </c>
      <c r="S21" s="262">
        <f>R21*(1+L$15)</f>
        <v>337.65264300000001</v>
      </c>
    </row>
    <row r="22" spans="1:19" ht="13.05" customHeight="1" x14ac:dyDescent="0.2">
      <c r="A22" s="19" t="s">
        <v>133</v>
      </c>
      <c r="B22" s="29"/>
      <c r="C22" s="159">
        <v>600</v>
      </c>
      <c r="D22" s="58">
        <v>6</v>
      </c>
      <c r="E22" s="154">
        <f>D22*$C22</f>
        <v>3600</v>
      </c>
      <c r="F22" s="58">
        <v>12</v>
      </c>
      <c r="G22" s="154">
        <f>F22*P22</f>
        <v>7416</v>
      </c>
      <c r="H22" s="58">
        <v>12</v>
      </c>
      <c r="I22" s="154">
        <f>H22*Q22</f>
        <v>7638.48</v>
      </c>
      <c r="J22" s="58">
        <v>12</v>
      </c>
      <c r="K22" s="154">
        <f>J22*R22</f>
        <v>7867.6344000000008</v>
      </c>
      <c r="L22" s="58">
        <v>12</v>
      </c>
      <c r="M22" s="154">
        <f>L22*S22</f>
        <v>8103.6634320000003</v>
      </c>
      <c r="N22" s="166">
        <f>E22+G22+I22+K22+M22</f>
        <v>34625.777832</v>
      </c>
      <c r="O22" s="6"/>
      <c r="P22" s="262">
        <f>$C22*(1+F$15)</f>
        <v>618</v>
      </c>
      <c r="Q22" s="262">
        <f>P22*(1+H$15)</f>
        <v>636.54</v>
      </c>
      <c r="R22" s="262">
        <f>Q22*(1+J$15)</f>
        <v>655.63620000000003</v>
      </c>
      <c r="S22" s="262">
        <f>R22*(1+L$15)</f>
        <v>675.30528600000002</v>
      </c>
    </row>
    <row r="23" spans="1:19" ht="13.05" customHeight="1" thickBot="1" x14ac:dyDescent="0.25">
      <c r="A23" s="31" t="s">
        <v>179</v>
      </c>
      <c r="B23" s="37"/>
      <c r="C23" s="160">
        <v>500</v>
      </c>
      <c r="D23" s="57">
        <v>12</v>
      </c>
      <c r="E23" s="155">
        <f>D23*$C23</f>
        <v>6000</v>
      </c>
      <c r="F23" s="57">
        <v>12</v>
      </c>
      <c r="G23" s="155">
        <f>F23*P23</f>
        <v>6180</v>
      </c>
      <c r="H23" s="57">
        <v>12</v>
      </c>
      <c r="I23" s="155">
        <f>H23*Q23</f>
        <v>6365.4000000000005</v>
      </c>
      <c r="J23" s="57">
        <v>12</v>
      </c>
      <c r="K23" s="155">
        <f>J23*R23</f>
        <v>6556.362000000001</v>
      </c>
      <c r="L23" s="57">
        <v>12</v>
      </c>
      <c r="M23" s="155">
        <f>L23*S23</f>
        <v>6753.0528599999998</v>
      </c>
      <c r="N23" s="164">
        <f>E23+G23+I23+K23+M23</f>
        <v>31854.814860000002</v>
      </c>
      <c r="O23" s="6"/>
      <c r="P23" s="262">
        <f>$C23*(1+F$15)</f>
        <v>515</v>
      </c>
      <c r="Q23" s="262">
        <f>P23*(1+H$15)</f>
        <v>530.45000000000005</v>
      </c>
      <c r="R23" s="262">
        <f>Q23*(1+J$15)</f>
        <v>546.36350000000004</v>
      </c>
      <c r="S23" s="262">
        <f>R23*(1+L$15)</f>
        <v>562.75440500000002</v>
      </c>
    </row>
    <row r="24" spans="1:19" ht="16.05" customHeight="1" thickBot="1" x14ac:dyDescent="0.25">
      <c r="A24" s="35" t="s">
        <v>397</v>
      </c>
      <c r="B24" s="655">
        <f>SUM(C20:C23)</f>
        <v>1800</v>
      </c>
      <c r="C24" s="656"/>
      <c r="D24" s="627">
        <f>SUM(E20:E23)</f>
        <v>16200</v>
      </c>
      <c r="E24" s="628"/>
      <c r="F24" s="627">
        <f>SUM(G20:G23)</f>
        <v>22248</v>
      </c>
      <c r="G24" s="628"/>
      <c r="H24" s="627">
        <f>SUM(I20:I23)</f>
        <v>22915.440000000002</v>
      </c>
      <c r="I24" s="628"/>
      <c r="J24" s="627">
        <f>SUM(K20:K23)</f>
        <v>23602.903200000001</v>
      </c>
      <c r="K24" s="628"/>
      <c r="L24" s="627">
        <f>SUM(M20:M23)</f>
        <v>24310.990296</v>
      </c>
      <c r="M24" s="628"/>
      <c r="N24" s="165">
        <f>SUM(N20:N23)</f>
        <v>109277.33349599999</v>
      </c>
      <c r="O24" s="6"/>
      <c r="P24" s="262"/>
      <c r="Q24" s="262"/>
      <c r="R24" s="262"/>
      <c r="S24" s="262"/>
    </row>
    <row r="25" spans="1:19" ht="13.05" customHeight="1" x14ac:dyDescent="0.2">
      <c r="A25" s="18" t="s">
        <v>244</v>
      </c>
      <c r="B25" s="27"/>
      <c r="C25" s="157">
        <v>1000</v>
      </c>
      <c r="D25" s="56">
        <v>12</v>
      </c>
      <c r="E25" s="153">
        <f>D25*$C25</f>
        <v>12000</v>
      </c>
      <c r="F25" s="56">
        <v>12</v>
      </c>
      <c r="G25" s="153">
        <f>F25*P25</f>
        <v>12360</v>
      </c>
      <c r="H25" s="56">
        <v>12</v>
      </c>
      <c r="I25" s="153">
        <f>H25*Q25</f>
        <v>12730.800000000001</v>
      </c>
      <c r="J25" s="56">
        <v>12</v>
      </c>
      <c r="K25" s="153">
        <f>J25*R25</f>
        <v>13112.724000000002</v>
      </c>
      <c r="L25" s="56">
        <v>12</v>
      </c>
      <c r="M25" s="153">
        <f>L25*S25</f>
        <v>13506.10572</v>
      </c>
      <c r="N25" s="163">
        <f>E25+G25+I25+K25+M25</f>
        <v>63709.629720000004</v>
      </c>
      <c r="O25" s="6"/>
      <c r="P25" s="262">
        <f>$C25*(1+F$15)</f>
        <v>1030</v>
      </c>
      <c r="Q25" s="262">
        <f>P25*(1+H$15)</f>
        <v>1060.9000000000001</v>
      </c>
      <c r="R25" s="262">
        <f>Q25*(1+J$15)</f>
        <v>1092.7270000000001</v>
      </c>
      <c r="S25" s="262">
        <f>R25*(1+L$15)</f>
        <v>1125.50881</v>
      </c>
    </row>
    <row r="26" spans="1:19" ht="13.05" customHeight="1" x14ac:dyDescent="0.2">
      <c r="A26" s="19" t="s">
        <v>83</v>
      </c>
      <c r="B26" s="29"/>
      <c r="C26" s="159">
        <v>2500</v>
      </c>
      <c r="D26" s="58">
        <v>12</v>
      </c>
      <c r="E26" s="154">
        <f>D26*$C26</f>
        <v>30000</v>
      </c>
      <c r="F26" s="58">
        <v>12</v>
      </c>
      <c r="G26" s="154">
        <f>F26*P26</f>
        <v>30900</v>
      </c>
      <c r="H26" s="58">
        <v>12</v>
      </c>
      <c r="I26" s="154">
        <f>H26*Q26</f>
        <v>31827</v>
      </c>
      <c r="J26" s="58">
        <v>12</v>
      </c>
      <c r="K26" s="154">
        <f>J26*R26</f>
        <v>32781.81</v>
      </c>
      <c r="L26" s="58">
        <v>12</v>
      </c>
      <c r="M26" s="154">
        <f>L26*S26</f>
        <v>33765.264300000003</v>
      </c>
      <c r="N26" s="166">
        <f>E26+G26+I26+K26+M26</f>
        <v>159274.07430000001</v>
      </c>
      <c r="O26" s="6"/>
      <c r="P26" s="262">
        <f>$C26*(1+F$15)</f>
        <v>2575</v>
      </c>
      <c r="Q26" s="262">
        <f>P26*(1+H$15)</f>
        <v>2652.25</v>
      </c>
      <c r="R26" s="262">
        <f>Q26*(1+J$15)</f>
        <v>2731.8175000000001</v>
      </c>
      <c r="S26" s="262">
        <f>R26*(1+L$15)</f>
        <v>2813.7720250000002</v>
      </c>
    </row>
    <row r="27" spans="1:19" ht="13.05" customHeight="1" thickBot="1" x14ac:dyDescent="0.25">
      <c r="A27" s="31" t="s">
        <v>444</v>
      </c>
      <c r="B27" s="32">
        <v>0.1</v>
      </c>
      <c r="C27" s="158">
        <f>SUM(C25:C26)*B27</f>
        <v>350</v>
      </c>
      <c r="D27" s="57">
        <v>12</v>
      </c>
      <c r="E27" s="155">
        <f>D27*$C27</f>
        <v>4200</v>
      </c>
      <c r="F27" s="57">
        <v>12</v>
      </c>
      <c r="G27" s="155">
        <f>F27*P27</f>
        <v>4326</v>
      </c>
      <c r="H27" s="57">
        <v>12</v>
      </c>
      <c r="I27" s="155">
        <f>H27*Q27</f>
        <v>4455.78</v>
      </c>
      <c r="J27" s="57">
        <v>12</v>
      </c>
      <c r="K27" s="155">
        <f>J27*R27</f>
        <v>4589.4534000000003</v>
      </c>
      <c r="L27" s="57">
        <v>12</v>
      </c>
      <c r="M27" s="155">
        <f>L27*S27</f>
        <v>4727.1370020000004</v>
      </c>
      <c r="N27" s="164">
        <f>E27+G27+I27+K27+M27</f>
        <v>22298.370401999997</v>
      </c>
      <c r="O27" s="6"/>
      <c r="P27" s="262">
        <f>$C27*(1+F$15)</f>
        <v>360.5</v>
      </c>
      <c r="Q27" s="262">
        <f>P27*(1+H$15)</f>
        <v>371.315</v>
      </c>
      <c r="R27" s="262">
        <f>Q27*(1+J$15)</f>
        <v>382.45445000000001</v>
      </c>
      <c r="S27" s="262">
        <f>R27*(1+L$15)</f>
        <v>393.92808350000001</v>
      </c>
    </row>
    <row r="28" spans="1:19" ht="16.05" customHeight="1" thickBot="1" x14ac:dyDescent="0.25">
      <c r="A28" s="35" t="s">
        <v>279</v>
      </c>
      <c r="B28" s="655">
        <f>SUM(C25:C27)</f>
        <v>3850</v>
      </c>
      <c r="C28" s="656"/>
      <c r="D28" s="627">
        <f>SUM(E25:E27)</f>
        <v>46200</v>
      </c>
      <c r="E28" s="628"/>
      <c r="F28" s="627">
        <f>SUM(G25:G27)</f>
        <v>47586</v>
      </c>
      <c r="G28" s="628"/>
      <c r="H28" s="627">
        <f>SUM(I25:I27)</f>
        <v>49013.58</v>
      </c>
      <c r="I28" s="628"/>
      <c r="J28" s="627">
        <f>SUM(K25:K27)</f>
        <v>50483.987399999998</v>
      </c>
      <c r="K28" s="628"/>
      <c r="L28" s="627">
        <f>SUM(M25:M27)</f>
        <v>51998.507022000005</v>
      </c>
      <c r="M28" s="628"/>
      <c r="N28" s="165">
        <f>SUM(N25:N27)</f>
        <v>245282.07442200001</v>
      </c>
      <c r="O28" s="6"/>
      <c r="P28" s="262"/>
      <c r="Q28" s="262"/>
      <c r="R28" s="262"/>
      <c r="S28" s="262"/>
    </row>
    <row r="29" spans="1:19" ht="13.05" customHeight="1" x14ac:dyDescent="0.2">
      <c r="A29" s="18" t="s">
        <v>233</v>
      </c>
      <c r="B29" s="27"/>
      <c r="C29" s="157">
        <v>6000</v>
      </c>
      <c r="D29" s="56">
        <v>12</v>
      </c>
      <c r="E29" s="153">
        <f t="shared" ref="E29:E36" si="0">D29*$C29</f>
        <v>72000</v>
      </c>
      <c r="F29" s="56">
        <v>12</v>
      </c>
      <c r="G29" s="153">
        <f t="shared" ref="G29:G36" si="1">F29*P29</f>
        <v>74160</v>
      </c>
      <c r="H29" s="56">
        <v>12</v>
      </c>
      <c r="I29" s="153">
        <f t="shared" ref="I29:I36" si="2">H29*Q29</f>
        <v>76384.800000000003</v>
      </c>
      <c r="J29" s="56">
        <v>12</v>
      </c>
      <c r="K29" s="153">
        <f t="shared" ref="K29:K36" si="3">J29*R29</f>
        <v>78676.344000000012</v>
      </c>
      <c r="L29" s="56">
        <v>12</v>
      </c>
      <c r="M29" s="153">
        <f t="shared" ref="M29:M36" si="4">L29*S29</f>
        <v>81036.634320000012</v>
      </c>
      <c r="N29" s="163">
        <f t="shared" ref="N29:N36" si="5">E29+G29+I29+K29+M29</f>
        <v>382257.77831999998</v>
      </c>
      <c r="O29" s="6"/>
      <c r="P29" s="262">
        <f>$C29*(1+F$15)</f>
        <v>6180</v>
      </c>
      <c r="Q29" s="262">
        <f>P29*(1+H$15)</f>
        <v>6365.4000000000005</v>
      </c>
      <c r="R29" s="262">
        <f>Q29*(1+J$15)</f>
        <v>6556.362000000001</v>
      </c>
      <c r="S29" s="262">
        <f>R29*(1+L$15)</f>
        <v>6753.0528600000016</v>
      </c>
    </row>
    <row r="30" spans="1:19" ht="13.05" customHeight="1" x14ac:dyDescent="0.2">
      <c r="A30" s="43" t="s">
        <v>340</v>
      </c>
      <c r="B30" s="345"/>
      <c r="C30" s="162">
        <v>3000</v>
      </c>
      <c r="D30" s="59"/>
      <c r="E30" s="156">
        <f t="shared" si="0"/>
        <v>0</v>
      </c>
      <c r="F30" s="59">
        <v>6</v>
      </c>
      <c r="G30" s="156">
        <f t="shared" si="1"/>
        <v>18540</v>
      </c>
      <c r="H30" s="59">
        <v>12</v>
      </c>
      <c r="I30" s="156">
        <f t="shared" si="2"/>
        <v>38192.400000000001</v>
      </c>
      <c r="J30" s="59">
        <v>12</v>
      </c>
      <c r="K30" s="156">
        <f t="shared" si="3"/>
        <v>39338.172000000006</v>
      </c>
      <c r="L30" s="59">
        <v>12</v>
      </c>
      <c r="M30" s="156">
        <f t="shared" si="4"/>
        <v>40518.317160000006</v>
      </c>
      <c r="N30" s="169">
        <f t="shared" si="5"/>
        <v>136588.88916000002</v>
      </c>
      <c r="P30" s="262">
        <f t="shared" ref="P30:P36" si="6">$C30*(1+F$15)</f>
        <v>3090</v>
      </c>
      <c r="Q30" s="262">
        <f t="shared" ref="Q30:Q36" si="7">P30*(1+H$15)</f>
        <v>3182.7000000000003</v>
      </c>
      <c r="R30" s="262">
        <f t="shared" ref="R30:R36" si="8">Q30*(1+J$15)</f>
        <v>3278.1810000000005</v>
      </c>
      <c r="S30" s="262">
        <f t="shared" ref="S30:S36" si="9">R30*(1+L$15)</f>
        <v>3376.5264300000008</v>
      </c>
    </row>
    <row r="31" spans="1:19" ht="13.05" customHeight="1" x14ac:dyDescent="0.2">
      <c r="A31" s="43" t="s">
        <v>170</v>
      </c>
      <c r="B31" s="345"/>
      <c r="C31" s="162">
        <v>5000</v>
      </c>
      <c r="D31" s="59"/>
      <c r="E31" s="156">
        <f t="shared" si="0"/>
        <v>0</v>
      </c>
      <c r="F31" s="59"/>
      <c r="G31" s="156">
        <f t="shared" si="1"/>
        <v>0</v>
      </c>
      <c r="H31" s="59"/>
      <c r="I31" s="156">
        <f t="shared" si="2"/>
        <v>0</v>
      </c>
      <c r="J31" s="59"/>
      <c r="K31" s="156">
        <f t="shared" si="3"/>
        <v>0</v>
      </c>
      <c r="L31" s="59"/>
      <c r="M31" s="156">
        <f t="shared" si="4"/>
        <v>0</v>
      </c>
      <c r="N31" s="169">
        <f t="shared" si="5"/>
        <v>0</v>
      </c>
      <c r="P31" s="262">
        <f t="shared" si="6"/>
        <v>5150</v>
      </c>
      <c r="Q31" s="262">
        <f t="shared" si="7"/>
        <v>5304.5</v>
      </c>
      <c r="R31" s="262">
        <f t="shared" si="8"/>
        <v>5463.6350000000002</v>
      </c>
      <c r="S31" s="262">
        <f t="shared" si="9"/>
        <v>5627.5440500000004</v>
      </c>
    </row>
    <row r="32" spans="1:19" ht="13.05" customHeight="1" x14ac:dyDescent="0.2">
      <c r="A32" s="43" t="s">
        <v>128</v>
      </c>
      <c r="B32" s="29"/>
      <c r="C32" s="159">
        <v>1000</v>
      </c>
      <c r="D32" s="58">
        <v>6</v>
      </c>
      <c r="E32" s="154">
        <f t="shared" si="0"/>
        <v>6000</v>
      </c>
      <c r="F32" s="58">
        <v>12</v>
      </c>
      <c r="G32" s="154">
        <f t="shared" si="1"/>
        <v>12360</v>
      </c>
      <c r="H32" s="58">
        <v>12</v>
      </c>
      <c r="I32" s="154">
        <f t="shared" si="2"/>
        <v>12730.800000000001</v>
      </c>
      <c r="J32" s="58">
        <v>12</v>
      </c>
      <c r="K32" s="154">
        <f t="shared" si="3"/>
        <v>13112.724000000002</v>
      </c>
      <c r="L32" s="58">
        <v>12</v>
      </c>
      <c r="M32" s="154">
        <f t="shared" si="4"/>
        <v>13506.10572</v>
      </c>
      <c r="N32" s="166">
        <f t="shared" si="5"/>
        <v>57709.629720000004</v>
      </c>
      <c r="O32" s="6"/>
      <c r="P32" s="262">
        <f t="shared" si="6"/>
        <v>1030</v>
      </c>
      <c r="Q32" s="262">
        <f t="shared" si="7"/>
        <v>1060.9000000000001</v>
      </c>
      <c r="R32" s="262">
        <f t="shared" si="8"/>
        <v>1092.7270000000001</v>
      </c>
      <c r="S32" s="262">
        <f t="shared" si="9"/>
        <v>1125.50881</v>
      </c>
    </row>
    <row r="33" spans="1:19" ht="13.05" customHeight="1" x14ac:dyDescent="0.2">
      <c r="A33" s="43" t="s">
        <v>424</v>
      </c>
      <c r="B33" s="29"/>
      <c r="C33" s="159">
        <v>4000</v>
      </c>
      <c r="D33" s="58"/>
      <c r="E33" s="154">
        <f t="shared" si="0"/>
        <v>0</v>
      </c>
      <c r="F33" s="58">
        <v>6</v>
      </c>
      <c r="G33" s="154">
        <f t="shared" si="1"/>
        <v>24720</v>
      </c>
      <c r="H33" s="58">
        <v>12</v>
      </c>
      <c r="I33" s="154">
        <f t="shared" si="2"/>
        <v>50923.200000000004</v>
      </c>
      <c r="J33" s="58">
        <v>12</v>
      </c>
      <c r="K33" s="154">
        <f t="shared" si="3"/>
        <v>52450.896000000008</v>
      </c>
      <c r="L33" s="58">
        <v>12</v>
      </c>
      <c r="M33" s="154">
        <f t="shared" si="4"/>
        <v>54024.422879999998</v>
      </c>
      <c r="N33" s="166">
        <f t="shared" si="5"/>
        <v>182118.51888000002</v>
      </c>
      <c r="O33" s="6"/>
      <c r="P33" s="262">
        <f t="shared" si="6"/>
        <v>4120</v>
      </c>
      <c r="Q33" s="262">
        <f t="shared" si="7"/>
        <v>4243.6000000000004</v>
      </c>
      <c r="R33" s="262">
        <f t="shared" si="8"/>
        <v>4370.9080000000004</v>
      </c>
      <c r="S33" s="262">
        <f t="shared" si="9"/>
        <v>4502.0352400000002</v>
      </c>
    </row>
    <row r="34" spans="1:19" ht="13.05" customHeight="1" x14ac:dyDescent="0.2">
      <c r="A34" s="19" t="s">
        <v>205</v>
      </c>
      <c r="B34" s="29"/>
      <c r="C34" s="159">
        <v>3000</v>
      </c>
      <c r="D34" s="58">
        <v>6</v>
      </c>
      <c r="E34" s="154">
        <f t="shared" si="0"/>
        <v>18000</v>
      </c>
      <c r="F34" s="58">
        <v>12</v>
      </c>
      <c r="G34" s="154">
        <f t="shared" si="1"/>
        <v>37080</v>
      </c>
      <c r="H34" s="58">
        <v>12</v>
      </c>
      <c r="I34" s="154">
        <f t="shared" si="2"/>
        <v>38192.400000000001</v>
      </c>
      <c r="J34" s="58">
        <v>12</v>
      </c>
      <c r="K34" s="154">
        <f t="shared" si="3"/>
        <v>39338.172000000006</v>
      </c>
      <c r="L34" s="58">
        <v>12</v>
      </c>
      <c r="M34" s="154">
        <f t="shared" si="4"/>
        <v>40518.317160000006</v>
      </c>
      <c r="N34" s="166">
        <f t="shared" si="5"/>
        <v>173128.88915999999</v>
      </c>
      <c r="O34" s="6"/>
      <c r="P34" s="262">
        <f t="shared" si="6"/>
        <v>3090</v>
      </c>
      <c r="Q34" s="262">
        <f t="shared" si="7"/>
        <v>3182.7000000000003</v>
      </c>
      <c r="R34" s="262">
        <f t="shared" si="8"/>
        <v>3278.1810000000005</v>
      </c>
      <c r="S34" s="262">
        <f t="shared" si="9"/>
        <v>3376.5264300000008</v>
      </c>
    </row>
    <row r="35" spans="1:19" ht="13.05" customHeight="1" x14ac:dyDescent="0.2">
      <c r="A35" s="19" t="s">
        <v>438</v>
      </c>
      <c r="B35" s="29"/>
      <c r="C35" s="159">
        <v>7000</v>
      </c>
      <c r="D35" s="58">
        <v>2</v>
      </c>
      <c r="E35" s="154">
        <f>D35*$C35</f>
        <v>14000</v>
      </c>
      <c r="F35" s="58">
        <v>9</v>
      </c>
      <c r="G35" s="154">
        <f>F35*$C35</f>
        <v>63000</v>
      </c>
      <c r="H35" s="58">
        <v>6</v>
      </c>
      <c r="I35" s="154">
        <f>H35*$C35</f>
        <v>42000</v>
      </c>
      <c r="J35" s="58">
        <v>4</v>
      </c>
      <c r="K35" s="154">
        <f>J35*$C35</f>
        <v>28000</v>
      </c>
      <c r="L35" s="58">
        <v>2</v>
      </c>
      <c r="M35" s="154">
        <f>L35*$C35</f>
        <v>14000</v>
      </c>
      <c r="N35" s="166">
        <f>E35+G35+I35+K35+M35</f>
        <v>161000</v>
      </c>
      <c r="O35" s="6"/>
      <c r="P35" s="82"/>
      <c r="Q35" s="82"/>
      <c r="R35" s="82"/>
      <c r="S35" s="82"/>
    </row>
    <row r="36" spans="1:19" ht="13.05" customHeight="1" thickBot="1" x14ac:dyDescent="0.25">
      <c r="A36" s="31" t="s">
        <v>319</v>
      </c>
      <c r="B36" s="32">
        <v>0.08</v>
      </c>
      <c r="C36" s="158">
        <f>SUM(C29:C34)*B36</f>
        <v>1760</v>
      </c>
      <c r="D36" s="57">
        <v>6</v>
      </c>
      <c r="E36" s="155">
        <f t="shared" si="0"/>
        <v>10560</v>
      </c>
      <c r="F36" s="57">
        <v>12</v>
      </c>
      <c r="G36" s="155">
        <f t="shared" si="1"/>
        <v>21753.599999999999</v>
      </c>
      <c r="H36" s="57">
        <v>12</v>
      </c>
      <c r="I36" s="155">
        <f t="shared" si="2"/>
        <v>22406.207999999999</v>
      </c>
      <c r="J36" s="57">
        <v>12</v>
      </c>
      <c r="K36" s="155">
        <f t="shared" si="3"/>
        <v>23078.394240000001</v>
      </c>
      <c r="L36" s="57">
        <v>12</v>
      </c>
      <c r="M36" s="155">
        <f t="shared" si="4"/>
        <v>23770.746067200002</v>
      </c>
      <c r="N36" s="164">
        <f t="shared" si="5"/>
        <v>101568.9483072</v>
      </c>
      <c r="O36" s="6"/>
      <c r="P36" s="262">
        <f t="shared" si="6"/>
        <v>1812.8</v>
      </c>
      <c r="Q36" s="262">
        <f t="shared" si="7"/>
        <v>1867.184</v>
      </c>
      <c r="R36" s="262">
        <f t="shared" si="8"/>
        <v>1923.1995200000001</v>
      </c>
      <c r="S36" s="262">
        <f t="shared" si="9"/>
        <v>1980.8955056000002</v>
      </c>
    </row>
    <row r="37" spans="1:19" ht="16.05" customHeight="1" thickBot="1" x14ac:dyDescent="0.25">
      <c r="A37" s="35" t="s">
        <v>115</v>
      </c>
      <c r="B37" s="655">
        <f>SUM(C29:C36)</f>
        <v>30760</v>
      </c>
      <c r="C37" s="656"/>
      <c r="D37" s="627">
        <f>SUM(E29:E36)</f>
        <v>120560</v>
      </c>
      <c r="E37" s="628"/>
      <c r="F37" s="627">
        <f>SUM(G29:G36)</f>
        <v>251613.6</v>
      </c>
      <c r="G37" s="628"/>
      <c r="H37" s="627">
        <f>SUM(I29:I36)</f>
        <v>280829.80800000002</v>
      </c>
      <c r="I37" s="628"/>
      <c r="J37" s="627">
        <f>SUM(K29:K36)</f>
        <v>273994.70224000001</v>
      </c>
      <c r="K37" s="628"/>
      <c r="L37" s="627">
        <f>SUM(M29:M36)</f>
        <v>267374.54330720002</v>
      </c>
      <c r="M37" s="628"/>
      <c r="N37" s="165">
        <f>SUM(N29:N36)</f>
        <v>1194372.6535472001</v>
      </c>
      <c r="O37" s="6"/>
      <c r="P37" s="262"/>
      <c r="Q37" s="262"/>
      <c r="R37" s="262"/>
      <c r="S37" s="262"/>
    </row>
    <row r="38" spans="1:19" ht="13.05" customHeight="1" x14ac:dyDescent="0.2">
      <c r="A38" s="353" t="s">
        <v>144</v>
      </c>
      <c r="B38" s="629">
        <f>SUM(C39:C47)</f>
        <v>49000</v>
      </c>
      <c r="C38" s="630"/>
      <c r="D38" s="618">
        <f>SUM(E39:E47)</f>
        <v>408000</v>
      </c>
      <c r="E38" s="619"/>
      <c r="F38" s="618">
        <f>SUM(G39:G47)</f>
        <v>532407</v>
      </c>
      <c r="G38" s="619"/>
      <c r="H38" s="618">
        <f>SUM(I39:I47)</f>
        <v>623809.20000000007</v>
      </c>
      <c r="I38" s="619"/>
      <c r="J38" s="618">
        <f>SUM(K39:K47)</f>
        <v>642523.47600000014</v>
      </c>
      <c r="K38" s="619"/>
      <c r="L38" s="618">
        <f>SUM(M39:M47)</f>
        <v>661799.18027999997</v>
      </c>
      <c r="M38" s="619"/>
      <c r="N38" s="365">
        <f>SUM(D38:M38)</f>
        <v>2868538.8562800004</v>
      </c>
      <c r="O38" s="6"/>
      <c r="P38" s="262">
        <f>$C38*(1+F$15)</f>
        <v>0</v>
      </c>
      <c r="Q38" s="262">
        <f>P38*(1+H$15)</f>
        <v>0</v>
      </c>
      <c r="R38" s="262">
        <f>Q38*(1+J$15)</f>
        <v>0</v>
      </c>
      <c r="S38" s="262">
        <f>R38*(1+L$15)</f>
        <v>0</v>
      </c>
    </row>
    <row r="39" spans="1:19" x14ac:dyDescent="0.2">
      <c r="A39" s="19" t="s">
        <v>100</v>
      </c>
      <c r="B39" s="369"/>
      <c r="C39" s="159">
        <v>15000</v>
      </c>
      <c r="D39" s="58">
        <v>12</v>
      </c>
      <c r="E39" s="154">
        <f>D39*($C39*(1+$B39))</f>
        <v>180000</v>
      </c>
      <c r="F39" s="58">
        <v>12</v>
      </c>
      <c r="G39" s="154">
        <f>(F39*P39)*(1+$B39)</f>
        <v>185400</v>
      </c>
      <c r="H39" s="58">
        <v>12</v>
      </c>
      <c r="I39" s="154">
        <f>(H39*Q39)*(1+$B39)</f>
        <v>190962</v>
      </c>
      <c r="J39" s="58">
        <v>12</v>
      </c>
      <c r="K39" s="154">
        <f>(J39*R39)*(1+$B39)</f>
        <v>196690.86</v>
      </c>
      <c r="L39" s="58">
        <v>12</v>
      </c>
      <c r="M39" s="154">
        <f>(L39*S39)*(1+$B39)</f>
        <v>202591.58579999997</v>
      </c>
      <c r="N39" s="166">
        <f t="shared" ref="N39:N60" si="10">E39+G39+I39+K39+M39</f>
        <v>955644.44579999999</v>
      </c>
      <c r="O39" s="6"/>
      <c r="P39" s="262">
        <f>$C39*(1+F$15)</f>
        <v>15450</v>
      </c>
      <c r="Q39" s="262">
        <f>P39*(1+H$15)</f>
        <v>15913.5</v>
      </c>
      <c r="R39" s="262">
        <f>Q39*(1+J$15)</f>
        <v>16390.904999999999</v>
      </c>
      <c r="S39" s="262">
        <f>R39*(1+L$15)</f>
        <v>16882.632149999998</v>
      </c>
    </row>
    <row r="40" spans="1:19" x14ac:dyDescent="0.2">
      <c r="A40" s="346" t="s">
        <v>101</v>
      </c>
      <c r="B40" s="368">
        <v>0</v>
      </c>
      <c r="C40" s="352">
        <f>C39*$B40</f>
        <v>0</v>
      </c>
      <c r="D40" s="347"/>
      <c r="E40" s="348">
        <f>E39*$B40</f>
        <v>0</v>
      </c>
      <c r="F40" s="347"/>
      <c r="G40" s="348">
        <f>G39*$B40</f>
        <v>0</v>
      </c>
      <c r="H40" s="347"/>
      <c r="I40" s="348">
        <f>I39*$B40</f>
        <v>0</v>
      </c>
      <c r="J40" s="347"/>
      <c r="K40" s="348">
        <f>K39*$B40</f>
        <v>0</v>
      </c>
      <c r="L40" s="347"/>
      <c r="M40" s="348">
        <f>M39*$B40</f>
        <v>0</v>
      </c>
      <c r="N40" s="166">
        <f t="shared" si="10"/>
        <v>0</v>
      </c>
      <c r="O40" s="6"/>
      <c r="P40" s="262">
        <f>$C40*(1+F$15)</f>
        <v>0</v>
      </c>
      <c r="Q40" s="262">
        <f>P40*(1+H$15)</f>
        <v>0</v>
      </c>
      <c r="R40" s="262">
        <f>Q40*(1+J$15)</f>
        <v>0</v>
      </c>
      <c r="S40" s="262">
        <f>R40*(1+L$15)</f>
        <v>0</v>
      </c>
    </row>
    <row r="41" spans="1:19" x14ac:dyDescent="0.2">
      <c r="A41" s="19" t="s">
        <v>102</v>
      </c>
      <c r="B41" s="369"/>
      <c r="C41" s="159">
        <v>10000</v>
      </c>
      <c r="D41" s="58">
        <v>12</v>
      </c>
      <c r="E41" s="154">
        <f>D41*($C41*(1+$B41))</f>
        <v>120000</v>
      </c>
      <c r="F41" s="58">
        <v>12</v>
      </c>
      <c r="G41" s="154">
        <f>(F41*P41)*(1+$B41)</f>
        <v>123600</v>
      </c>
      <c r="H41" s="58">
        <v>12</v>
      </c>
      <c r="I41" s="154">
        <f>H41*Q41</f>
        <v>127308</v>
      </c>
      <c r="J41" s="58">
        <v>12</v>
      </c>
      <c r="K41" s="154">
        <f>J41*R41</f>
        <v>131127.24</v>
      </c>
      <c r="L41" s="58">
        <v>12</v>
      </c>
      <c r="M41" s="154">
        <f>L41*S41</f>
        <v>135061.05720000001</v>
      </c>
      <c r="N41" s="166">
        <f t="shared" si="10"/>
        <v>637096.29720000003</v>
      </c>
      <c r="O41" s="6"/>
      <c r="P41" s="262">
        <f>$C41*(1+F$15)</f>
        <v>10300</v>
      </c>
      <c r="Q41" s="262">
        <f>P41*(1+H$15)</f>
        <v>10609</v>
      </c>
      <c r="R41" s="262">
        <f>Q41*(1+J$15)</f>
        <v>10927.27</v>
      </c>
      <c r="S41" s="262">
        <f>R41*(1+L$15)</f>
        <v>11255.088100000001</v>
      </c>
    </row>
    <row r="42" spans="1:19" x14ac:dyDescent="0.2">
      <c r="A42" s="346" t="s">
        <v>103</v>
      </c>
      <c r="B42" s="368">
        <v>0</v>
      </c>
      <c r="C42" s="352">
        <f>C41*$B42</f>
        <v>0</v>
      </c>
      <c r="D42" s="347"/>
      <c r="E42" s="348">
        <f>E41*$B42</f>
        <v>0</v>
      </c>
      <c r="F42" s="347"/>
      <c r="G42" s="348">
        <f>G41*$B42</f>
        <v>0</v>
      </c>
      <c r="H42" s="347"/>
      <c r="I42" s="348">
        <f>I41*$B42</f>
        <v>0</v>
      </c>
      <c r="J42" s="347"/>
      <c r="K42" s="348">
        <f>K41*$B42</f>
        <v>0</v>
      </c>
      <c r="L42" s="347"/>
      <c r="M42" s="348">
        <f>M41*$B42</f>
        <v>0</v>
      </c>
      <c r="N42" s="166">
        <f t="shared" si="10"/>
        <v>0</v>
      </c>
      <c r="O42" s="6"/>
      <c r="P42" s="262">
        <f>$C42*(1+F$15)</f>
        <v>0</v>
      </c>
      <c r="Q42" s="262">
        <f>P42*(1+H$15)</f>
        <v>0</v>
      </c>
      <c r="R42" s="262">
        <f>Q42*(1+J$15)</f>
        <v>0</v>
      </c>
      <c r="S42" s="262">
        <f>R42*(1+L$15)</f>
        <v>0</v>
      </c>
    </row>
    <row r="43" spans="1:19" x14ac:dyDescent="0.2">
      <c r="A43" s="19" t="s">
        <v>72</v>
      </c>
      <c r="B43" s="369"/>
      <c r="C43" s="159">
        <v>6000</v>
      </c>
      <c r="D43" s="58"/>
      <c r="E43" s="154">
        <f>D43*($C43*(1+$B43))</f>
        <v>0</v>
      </c>
      <c r="F43" s="58">
        <v>6</v>
      </c>
      <c r="G43" s="154">
        <f>(F43*P43)*(1+$B43)</f>
        <v>37080</v>
      </c>
      <c r="H43" s="58">
        <v>12</v>
      </c>
      <c r="I43" s="154">
        <f>H43*Q43</f>
        <v>76384.800000000003</v>
      </c>
      <c r="J43" s="58">
        <v>12</v>
      </c>
      <c r="K43" s="154">
        <f>J43*R43</f>
        <v>78676.344000000012</v>
      </c>
      <c r="L43" s="58">
        <v>12</v>
      </c>
      <c r="M43" s="154">
        <f>L43*S43</f>
        <v>81036.634320000012</v>
      </c>
      <c r="N43" s="166">
        <f t="shared" si="10"/>
        <v>273177.77832000004</v>
      </c>
      <c r="O43" s="6"/>
      <c r="P43" s="262">
        <f t="shared" ref="P43:P71" si="11">$C43*(1+F$15)</f>
        <v>6180</v>
      </c>
      <c r="Q43" s="262">
        <f t="shared" ref="Q43:Q71" si="12">P43*(1+H$15)</f>
        <v>6365.4000000000005</v>
      </c>
      <c r="R43" s="262">
        <f t="shared" ref="R43:R71" si="13">Q43*(1+J$15)</f>
        <v>6556.362000000001</v>
      </c>
      <c r="S43" s="262">
        <f t="shared" ref="S43:S71" si="14">R43*(1+L$15)</f>
        <v>6753.0528600000016</v>
      </c>
    </row>
    <row r="44" spans="1:19" x14ac:dyDescent="0.2">
      <c r="A44" s="19" t="s">
        <v>110</v>
      </c>
      <c r="B44" s="369"/>
      <c r="C44" s="159">
        <v>9000</v>
      </c>
      <c r="D44" s="58">
        <v>12</v>
      </c>
      <c r="E44" s="154">
        <f>D44*($C44*(1+$B44))</f>
        <v>108000</v>
      </c>
      <c r="F44" s="58">
        <v>12</v>
      </c>
      <c r="G44" s="154">
        <f>(F44*P44)*(1+$B44)</f>
        <v>111240</v>
      </c>
      <c r="H44" s="58">
        <v>12</v>
      </c>
      <c r="I44" s="154">
        <f>H44*Q44</f>
        <v>114577.20000000001</v>
      </c>
      <c r="J44" s="58">
        <v>12</v>
      </c>
      <c r="K44" s="154">
        <f>J44*R44</f>
        <v>118014.51600000002</v>
      </c>
      <c r="L44" s="58">
        <v>12</v>
      </c>
      <c r="M44" s="154">
        <f>L44*S44</f>
        <v>121554.95148000002</v>
      </c>
      <c r="N44" s="166">
        <f t="shared" si="10"/>
        <v>573386.66748000006</v>
      </c>
      <c r="O44" s="6"/>
      <c r="P44" s="262">
        <f t="shared" si="11"/>
        <v>9270</v>
      </c>
      <c r="Q44" s="262">
        <f t="shared" si="12"/>
        <v>9548.1</v>
      </c>
      <c r="R44" s="262">
        <f t="shared" si="13"/>
        <v>9834.5430000000015</v>
      </c>
      <c r="S44" s="262">
        <f t="shared" si="14"/>
        <v>10129.579290000001</v>
      </c>
    </row>
    <row r="45" spans="1:19" x14ac:dyDescent="0.2">
      <c r="A45" s="19" t="s">
        <v>236</v>
      </c>
      <c r="B45" s="369">
        <v>0.35</v>
      </c>
      <c r="C45" s="159">
        <v>3000</v>
      </c>
      <c r="D45" s="58"/>
      <c r="E45" s="154">
        <f>D45*($C45*(1+$B45))</f>
        <v>0</v>
      </c>
      <c r="F45" s="58">
        <v>6</v>
      </c>
      <c r="G45" s="154">
        <f>(F45*P45)*(1+$B45)</f>
        <v>25029</v>
      </c>
      <c r="H45" s="58">
        <v>12</v>
      </c>
      <c r="I45" s="154">
        <f>H45*Q45</f>
        <v>38192.400000000001</v>
      </c>
      <c r="J45" s="58">
        <v>12</v>
      </c>
      <c r="K45" s="154">
        <f>J45*R45</f>
        <v>39338.172000000006</v>
      </c>
      <c r="L45" s="58">
        <v>12</v>
      </c>
      <c r="M45" s="154">
        <f>L45*S45</f>
        <v>40518.317160000006</v>
      </c>
      <c r="N45" s="166">
        <f t="shared" si="10"/>
        <v>143077.88916000002</v>
      </c>
      <c r="O45" s="6"/>
      <c r="P45" s="262">
        <f t="shared" si="11"/>
        <v>3090</v>
      </c>
      <c r="Q45" s="262">
        <f t="shared" si="12"/>
        <v>3182.7000000000003</v>
      </c>
      <c r="R45" s="262">
        <f t="shared" si="13"/>
        <v>3278.1810000000005</v>
      </c>
      <c r="S45" s="262">
        <f t="shared" si="14"/>
        <v>3376.5264300000008</v>
      </c>
    </row>
    <row r="46" spans="1:19" x14ac:dyDescent="0.2">
      <c r="A46" s="19" t="s">
        <v>73</v>
      </c>
      <c r="B46" s="369">
        <v>0.35</v>
      </c>
      <c r="C46" s="159">
        <v>3000</v>
      </c>
      <c r="D46" s="58"/>
      <c r="E46" s="154">
        <f>D46*($C46*(1+$B46))</f>
        <v>0</v>
      </c>
      <c r="F46" s="58">
        <v>6</v>
      </c>
      <c r="G46" s="154">
        <f>(F46*P46)*(1+$B46)</f>
        <v>25029</v>
      </c>
      <c r="H46" s="58">
        <v>12</v>
      </c>
      <c r="I46" s="154">
        <f>H46*Q46</f>
        <v>38192.400000000001</v>
      </c>
      <c r="J46" s="58">
        <v>12</v>
      </c>
      <c r="K46" s="154">
        <f>J46*R46</f>
        <v>39338.172000000006</v>
      </c>
      <c r="L46" s="58">
        <v>12</v>
      </c>
      <c r="M46" s="154">
        <f>L46*S46</f>
        <v>40518.317160000006</v>
      </c>
      <c r="N46" s="166">
        <f t="shared" si="10"/>
        <v>143077.88916000002</v>
      </c>
      <c r="O46" s="6"/>
      <c r="P46" s="262">
        <f t="shared" si="11"/>
        <v>3090</v>
      </c>
      <c r="Q46" s="262">
        <f t="shared" si="12"/>
        <v>3182.7000000000003</v>
      </c>
      <c r="R46" s="262">
        <f t="shared" si="13"/>
        <v>3278.1810000000005</v>
      </c>
      <c r="S46" s="262">
        <f t="shared" si="14"/>
        <v>3376.5264300000008</v>
      </c>
    </row>
    <row r="47" spans="1:19" ht="13.2" thickBot="1" x14ac:dyDescent="0.25">
      <c r="A47" s="31" t="s">
        <v>89</v>
      </c>
      <c r="B47" s="369">
        <v>0.35</v>
      </c>
      <c r="C47" s="159">
        <v>3000</v>
      </c>
      <c r="D47" s="58"/>
      <c r="E47" s="154">
        <f>D47*($C47*(1+$B47))</f>
        <v>0</v>
      </c>
      <c r="F47" s="58">
        <v>6</v>
      </c>
      <c r="G47" s="154">
        <f>(F47*P47)*(1+$B47)</f>
        <v>25029</v>
      </c>
      <c r="H47" s="58">
        <v>12</v>
      </c>
      <c r="I47" s="154">
        <f>H47*Q47</f>
        <v>38192.400000000001</v>
      </c>
      <c r="J47" s="58">
        <v>12</v>
      </c>
      <c r="K47" s="154">
        <f>J47*R47</f>
        <v>39338.172000000006</v>
      </c>
      <c r="L47" s="58">
        <v>12</v>
      </c>
      <c r="M47" s="154">
        <f>L47*S47</f>
        <v>40518.317160000006</v>
      </c>
      <c r="N47" s="166">
        <f t="shared" si="10"/>
        <v>143077.88916000002</v>
      </c>
      <c r="O47" s="6"/>
      <c r="P47" s="262">
        <f t="shared" si="11"/>
        <v>3090</v>
      </c>
      <c r="Q47" s="262">
        <f t="shared" si="12"/>
        <v>3182.7000000000003</v>
      </c>
      <c r="R47" s="262">
        <f t="shared" si="13"/>
        <v>3278.1810000000005</v>
      </c>
      <c r="S47" s="262">
        <f t="shared" si="14"/>
        <v>3376.5264300000008</v>
      </c>
    </row>
    <row r="48" spans="1:19" x14ac:dyDescent="0.2">
      <c r="A48" s="355" t="s">
        <v>224</v>
      </c>
      <c r="B48" s="629">
        <f>SUM(C49:C56)</f>
        <v>22600</v>
      </c>
      <c r="C48" s="630"/>
      <c r="D48" s="618">
        <f>SUM(E49:E56)</f>
        <v>0</v>
      </c>
      <c r="E48" s="619"/>
      <c r="F48" s="618">
        <f>SUM(G49:G56)</f>
        <v>79258.5</v>
      </c>
      <c r="G48" s="619"/>
      <c r="H48" s="618">
        <f>SUM(I49:I56)</f>
        <v>229695.45900000003</v>
      </c>
      <c r="I48" s="619"/>
      <c r="J48" s="618">
        <f>SUM(K49:K56)</f>
        <v>303854.59689000004</v>
      </c>
      <c r="K48" s="619"/>
      <c r="L48" s="618">
        <f>SUM(M49:M56)</f>
        <v>358553.3416017</v>
      </c>
      <c r="M48" s="619"/>
      <c r="N48" s="365">
        <f>SUM(D48:M48)</f>
        <v>971361.89749170002</v>
      </c>
      <c r="P48" s="8">
        <f>$C48*(1+F$94)</f>
        <v>0</v>
      </c>
      <c r="Q48" s="8">
        <f>P48*(1+H$94)</f>
        <v>0</v>
      </c>
      <c r="R48" s="8">
        <f>Q48*(1+J$94)</f>
        <v>0</v>
      </c>
      <c r="S48" s="8">
        <f>R48*(1+L$94)</f>
        <v>0</v>
      </c>
    </row>
    <row r="49" spans="1:19" x14ac:dyDescent="0.2">
      <c r="A49" s="356" t="s">
        <v>184</v>
      </c>
      <c r="B49" s="369"/>
      <c r="C49" s="159">
        <v>5000</v>
      </c>
      <c r="D49" s="58"/>
      <c r="E49" s="154">
        <f>D49*($C49*(1+$B49))</f>
        <v>0</v>
      </c>
      <c r="F49" s="58"/>
      <c r="G49" s="154">
        <f>(F49*P49)*(1+$B49)</f>
        <v>0</v>
      </c>
      <c r="H49" s="58">
        <v>12</v>
      </c>
      <c r="I49" s="154">
        <f>(H49*Q49)*(1+$B49)</f>
        <v>63654</v>
      </c>
      <c r="J49" s="58">
        <v>12</v>
      </c>
      <c r="K49" s="154">
        <f>(J49*R49)*(1+$B49)</f>
        <v>65563.62</v>
      </c>
      <c r="L49" s="58">
        <v>12</v>
      </c>
      <c r="M49" s="154">
        <f>(L49*S49)*(1+$B49)</f>
        <v>67530.528600000005</v>
      </c>
      <c r="N49" s="166">
        <f t="shared" si="10"/>
        <v>196748.14860000001</v>
      </c>
      <c r="O49" s="6"/>
      <c r="P49" s="262">
        <f t="shared" si="11"/>
        <v>5150</v>
      </c>
      <c r="Q49" s="262">
        <f t="shared" si="12"/>
        <v>5304.5</v>
      </c>
      <c r="R49" s="262">
        <f t="shared" si="13"/>
        <v>5463.6350000000002</v>
      </c>
      <c r="S49" s="262">
        <f t="shared" si="14"/>
        <v>5627.5440500000004</v>
      </c>
    </row>
    <row r="50" spans="1:19" x14ac:dyDescent="0.2">
      <c r="A50" s="356" t="s">
        <v>264</v>
      </c>
      <c r="B50" s="369">
        <v>0.35</v>
      </c>
      <c r="C50" s="159">
        <v>2000</v>
      </c>
      <c r="D50" s="58"/>
      <c r="E50" s="154">
        <f>D50*($C50*(1+$B50))</f>
        <v>0</v>
      </c>
      <c r="F50" s="58"/>
      <c r="G50" s="154">
        <f>(F50*P50)*(1+$B50)</f>
        <v>0</v>
      </c>
      <c r="H50" s="58">
        <v>6</v>
      </c>
      <c r="I50" s="154">
        <f>(H50*Q50)*(1+$B50)</f>
        <v>17186.580000000002</v>
      </c>
      <c r="J50" s="58">
        <v>12</v>
      </c>
      <c r="K50" s="154">
        <f>(J50*R50)*(1+$B50)</f>
        <v>35404.354800000008</v>
      </c>
      <c r="L50" s="58">
        <v>12</v>
      </c>
      <c r="M50" s="154">
        <f>(L50*S50)*(1+$B50)</f>
        <v>36466.485443999998</v>
      </c>
      <c r="N50" s="166">
        <f t="shared" si="10"/>
        <v>89057.420244000008</v>
      </c>
      <c r="O50" s="6"/>
      <c r="P50" s="262">
        <f t="shared" si="11"/>
        <v>2060</v>
      </c>
      <c r="Q50" s="262">
        <f t="shared" si="12"/>
        <v>2121.8000000000002</v>
      </c>
      <c r="R50" s="262">
        <f t="shared" si="13"/>
        <v>2185.4540000000002</v>
      </c>
      <c r="S50" s="262">
        <f t="shared" si="14"/>
        <v>2251.0176200000001</v>
      </c>
    </row>
    <row r="51" spans="1:19" x14ac:dyDescent="0.2">
      <c r="A51" s="357" t="s">
        <v>163</v>
      </c>
      <c r="B51" s="349">
        <v>0.3</v>
      </c>
      <c r="C51" s="352">
        <f>SUM(C49:C50)*$B51</f>
        <v>2100</v>
      </c>
      <c r="D51" s="347"/>
      <c r="E51" s="348">
        <f>SUM(E49:E50)*$B51</f>
        <v>0</v>
      </c>
      <c r="F51" s="347"/>
      <c r="G51" s="348">
        <f>SUM(G49:G50)*$B51</f>
        <v>0</v>
      </c>
      <c r="H51" s="347"/>
      <c r="I51" s="348">
        <f>SUM(I49:I50)*$B51</f>
        <v>24252.173999999999</v>
      </c>
      <c r="J51" s="347"/>
      <c r="K51" s="348">
        <f>SUM(K49:K50)*$B51</f>
        <v>30290.392439999996</v>
      </c>
      <c r="L51" s="347"/>
      <c r="M51" s="348">
        <f>SUM(M49:M50)*$B51</f>
        <v>31199.1042132</v>
      </c>
      <c r="N51" s="166">
        <f t="shared" si="10"/>
        <v>85741.670653199995</v>
      </c>
      <c r="O51" s="6"/>
      <c r="P51" s="262">
        <f>$C51*(1+F$15)</f>
        <v>2163</v>
      </c>
      <c r="Q51" s="262">
        <f>P51*(1+H$15)</f>
        <v>2227.89</v>
      </c>
      <c r="R51" s="262">
        <f>Q51*(1+J$15)</f>
        <v>2294.7266999999997</v>
      </c>
      <c r="S51" s="262">
        <f>R51*(1+L$15)</f>
        <v>2363.5685009999997</v>
      </c>
    </row>
    <row r="52" spans="1:19" x14ac:dyDescent="0.2">
      <c r="A52" s="356" t="s">
        <v>283</v>
      </c>
      <c r="B52" s="369">
        <v>0.35</v>
      </c>
      <c r="C52" s="159">
        <v>3500</v>
      </c>
      <c r="D52" s="58"/>
      <c r="E52" s="154">
        <f>D52*($C52*(1+$B52))</f>
        <v>0</v>
      </c>
      <c r="F52" s="58">
        <v>12</v>
      </c>
      <c r="G52" s="154">
        <f>(F52*P52)*(1+$B52)</f>
        <v>58401.000000000007</v>
      </c>
      <c r="H52" s="58">
        <v>12</v>
      </c>
      <c r="I52" s="154">
        <f>(H52*Q52)*(1+$B52)</f>
        <v>60153.030000000006</v>
      </c>
      <c r="J52" s="58">
        <v>12</v>
      </c>
      <c r="K52" s="154">
        <f>(J52*R52)*(1+$B52)</f>
        <v>61957.620900000002</v>
      </c>
      <c r="L52" s="58">
        <v>12</v>
      </c>
      <c r="M52" s="154">
        <f>(L52*S52)*(1+$B52)</f>
        <v>63816.349527000006</v>
      </c>
      <c r="N52" s="166">
        <f t="shared" si="10"/>
        <v>244328.00042700002</v>
      </c>
      <c r="O52" s="6"/>
      <c r="P52" s="262">
        <f t="shared" si="11"/>
        <v>3605</v>
      </c>
      <c r="Q52" s="262">
        <f t="shared" si="12"/>
        <v>3713.15</v>
      </c>
      <c r="R52" s="262">
        <f t="shared" si="13"/>
        <v>3824.5445</v>
      </c>
      <c r="S52" s="262">
        <f t="shared" si="14"/>
        <v>3939.280835</v>
      </c>
    </row>
    <row r="53" spans="1:19" x14ac:dyDescent="0.2">
      <c r="A53" s="356" t="s">
        <v>76</v>
      </c>
      <c r="B53" s="369">
        <v>0.35</v>
      </c>
      <c r="C53" s="159">
        <v>2500</v>
      </c>
      <c r="D53" s="58"/>
      <c r="E53" s="154">
        <f>D53*($C53*(1+$B53))</f>
        <v>0</v>
      </c>
      <c r="F53" s="58">
        <v>6</v>
      </c>
      <c r="G53" s="154">
        <f>(F53*P53)*(1+$B53)</f>
        <v>20857.5</v>
      </c>
      <c r="H53" s="58">
        <v>12</v>
      </c>
      <c r="I53" s="154">
        <f>(H53*Q53)*(1+$B53)</f>
        <v>42966.450000000004</v>
      </c>
      <c r="J53" s="58">
        <v>12</v>
      </c>
      <c r="K53" s="154">
        <f>(J53*R53)*(1+$B53)</f>
        <v>44255.443500000001</v>
      </c>
      <c r="L53" s="58">
        <v>12</v>
      </c>
      <c r="M53" s="154">
        <f>(L53*S53)*(1+$B53)</f>
        <v>45583.106805000003</v>
      </c>
      <c r="N53" s="166">
        <f t="shared" si="10"/>
        <v>153662.50030499999</v>
      </c>
      <c r="O53" s="6"/>
      <c r="P53" s="262">
        <f t="shared" si="11"/>
        <v>2575</v>
      </c>
      <c r="Q53" s="262">
        <f t="shared" si="12"/>
        <v>2652.25</v>
      </c>
      <c r="R53" s="262">
        <f t="shared" si="13"/>
        <v>2731.8175000000001</v>
      </c>
      <c r="S53" s="262">
        <f t="shared" si="14"/>
        <v>2813.7720250000002</v>
      </c>
    </row>
    <row r="54" spans="1:19" x14ac:dyDescent="0.2">
      <c r="A54" s="356" t="s">
        <v>76</v>
      </c>
      <c r="B54" s="369">
        <v>0.35</v>
      </c>
      <c r="C54" s="159">
        <v>2500</v>
      </c>
      <c r="D54" s="58"/>
      <c r="E54" s="154">
        <f t="shared" ref="E54:E71" si="15">D54*($C54*(1+$B54))</f>
        <v>0</v>
      </c>
      <c r="F54" s="58"/>
      <c r="G54" s="154">
        <f>(F54*P54)*(1+$B54)</f>
        <v>0</v>
      </c>
      <c r="H54" s="58">
        <v>6</v>
      </c>
      <c r="I54" s="154">
        <f>(H54*Q54)*(1+$B54)</f>
        <v>21483.225000000002</v>
      </c>
      <c r="J54" s="58">
        <v>12</v>
      </c>
      <c r="K54" s="154">
        <f>(J54*R54)*(1+$B54)</f>
        <v>44255.443500000001</v>
      </c>
      <c r="L54" s="58">
        <v>12</v>
      </c>
      <c r="M54" s="154">
        <f>(L54*S54)*(1+$B54)</f>
        <v>45583.106805000003</v>
      </c>
      <c r="N54" s="166">
        <f t="shared" si="10"/>
        <v>111321.775305</v>
      </c>
      <c r="O54" s="6"/>
      <c r="P54" s="262">
        <f t="shared" si="11"/>
        <v>2575</v>
      </c>
      <c r="Q54" s="262">
        <f t="shared" si="12"/>
        <v>2652.25</v>
      </c>
      <c r="R54" s="262">
        <f t="shared" si="13"/>
        <v>2731.8175000000001</v>
      </c>
      <c r="S54" s="262">
        <f t="shared" si="14"/>
        <v>2813.7720250000002</v>
      </c>
    </row>
    <row r="55" spans="1:19" x14ac:dyDescent="0.2">
      <c r="A55" s="356" t="s">
        <v>76</v>
      </c>
      <c r="B55" s="369">
        <v>0.35</v>
      </c>
      <c r="C55" s="159">
        <v>2500</v>
      </c>
      <c r="D55" s="58"/>
      <c r="E55" s="154">
        <f t="shared" si="15"/>
        <v>0</v>
      </c>
      <c r="F55" s="58"/>
      <c r="G55" s="154">
        <f>(F55*P55)*(1+$B55)</f>
        <v>0</v>
      </c>
      <c r="H55" s="58"/>
      <c r="I55" s="154">
        <f>(H55*Q55)*(1+$B55)</f>
        <v>0</v>
      </c>
      <c r="J55" s="58">
        <v>6</v>
      </c>
      <c r="K55" s="154">
        <f>(J55*R55)*(1+$B55)</f>
        <v>22127.721750000001</v>
      </c>
      <c r="L55" s="58">
        <v>12</v>
      </c>
      <c r="M55" s="154">
        <f>(L55*S55)*(1+$B55)</f>
        <v>45583.106805000003</v>
      </c>
      <c r="N55" s="166">
        <f t="shared" si="10"/>
        <v>67710.828555</v>
      </c>
      <c r="O55" s="6"/>
      <c r="P55" s="262">
        <f t="shared" si="11"/>
        <v>2575</v>
      </c>
      <c r="Q55" s="262">
        <f t="shared" si="12"/>
        <v>2652.25</v>
      </c>
      <c r="R55" s="262">
        <f t="shared" si="13"/>
        <v>2731.8175000000001</v>
      </c>
      <c r="S55" s="262">
        <f t="shared" si="14"/>
        <v>2813.7720250000002</v>
      </c>
    </row>
    <row r="56" spans="1:19" ht="13.2" thickBot="1" x14ac:dyDescent="0.25">
      <c r="A56" s="358" t="s">
        <v>76</v>
      </c>
      <c r="B56" s="369">
        <v>0.35</v>
      </c>
      <c r="C56" s="159">
        <v>2500</v>
      </c>
      <c r="D56" s="58"/>
      <c r="E56" s="154">
        <f t="shared" si="15"/>
        <v>0</v>
      </c>
      <c r="F56" s="58"/>
      <c r="G56" s="154">
        <f>(F56*P56)*(1+$B56)</f>
        <v>0</v>
      </c>
      <c r="H56" s="58"/>
      <c r="I56" s="154">
        <f>(H56*Q56)*(1+$B56)</f>
        <v>0</v>
      </c>
      <c r="J56" s="58"/>
      <c r="K56" s="154">
        <f>(J56*R56)*(1+$B56)</f>
        <v>0</v>
      </c>
      <c r="L56" s="58">
        <v>6</v>
      </c>
      <c r="M56" s="154">
        <f>(L56*S56)*(1+$B56)</f>
        <v>22791.553402500002</v>
      </c>
      <c r="N56" s="166">
        <f t="shared" si="10"/>
        <v>22791.553402500002</v>
      </c>
      <c r="O56" s="6"/>
      <c r="P56" s="262">
        <f t="shared" si="11"/>
        <v>2575</v>
      </c>
      <c r="Q56" s="262">
        <f t="shared" si="12"/>
        <v>2652.25</v>
      </c>
      <c r="R56" s="262">
        <f t="shared" si="13"/>
        <v>2731.8175000000001</v>
      </c>
      <c r="S56" s="262">
        <f t="shared" si="14"/>
        <v>2813.7720250000002</v>
      </c>
    </row>
    <row r="57" spans="1:19" x14ac:dyDescent="0.2">
      <c r="A57" s="355" t="s">
        <v>51</v>
      </c>
      <c r="B57" s="629">
        <f>SUM(C58:C63)</f>
        <v>14600</v>
      </c>
      <c r="C57" s="630"/>
      <c r="D57" s="618">
        <f>SUM(E58:E63)</f>
        <v>0</v>
      </c>
      <c r="E57" s="619"/>
      <c r="F57" s="618">
        <f>SUM(G58:G63)</f>
        <v>0</v>
      </c>
      <c r="G57" s="619"/>
      <c r="H57" s="618">
        <f>SUM(I58:I63)</f>
        <v>110980.749</v>
      </c>
      <c r="I57" s="619"/>
      <c r="J57" s="618">
        <f>SUM(K58:K63)</f>
        <v>228620.34294</v>
      </c>
      <c r="K57" s="619"/>
      <c r="L57" s="618">
        <f>SUM(M58:M63)</f>
        <v>235478.95322819997</v>
      </c>
      <c r="M57" s="619"/>
      <c r="N57" s="365">
        <f>SUM(D57:M57)</f>
        <v>575080.04516820004</v>
      </c>
      <c r="P57" s="8">
        <f>$C57*(1+F$94)</f>
        <v>0</v>
      </c>
      <c r="Q57" s="8">
        <f>P57*(1+H$94)</f>
        <v>0</v>
      </c>
      <c r="R57" s="8">
        <f>Q57*(1+J$94)</f>
        <v>0</v>
      </c>
      <c r="S57" s="8">
        <f>R57*(1+L$94)</f>
        <v>0</v>
      </c>
    </row>
    <row r="58" spans="1:19" x14ac:dyDescent="0.2">
      <c r="A58" s="356" t="s">
        <v>342</v>
      </c>
      <c r="B58" s="369"/>
      <c r="C58" s="159">
        <v>5000</v>
      </c>
      <c r="D58" s="58"/>
      <c r="E58" s="154">
        <f t="shared" si="15"/>
        <v>0</v>
      </c>
      <c r="F58" s="58"/>
      <c r="G58" s="154">
        <f>(F58*P58)*(1+$B58)</f>
        <v>0</v>
      </c>
      <c r="H58" s="58">
        <v>6</v>
      </c>
      <c r="I58" s="154">
        <f>(H58*Q58)*(1+$B58)</f>
        <v>31827</v>
      </c>
      <c r="J58" s="58">
        <v>12</v>
      </c>
      <c r="K58" s="154">
        <f>(J58*R58)*(1+$B58)</f>
        <v>65563.62</v>
      </c>
      <c r="L58" s="58">
        <v>12</v>
      </c>
      <c r="M58" s="154">
        <f>(L58*S58)*(1+$B58)</f>
        <v>67530.528600000005</v>
      </c>
      <c r="N58" s="166">
        <f t="shared" si="10"/>
        <v>164921.14860000001</v>
      </c>
      <c r="O58" s="6"/>
      <c r="P58" s="262">
        <f t="shared" si="11"/>
        <v>5150</v>
      </c>
      <c r="Q58" s="262">
        <f t="shared" si="12"/>
        <v>5304.5</v>
      </c>
      <c r="R58" s="262">
        <f t="shared" si="13"/>
        <v>5463.6350000000002</v>
      </c>
      <c r="S58" s="262">
        <f t="shared" si="14"/>
        <v>5627.5440500000004</v>
      </c>
    </row>
    <row r="59" spans="1:19" x14ac:dyDescent="0.2">
      <c r="A59" s="356" t="s">
        <v>350</v>
      </c>
      <c r="B59" s="369">
        <v>0.35</v>
      </c>
      <c r="C59" s="159">
        <v>2000</v>
      </c>
      <c r="D59" s="58"/>
      <c r="E59" s="154">
        <f t="shared" si="15"/>
        <v>0</v>
      </c>
      <c r="F59" s="58"/>
      <c r="G59" s="154">
        <f>(F59*P59)*(1+$B59)</f>
        <v>0</v>
      </c>
      <c r="H59" s="58">
        <v>6</v>
      </c>
      <c r="I59" s="154">
        <f>(H59*Q59)*(1+$B59)</f>
        <v>17186.580000000002</v>
      </c>
      <c r="J59" s="58">
        <v>12</v>
      </c>
      <c r="K59" s="154">
        <f>(J59*R59)*(1+$B59)</f>
        <v>35404.354800000008</v>
      </c>
      <c r="L59" s="58">
        <v>12</v>
      </c>
      <c r="M59" s="154">
        <f>(L59*S59)*(1+$B59)</f>
        <v>36466.485443999998</v>
      </c>
      <c r="N59" s="166">
        <f t="shared" si="10"/>
        <v>89057.420244000008</v>
      </c>
      <c r="O59" s="6"/>
      <c r="P59" s="262">
        <f t="shared" si="11"/>
        <v>2060</v>
      </c>
      <c r="Q59" s="262">
        <f t="shared" si="12"/>
        <v>2121.8000000000002</v>
      </c>
      <c r="R59" s="262">
        <f t="shared" si="13"/>
        <v>2185.4540000000002</v>
      </c>
      <c r="S59" s="262">
        <f t="shared" si="14"/>
        <v>2251.0176200000001</v>
      </c>
    </row>
    <row r="60" spans="1:19" x14ac:dyDescent="0.2">
      <c r="A60" s="357" t="s">
        <v>362</v>
      </c>
      <c r="B60" s="349">
        <v>0.3</v>
      </c>
      <c r="C60" s="352">
        <f>SUM(C58:C59)*$B60</f>
        <v>2100</v>
      </c>
      <c r="D60" s="347"/>
      <c r="E60" s="348">
        <f>SUM(E58:E59)*$B60</f>
        <v>0</v>
      </c>
      <c r="F60" s="347"/>
      <c r="G60" s="348">
        <f>SUM(G58:G59)*$B60</f>
        <v>0</v>
      </c>
      <c r="H60" s="347"/>
      <c r="I60" s="348">
        <f>SUM(I58:I59)*$B60</f>
        <v>14704.074000000001</v>
      </c>
      <c r="J60" s="347"/>
      <c r="K60" s="348">
        <f>SUM(K58:K59)*$B60</f>
        <v>30290.392439999996</v>
      </c>
      <c r="L60" s="347"/>
      <c r="M60" s="348">
        <f>SUM(M58:M59)*$B60</f>
        <v>31199.1042132</v>
      </c>
      <c r="N60" s="166">
        <f t="shared" si="10"/>
        <v>76193.570653200004</v>
      </c>
      <c r="O60" s="6"/>
      <c r="P60" s="262">
        <f t="shared" si="11"/>
        <v>2163</v>
      </c>
      <c r="Q60" s="262">
        <f t="shared" si="12"/>
        <v>2227.89</v>
      </c>
      <c r="R60" s="262">
        <f t="shared" si="13"/>
        <v>2294.7266999999997</v>
      </c>
      <c r="S60" s="262">
        <f t="shared" si="14"/>
        <v>2363.5685009999997</v>
      </c>
    </row>
    <row r="61" spans="1:19" x14ac:dyDescent="0.2">
      <c r="A61" s="356" t="s">
        <v>59</v>
      </c>
      <c r="B61" s="369">
        <v>0.35</v>
      </c>
      <c r="C61" s="159">
        <v>2500</v>
      </c>
      <c r="D61" s="58"/>
      <c r="E61" s="154">
        <f t="shared" si="15"/>
        <v>0</v>
      </c>
      <c r="F61" s="58"/>
      <c r="G61" s="154">
        <f>(F61*P61)*(1+$B61)</f>
        <v>0</v>
      </c>
      <c r="H61" s="58">
        <v>6</v>
      </c>
      <c r="I61" s="154">
        <f>(H61*Q61)*(1+$B61)</f>
        <v>21483.225000000002</v>
      </c>
      <c r="J61" s="58">
        <v>12</v>
      </c>
      <c r="K61" s="154">
        <f>(J61*R61)*(1+$B61)</f>
        <v>44255.443500000001</v>
      </c>
      <c r="L61" s="58">
        <v>12</v>
      </c>
      <c r="M61" s="154">
        <f>(L61*S61)*(1+$B61)</f>
        <v>45583.106805000003</v>
      </c>
      <c r="N61" s="166">
        <f>E61+G61+I61+K61+M61</f>
        <v>111321.775305</v>
      </c>
      <c r="O61" s="6"/>
      <c r="P61" s="262">
        <f t="shared" si="11"/>
        <v>2575</v>
      </c>
      <c r="Q61" s="262">
        <f t="shared" si="12"/>
        <v>2652.25</v>
      </c>
      <c r="R61" s="262">
        <f t="shared" si="13"/>
        <v>2731.8175000000001</v>
      </c>
      <c r="S61" s="262">
        <f t="shared" si="14"/>
        <v>2813.7720250000002</v>
      </c>
    </row>
    <row r="62" spans="1:19" x14ac:dyDescent="0.2">
      <c r="A62" s="356" t="s">
        <v>58</v>
      </c>
      <c r="B62" s="369">
        <v>0.35</v>
      </c>
      <c r="C62" s="159">
        <v>1500</v>
      </c>
      <c r="D62" s="58"/>
      <c r="E62" s="154">
        <f t="shared" si="15"/>
        <v>0</v>
      </c>
      <c r="F62" s="58"/>
      <c r="G62" s="154">
        <f>(F62*P62)*(1+$B62)</f>
        <v>0</v>
      </c>
      <c r="H62" s="58">
        <v>6</v>
      </c>
      <c r="I62" s="154">
        <f>(H62*Q62)*(1+$B62)</f>
        <v>12889.935000000001</v>
      </c>
      <c r="J62" s="58">
        <v>12</v>
      </c>
      <c r="K62" s="154">
        <f>(J62*R62)*(1+$B62)</f>
        <v>26553.266100000004</v>
      </c>
      <c r="L62" s="58">
        <v>12</v>
      </c>
      <c r="M62" s="154">
        <f>(L62*S62)*(1+$B62)</f>
        <v>27349.864083000004</v>
      </c>
      <c r="N62" s="166">
        <f>E62+G62+I62+K62+M62</f>
        <v>66793.065183000013</v>
      </c>
      <c r="O62" s="6"/>
      <c r="P62" s="262">
        <f t="shared" si="11"/>
        <v>1545</v>
      </c>
      <c r="Q62" s="262">
        <f t="shared" si="12"/>
        <v>1591.3500000000001</v>
      </c>
      <c r="R62" s="262">
        <f t="shared" si="13"/>
        <v>1639.0905000000002</v>
      </c>
      <c r="S62" s="262">
        <f t="shared" si="14"/>
        <v>1688.2632150000004</v>
      </c>
    </row>
    <row r="63" spans="1:19" ht="13.2" thickBot="1" x14ac:dyDescent="0.25">
      <c r="A63" s="358" t="s">
        <v>58</v>
      </c>
      <c r="B63" s="369">
        <v>0.35</v>
      </c>
      <c r="C63" s="159">
        <v>1500</v>
      </c>
      <c r="D63" s="58"/>
      <c r="E63" s="154">
        <f t="shared" si="15"/>
        <v>0</v>
      </c>
      <c r="F63" s="58"/>
      <c r="G63" s="154">
        <f>(F63*P63)*(1+$B63)</f>
        <v>0</v>
      </c>
      <c r="H63" s="58">
        <v>6</v>
      </c>
      <c r="I63" s="154">
        <f>(H63*Q63)*(1+$B63)</f>
        <v>12889.935000000001</v>
      </c>
      <c r="J63" s="58">
        <v>12</v>
      </c>
      <c r="K63" s="154">
        <f>(J63*R63)*(1+$B63)</f>
        <v>26553.266100000004</v>
      </c>
      <c r="L63" s="58">
        <v>12</v>
      </c>
      <c r="M63" s="154">
        <f>(L63*S63)*(1+$B63)</f>
        <v>27349.864083000004</v>
      </c>
      <c r="N63" s="166">
        <f>E63+G63+I63+K63+M63</f>
        <v>66793.065183000013</v>
      </c>
      <c r="O63" s="6"/>
      <c r="P63" s="262">
        <f t="shared" si="11"/>
        <v>1545</v>
      </c>
      <c r="Q63" s="262">
        <f t="shared" si="12"/>
        <v>1591.3500000000001</v>
      </c>
      <c r="R63" s="262">
        <f t="shared" si="13"/>
        <v>1639.0905000000002</v>
      </c>
      <c r="S63" s="262">
        <f t="shared" si="14"/>
        <v>1688.2632150000004</v>
      </c>
    </row>
    <row r="64" spans="1:19" x14ac:dyDescent="0.2">
      <c r="A64" s="355" t="s">
        <v>312</v>
      </c>
      <c r="B64" s="629">
        <f>SUM(C65:C71)</f>
        <v>14600</v>
      </c>
      <c r="C64" s="630"/>
      <c r="D64" s="618">
        <f>SUM(E65:E71)</f>
        <v>0</v>
      </c>
      <c r="E64" s="619"/>
      <c r="F64" s="618">
        <f>SUM(G65:G71)</f>
        <v>0</v>
      </c>
      <c r="G64" s="619"/>
      <c r="H64" s="618">
        <f>SUM(I65:I71)</f>
        <v>0</v>
      </c>
      <c r="I64" s="619"/>
      <c r="J64" s="618">
        <f>SUM(K65:K71)</f>
        <v>0</v>
      </c>
      <c r="K64" s="619"/>
      <c r="L64" s="618">
        <f>SUM(M65:M71)</f>
        <v>0</v>
      </c>
      <c r="M64" s="619"/>
      <c r="N64" s="365">
        <f>SUM(D64:M64)</f>
        <v>0</v>
      </c>
      <c r="P64" s="8">
        <f>$C64*(1+F$94)</f>
        <v>0</v>
      </c>
      <c r="Q64" s="8">
        <f>P64*(1+H$94)</f>
        <v>0</v>
      </c>
      <c r="R64" s="8">
        <f>Q64*(1+J$94)</f>
        <v>0</v>
      </c>
      <c r="S64" s="8">
        <f>R64*(1+L$94)</f>
        <v>0</v>
      </c>
    </row>
    <row r="65" spans="1:19" x14ac:dyDescent="0.2">
      <c r="A65" s="356" t="s">
        <v>202</v>
      </c>
      <c r="B65" s="369"/>
      <c r="C65" s="159">
        <v>5000</v>
      </c>
      <c r="D65" s="58"/>
      <c r="E65" s="154">
        <f t="shared" si="15"/>
        <v>0</v>
      </c>
      <c r="F65" s="58"/>
      <c r="G65" s="154">
        <f>(F65*P65)*(1+$B65)</f>
        <v>0</v>
      </c>
      <c r="H65" s="58"/>
      <c r="I65" s="154">
        <f>(H65*Q65)*(1+$B65)</f>
        <v>0</v>
      </c>
      <c r="J65" s="58"/>
      <c r="K65" s="154">
        <f>(J65*R65)*(1+$B65)</f>
        <v>0</v>
      </c>
      <c r="L65" s="58"/>
      <c r="M65" s="154">
        <f>(L65*S65)*(1+$B65)</f>
        <v>0</v>
      </c>
      <c r="N65" s="166">
        <f t="shared" ref="N65:N71" si="16">E65+G65+I65+K65+M65</f>
        <v>0</v>
      </c>
      <c r="O65" s="6"/>
      <c r="P65" s="262">
        <f t="shared" si="11"/>
        <v>5150</v>
      </c>
      <c r="Q65" s="262">
        <f t="shared" si="12"/>
        <v>5304.5</v>
      </c>
      <c r="R65" s="262">
        <f t="shared" si="13"/>
        <v>5463.6350000000002</v>
      </c>
      <c r="S65" s="262">
        <f t="shared" si="14"/>
        <v>5627.5440500000004</v>
      </c>
    </row>
    <row r="66" spans="1:19" x14ac:dyDescent="0.2">
      <c r="A66" s="356" t="s">
        <v>203</v>
      </c>
      <c r="B66" s="369">
        <v>0.35</v>
      </c>
      <c r="C66" s="159">
        <v>2000</v>
      </c>
      <c r="D66" s="58"/>
      <c r="E66" s="154">
        <f t="shared" si="15"/>
        <v>0</v>
      </c>
      <c r="F66" s="58"/>
      <c r="G66" s="154">
        <f>(F66*P66)*(1+$B66)</f>
        <v>0</v>
      </c>
      <c r="H66" s="58"/>
      <c r="I66" s="154">
        <f>(H66*Q66)*(1+$B66)</f>
        <v>0</v>
      </c>
      <c r="J66" s="58"/>
      <c r="K66" s="154">
        <f>(J66*R66)*(1+$B66)</f>
        <v>0</v>
      </c>
      <c r="L66" s="58"/>
      <c r="M66" s="154">
        <f>(L66*S66)*(1+$B66)</f>
        <v>0</v>
      </c>
      <c r="N66" s="166">
        <f t="shared" si="16"/>
        <v>0</v>
      </c>
      <c r="O66" s="6"/>
      <c r="P66" s="262">
        <f t="shared" si="11"/>
        <v>2060</v>
      </c>
      <c r="Q66" s="262">
        <f t="shared" si="12"/>
        <v>2121.8000000000002</v>
      </c>
      <c r="R66" s="262">
        <f t="shared" si="13"/>
        <v>2185.4540000000002</v>
      </c>
      <c r="S66" s="262">
        <f t="shared" si="14"/>
        <v>2251.0176200000001</v>
      </c>
    </row>
    <row r="67" spans="1:19" x14ac:dyDescent="0.2">
      <c r="A67" s="357" t="s">
        <v>229</v>
      </c>
      <c r="B67" s="349">
        <v>0.3</v>
      </c>
      <c r="C67" s="352">
        <f>SUM(C65:C66)*$B67</f>
        <v>2100</v>
      </c>
      <c r="D67" s="347"/>
      <c r="E67" s="348">
        <f>SUM(E65:E66)*$B67</f>
        <v>0</v>
      </c>
      <c r="F67" s="347"/>
      <c r="G67" s="348">
        <f>SUM(G65:G66)*$B67</f>
        <v>0</v>
      </c>
      <c r="H67" s="347"/>
      <c r="I67" s="348">
        <f>SUM(I65:I66)*$B67</f>
        <v>0</v>
      </c>
      <c r="J67" s="347"/>
      <c r="K67" s="348">
        <f>SUM(K65:K66)*$B67</f>
        <v>0</v>
      </c>
      <c r="L67" s="347"/>
      <c r="M67" s="348">
        <f>SUM(M65:M66)*$B67</f>
        <v>0</v>
      </c>
      <c r="N67" s="166">
        <f t="shared" si="16"/>
        <v>0</v>
      </c>
      <c r="O67" s="6"/>
      <c r="P67" s="262">
        <f>$C67*(1+F$15)</f>
        <v>2163</v>
      </c>
      <c r="Q67" s="262">
        <f>P67*(1+H$15)</f>
        <v>2227.89</v>
      </c>
      <c r="R67" s="262">
        <f>Q67*(1+J$15)</f>
        <v>2294.7266999999997</v>
      </c>
      <c r="S67" s="262">
        <f>R67*(1+L$15)</f>
        <v>2363.5685009999997</v>
      </c>
    </row>
    <row r="68" spans="1:19" x14ac:dyDescent="0.2">
      <c r="A68" s="356" t="s">
        <v>119</v>
      </c>
      <c r="B68" s="369">
        <v>0.35</v>
      </c>
      <c r="C68" s="159">
        <v>2500</v>
      </c>
      <c r="D68" s="58"/>
      <c r="E68" s="154">
        <f t="shared" si="15"/>
        <v>0</v>
      </c>
      <c r="F68" s="58"/>
      <c r="G68" s="154">
        <f>(F68*P68)*(1+$B68)</f>
        <v>0</v>
      </c>
      <c r="H68" s="58"/>
      <c r="I68" s="154">
        <f>(H68*Q68)*(1+$B68)</f>
        <v>0</v>
      </c>
      <c r="J68" s="58"/>
      <c r="K68" s="154">
        <f>(J68*R68)*(1+$B68)</f>
        <v>0</v>
      </c>
      <c r="L68" s="58"/>
      <c r="M68" s="154">
        <f>(L68*S68)*(1+$B68)</f>
        <v>0</v>
      </c>
      <c r="N68" s="166">
        <f t="shared" si="16"/>
        <v>0</v>
      </c>
      <c r="O68" s="6"/>
      <c r="P68" s="262">
        <f t="shared" si="11"/>
        <v>2575</v>
      </c>
      <c r="Q68" s="262">
        <f t="shared" si="12"/>
        <v>2652.25</v>
      </c>
      <c r="R68" s="262">
        <f t="shared" si="13"/>
        <v>2731.8175000000001</v>
      </c>
      <c r="S68" s="262">
        <f t="shared" si="14"/>
        <v>2813.7720250000002</v>
      </c>
    </row>
    <row r="69" spans="1:19" x14ac:dyDescent="0.2">
      <c r="A69" s="356" t="s">
        <v>349</v>
      </c>
      <c r="B69" s="369">
        <v>0.35</v>
      </c>
      <c r="C69" s="159">
        <v>1500</v>
      </c>
      <c r="D69" s="58"/>
      <c r="E69" s="154">
        <f t="shared" si="15"/>
        <v>0</v>
      </c>
      <c r="F69" s="58"/>
      <c r="G69" s="154">
        <f>(F69*P69)*(1+$B69)</f>
        <v>0</v>
      </c>
      <c r="H69" s="58"/>
      <c r="I69" s="154">
        <f>(H69*Q69)*(1+$B69)</f>
        <v>0</v>
      </c>
      <c r="J69" s="58"/>
      <c r="K69" s="154">
        <f>(J69*R69)*(1+$B69)</f>
        <v>0</v>
      </c>
      <c r="L69" s="58"/>
      <c r="M69" s="154">
        <f>(L69*S69)*(1+$B69)</f>
        <v>0</v>
      </c>
      <c r="N69" s="166">
        <f t="shared" si="16"/>
        <v>0</v>
      </c>
      <c r="O69" s="6"/>
      <c r="P69" s="262">
        <f t="shared" si="11"/>
        <v>1545</v>
      </c>
      <c r="Q69" s="262">
        <f t="shared" si="12"/>
        <v>1591.3500000000001</v>
      </c>
      <c r="R69" s="262">
        <f t="shared" si="13"/>
        <v>1639.0905000000002</v>
      </c>
      <c r="S69" s="262">
        <f t="shared" si="14"/>
        <v>1688.2632150000004</v>
      </c>
    </row>
    <row r="70" spans="1:19" x14ac:dyDescent="0.2">
      <c r="A70" s="356" t="s">
        <v>349</v>
      </c>
      <c r="B70" s="369">
        <v>0.35</v>
      </c>
      <c r="C70" s="159">
        <v>1500</v>
      </c>
      <c r="D70" s="58"/>
      <c r="E70" s="154">
        <f t="shared" si="15"/>
        <v>0</v>
      </c>
      <c r="F70" s="58"/>
      <c r="G70" s="154">
        <f>(F70*P70)*(1+$B70)</f>
        <v>0</v>
      </c>
      <c r="H70" s="58"/>
      <c r="I70" s="154">
        <f>(H70*Q70)*(1+$B70)</f>
        <v>0</v>
      </c>
      <c r="J70" s="58"/>
      <c r="K70" s="154">
        <f>(J70*R70)*(1+$B70)</f>
        <v>0</v>
      </c>
      <c r="L70" s="58"/>
      <c r="M70" s="154">
        <f>(L70*S70)*(1+$B70)</f>
        <v>0</v>
      </c>
      <c r="N70" s="166">
        <f t="shared" si="16"/>
        <v>0</v>
      </c>
      <c r="O70" s="6"/>
      <c r="P70" s="262">
        <f t="shared" si="11"/>
        <v>1545</v>
      </c>
      <c r="Q70" s="262">
        <f t="shared" si="12"/>
        <v>1591.3500000000001</v>
      </c>
      <c r="R70" s="262">
        <f t="shared" si="13"/>
        <v>1639.0905000000002</v>
      </c>
      <c r="S70" s="262">
        <f t="shared" si="14"/>
        <v>1688.2632150000004</v>
      </c>
    </row>
    <row r="71" spans="1:19" ht="13.2" thickBot="1" x14ac:dyDescent="0.25">
      <c r="A71" s="358"/>
      <c r="B71" s="369"/>
      <c r="C71" s="159"/>
      <c r="D71" s="58"/>
      <c r="E71" s="154">
        <f t="shared" si="15"/>
        <v>0</v>
      </c>
      <c r="F71" s="58"/>
      <c r="G71" s="154">
        <f>(F71*P71)*(1+$B71)</f>
        <v>0</v>
      </c>
      <c r="H71" s="58"/>
      <c r="I71" s="154">
        <f>(H71*Q71)*(1+$B71)</f>
        <v>0</v>
      </c>
      <c r="J71" s="58"/>
      <c r="K71" s="154">
        <f>(J71*R71)*(1+$B71)</f>
        <v>0</v>
      </c>
      <c r="L71" s="58"/>
      <c r="M71" s="154">
        <f>(L71*S71)*(1+$B71)</f>
        <v>0</v>
      </c>
      <c r="N71" s="166">
        <f t="shared" si="16"/>
        <v>0</v>
      </c>
      <c r="O71" s="6"/>
      <c r="P71" s="262">
        <f t="shared" si="11"/>
        <v>0</v>
      </c>
      <c r="Q71" s="262">
        <f t="shared" si="12"/>
        <v>0</v>
      </c>
      <c r="R71" s="262">
        <f t="shared" si="13"/>
        <v>0</v>
      </c>
      <c r="S71" s="262">
        <f t="shared" si="14"/>
        <v>0</v>
      </c>
    </row>
    <row r="72" spans="1:19" x14ac:dyDescent="0.2">
      <c r="A72" s="61" t="s">
        <v>172</v>
      </c>
      <c r="B72" s="657">
        <f>B38+B48+B57+B64</f>
        <v>100800</v>
      </c>
      <c r="C72" s="658"/>
      <c r="D72" s="659">
        <f>D38+D48+D57+D64</f>
        <v>408000</v>
      </c>
      <c r="E72" s="660"/>
      <c r="F72" s="659">
        <f>F38+F48+F57+F64</f>
        <v>611665.5</v>
      </c>
      <c r="G72" s="660"/>
      <c r="H72" s="659">
        <f>H38+H48+H57+H64</f>
        <v>964485.40800000005</v>
      </c>
      <c r="I72" s="660"/>
      <c r="J72" s="659">
        <f>J38+J48+J57+J64</f>
        <v>1174998.4158300003</v>
      </c>
      <c r="K72" s="660"/>
      <c r="L72" s="659">
        <f>L38+L48+L57+L64</f>
        <v>1255831.4751098999</v>
      </c>
      <c r="M72" s="660"/>
      <c r="N72" s="167">
        <f>SUM(D72:M72)</f>
        <v>4414980.7989399005</v>
      </c>
      <c r="O72" s="6"/>
      <c r="P72" s="262"/>
      <c r="Q72" s="262"/>
      <c r="R72" s="262"/>
      <c r="S72" s="262"/>
    </row>
    <row r="73" spans="1:19" ht="13.2" thickBot="1" x14ac:dyDescent="0.25">
      <c r="A73" s="26" t="s">
        <v>111</v>
      </c>
      <c r="B73" s="63"/>
      <c r="C73" s="161">
        <f>B72*B73</f>
        <v>0</v>
      </c>
      <c r="D73" s="637">
        <f>D72*$B73</f>
        <v>0</v>
      </c>
      <c r="E73" s="638"/>
      <c r="F73" s="637">
        <f>F72*$B73</f>
        <v>0</v>
      </c>
      <c r="G73" s="638"/>
      <c r="H73" s="637">
        <f>H72*$B73</f>
        <v>0</v>
      </c>
      <c r="I73" s="638"/>
      <c r="J73" s="637">
        <f>J72*$B73</f>
        <v>0</v>
      </c>
      <c r="K73" s="638"/>
      <c r="L73" s="637">
        <f>L72*$B73</f>
        <v>0</v>
      </c>
      <c r="M73" s="638"/>
      <c r="N73" s="168">
        <f>SUM(D73:M73)</f>
        <v>0</v>
      </c>
      <c r="O73" s="6"/>
      <c r="P73" s="262">
        <f>$C73*(1+F$15)</f>
        <v>0</v>
      </c>
      <c r="Q73" s="262">
        <f>P73*(1+H$15)</f>
        <v>0</v>
      </c>
      <c r="R73" s="262">
        <f>Q73*(1+J$15)</f>
        <v>0</v>
      </c>
      <c r="S73" s="262">
        <f>R73*(1+L$15)</f>
        <v>0</v>
      </c>
    </row>
    <row r="74" spans="1:19" ht="16.05" customHeight="1" thickBot="1" x14ac:dyDescent="0.25">
      <c r="A74" s="40" t="s">
        <v>306</v>
      </c>
      <c r="B74" s="655">
        <f>B72+C73</f>
        <v>100800</v>
      </c>
      <c r="C74" s="656"/>
      <c r="D74" s="627">
        <f>D72+D73</f>
        <v>408000</v>
      </c>
      <c r="E74" s="628"/>
      <c r="F74" s="627">
        <f>F72+F73</f>
        <v>611665.5</v>
      </c>
      <c r="G74" s="628"/>
      <c r="H74" s="627">
        <f>H72+H73</f>
        <v>964485.40800000005</v>
      </c>
      <c r="I74" s="628"/>
      <c r="J74" s="627">
        <f>J72+J73</f>
        <v>1174998.4158300003</v>
      </c>
      <c r="K74" s="628"/>
      <c r="L74" s="627">
        <f>L72+L73</f>
        <v>1255831.4751098999</v>
      </c>
      <c r="M74" s="628"/>
      <c r="N74" s="165">
        <f>SUM(N72:N73)</f>
        <v>4414980.7989399005</v>
      </c>
      <c r="O74" s="6"/>
      <c r="P74" s="262"/>
      <c r="Q74" s="262"/>
      <c r="R74" s="262"/>
      <c r="S74" s="262"/>
    </row>
    <row r="75" spans="1:19" x14ac:dyDescent="0.2">
      <c r="A75" s="43" t="s">
        <v>303</v>
      </c>
      <c r="B75" s="44"/>
      <c r="C75" s="162">
        <v>2000</v>
      </c>
      <c r="D75" s="59">
        <v>6</v>
      </c>
      <c r="E75" s="156">
        <f>D75*$C75</f>
        <v>12000</v>
      </c>
      <c r="F75" s="59">
        <v>12</v>
      </c>
      <c r="G75" s="156">
        <f>F75*P75</f>
        <v>24720</v>
      </c>
      <c r="H75" s="59">
        <v>12</v>
      </c>
      <c r="I75" s="156">
        <f>H75*Q75</f>
        <v>25461.600000000002</v>
      </c>
      <c r="J75" s="59">
        <v>12</v>
      </c>
      <c r="K75" s="156">
        <f>J75*R75</f>
        <v>26225.448000000004</v>
      </c>
      <c r="L75" s="59">
        <v>12</v>
      </c>
      <c r="M75" s="156">
        <f>L75*S75</f>
        <v>27012.211439999999</v>
      </c>
      <c r="N75" s="169">
        <f>E75+G75+I75+K75+M75</f>
        <v>115419.25944000001</v>
      </c>
      <c r="O75" s="6"/>
      <c r="P75" s="262">
        <f>$C75*(1+F$15)</f>
        <v>2060</v>
      </c>
      <c r="Q75" s="262">
        <f>P75*(1+H$15)</f>
        <v>2121.8000000000002</v>
      </c>
      <c r="R75" s="262">
        <f>Q75*(1+J$15)</f>
        <v>2185.4540000000002</v>
      </c>
      <c r="S75" s="262">
        <f>R75*(1+L$15)</f>
        <v>2251.0176200000001</v>
      </c>
    </row>
    <row r="76" spans="1:19" ht="13.2" thickBot="1" x14ac:dyDescent="0.25">
      <c r="A76" s="31"/>
      <c r="B76" s="39"/>
      <c r="C76" s="160"/>
      <c r="D76" s="57"/>
      <c r="E76" s="155">
        <f>D76*$C76</f>
        <v>0</v>
      </c>
      <c r="F76" s="57"/>
      <c r="G76" s="155">
        <f>F76*P76</f>
        <v>0</v>
      </c>
      <c r="H76" s="57"/>
      <c r="I76" s="155">
        <f>H76*Q76</f>
        <v>0</v>
      </c>
      <c r="J76" s="57"/>
      <c r="K76" s="155">
        <f>J76*R76</f>
        <v>0</v>
      </c>
      <c r="L76" s="57"/>
      <c r="M76" s="155">
        <f>L76*S76</f>
        <v>0</v>
      </c>
      <c r="N76" s="164">
        <f>E76+G76+I76+K76+M76</f>
        <v>0</v>
      </c>
      <c r="O76" s="6"/>
      <c r="P76" s="262">
        <f>$C76*(1+F$15)</f>
        <v>0</v>
      </c>
      <c r="Q76" s="262">
        <f>P76*(1+H$15)</f>
        <v>0</v>
      </c>
      <c r="R76" s="262">
        <f>Q76*(1+J$15)</f>
        <v>0</v>
      </c>
      <c r="S76" s="262">
        <f>R76*(1+L$15)</f>
        <v>0</v>
      </c>
    </row>
    <row r="77" spans="1:19" ht="16.05" customHeight="1" thickBot="1" x14ac:dyDescent="0.25">
      <c r="A77" s="35" t="s">
        <v>299</v>
      </c>
      <c r="B77" s="655">
        <f>SUM(C75:C76)</f>
        <v>2000</v>
      </c>
      <c r="C77" s="656"/>
      <c r="D77" s="627">
        <f>SUM(E75:E76)</f>
        <v>12000</v>
      </c>
      <c r="E77" s="628"/>
      <c r="F77" s="627">
        <f>SUM(G75:G76)</f>
        <v>24720</v>
      </c>
      <c r="G77" s="628"/>
      <c r="H77" s="627">
        <f>SUM(I75:I76)</f>
        <v>25461.600000000002</v>
      </c>
      <c r="I77" s="628"/>
      <c r="J77" s="627">
        <f>SUM(K75:K76)</f>
        <v>26225.448000000004</v>
      </c>
      <c r="K77" s="628"/>
      <c r="L77" s="627">
        <f>SUM(M75:M76)</f>
        <v>27012.211439999999</v>
      </c>
      <c r="M77" s="628"/>
      <c r="N77" s="165">
        <f>SUM(N75:N76)</f>
        <v>115419.25944000001</v>
      </c>
      <c r="O77" s="6"/>
      <c r="P77" s="8"/>
      <c r="Q77" s="8"/>
      <c r="R77" s="8"/>
      <c r="S77" s="8"/>
    </row>
    <row r="78" spans="1:19" ht="18" customHeight="1" thickBot="1" x14ac:dyDescent="0.25">
      <c r="A78" s="42" t="s">
        <v>368</v>
      </c>
      <c r="B78" s="661">
        <f>B19+B24+B28+B37+B74+B77</f>
        <v>144250</v>
      </c>
      <c r="C78" s="662"/>
      <c r="D78" s="663">
        <f>D19+D24+D28+D37+D74+D77</f>
        <v>620960</v>
      </c>
      <c r="E78" s="664"/>
      <c r="F78" s="663">
        <f>F19+F24+F28+F37+F74+F77</f>
        <v>1007520.3</v>
      </c>
      <c r="G78" s="664"/>
      <c r="H78" s="663">
        <f>H19+H24+H28+H37+H74+H77</f>
        <v>1406869.0680000002</v>
      </c>
      <c r="I78" s="664"/>
      <c r="J78" s="663">
        <f>J19+J24+J28+J37+J74+J77</f>
        <v>1615393.5856300003</v>
      </c>
      <c r="K78" s="664"/>
      <c r="L78" s="663">
        <f>L19+L24+L28+L37+L74+L77</f>
        <v>1694598.5000038999</v>
      </c>
      <c r="M78" s="664"/>
      <c r="N78" s="170">
        <f>N19+N24+N28+N37+N74+N77</f>
        <v>6345341.4536339007</v>
      </c>
      <c r="O78" s="6"/>
    </row>
    <row r="79" spans="1:19" ht="4.95" customHeight="1" thickBot="1" x14ac:dyDescent="0.25">
      <c r="A79" s="9"/>
      <c r="B79" s="16"/>
      <c r="C79" s="9"/>
      <c r="D79" s="54"/>
      <c r="E79" s="13"/>
      <c r="F79" s="54"/>
      <c r="G79" s="13"/>
      <c r="H79" s="54"/>
      <c r="I79" s="13"/>
      <c r="J79" s="54"/>
      <c r="K79" s="13"/>
      <c r="L79" s="54"/>
      <c r="M79" s="13"/>
      <c r="N79" s="13"/>
      <c r="O79" s="6"/>
    </row>
    <row r="80" spans="1:19" ht="18" customHeight="1" thickBot="1" x14ac:dyDescent="0.25">
      <c r="A80" s="42" t="s">
        <v>357</v>
      </c>
      <c r="B80" s="661">
        <f>B21+B26+B30+B39+B76+B79</f>
        <v>0</v>
      </c>
      <c r="C80" s="662"/>
      <c r="D80" s="663">
        <f>D78+D12</f>
        <v>765960</v>
      </c>
      <c r="E80" s="664"/>
      <c r="F80" s="663">
        <f>F78+F12</f>
        <v>1117520.3</v>
      </c>
      <c r="G80" s="664"/>
      <c r="H80" s="663">
        <f>H78+H12</f>
        <v>1466869.0680000002</v>
      </c>
      <c r="I80" s="664"/>
      <c r="J80" s="663">
        <f>J78+J12</f>
        <v>1645393.5856300003</v>
      </c>
      <c r="K80" s="664"/>
      <c r="L80" s="663">
        <f>L78+L12</f>
        <v>1724598.5000038999</v>
      </c>
      <c r="M80" s="664"/>
      <c r="N80" s="382">
        <f>N78+N12</f>
        <v>6720341.4536339007</v>
      </c>
      <c r="O80" s="6"/>
    </row>
    <row r="81" spans="1:19" ht="7.95" customHeight="1" thickBot="1" x14ac:dyDescent="0.25">
      <c r="A81" s="9"/>
      <c r="B81" s="16"/>
      <c r="C81" s="9"/>
      <c r="D81" s="54"/>
      <c r="E81" s="13"/>
      <c r="F81" s="54"/>
      <c r="G81" s="13"/>
      <c r="H81" s="54"/>
      <c r="I81" s="13"/>
      <c r="J81" s="54"/>
      <c r="K81" s="13"/>
      <c r="L81" s="54"/>
      <c r="M81" s="13"/>
      <c r="N81" s="13"/>
      <c r="O81" s="6"/>
    </row>
    <row r="82" spans="1:19" ht="40.049999999999997" customHeight="1" thickBot="1" x14ac:dyDescent="0.25">
      <c r="A82" s="41" t="s">
        <v>185</v>
      </c>
      <c r="B82" s="651" t="s">
        <v>289</v>
      </c>
      <c r="C82" s="652"/>
      <c r="D82" s="647">
        <v>2012</v>
      </c>
      <c r="E82" s="648"/>
      <c r="F82" s="647">
        <v>2013</v>
      </c>
      <c r="G82" s="648"/>
      <c r="H82" s="647">
        <v>2014</v>
      </c>
      <c r="I82" s="648"/>
      <c r="J82" s="647">
        <v>2015</v>
      </c>
      <c r="K82" s="648"/>
      <c r="L82" s="647">
        <v>2016</v>
      </c>
      <c r="M82" s="648"/>
      <c r="N82" s="64" t="s">
        <v>498</v>
      </c>
    </row>
    <row r="83" spans="1:19" ht="6" customHeight="1" thickBot="1" x14ac:dyDescent="0.25">
      <c r="C83" s="1"/>
      <c r="D83" s="55"/>
      <c r="E83" s="7"/>
      <c r="F83" s="55"/>
      <c r="G83" s="7"/>
      <c r="H83" s="55"/>
      <c r="I83" s="7"/>
      <c r="J83" s="55"/>
      <c r="K83" s="7"/>
      <c r="L83" s="55"/>
      <c r="M83" s="7"/>
      <c r="N83" s="7"/>
    </row>
    <row r="84" spans="1:19" ht="13.05" customHeight="1" x14ac:dyDescent="0.2">
      <c r="A84" s="18" t="s">
        <v>460</v>
      </c>
      <c r="B84" s="27"/>
      <c r="C84" s="28">
        <v>80000</v>
      </c>
      <c r="D84" s="56">
        <v>1</v>
      </c>
      <c r="E84" s="47">
        <f>D84*$C84</f>
        <v>80000</v>
      </c>
      <c r="F84" s="56"/>
      <c r="G84" s="47">
        <f>F84*$C84</f>
        <v>0</v>
      </c>
      <c r="H84" s="56">
        <v>1</v>
      </c>
      <c r="I84" s="47">
        <f>H84*$C84</f>
        <v>80000</v>
      </c>
      <c r="J84" s="56"/>
      <c r="K84" s="47">
        <f>J84*$C84</f>
        <v>0</v>
      </c>
      <c r="L84" s="56"/>
      <c r="M84" s="47">
        <f>L84*$C84</f>
        <v>0</v>
      </c>
      <c r="N84" s="20">
        <f>E84+G84+I84+K84+M84</f>
        <v>160000</v>
      </c>
      <c r="O84" s="6"/>
      <c r="P84" s="82"/>
      <c r="Q84" s="82"/>
      <c r="R84" s="82"/>
      <c r="S84" s="82"/>
    </row>
    <row r="85" spans="1:19" ht="13.05" customHeight="1" thickBot="1" x14ac:dyDescent="0.25">
      <c r="A85" s="31"/>
      <c r="B85" s="37"/>
      <c r="C85" s="38"/>
      <c r="D85" s="57"/>
      <c r="E85" s="49">
        <f>D85*$C85</f>
        <v>0</v>
      </c>
      <c r="F85" s="57"/>
      <c r="G85" s="49">
        <f>F85*$C85</f>
        <v>0</v>
      </c>
      <c r="H85" s="57"/>
      <c r="I85" s="49">
        <f>H85*$C85</f>
        <v>0</v>
      </c>
      <c r="J85" s="57"/>
      <c r="K85" s="49">
        <f>J85*$C85</f>
        <v>0</v>
      </c>
      <c r="L85" s="57"/>
      <c r="M85" s="49">
        <f>L85*$C85</f>
        <v>0</v>
      </c>
      <c r="N85" s="34">
        <f>E85+G85+I85+K85+M85</f>
        <v>0</v>
      </c>
      <c r="O85" s="6"/>
      <c r="P85" s="82"/>
      <c r="Q85" s="82"/>
      <c r="R85" s="82"/>
      <c r="S85" s="82"/>
    </row>
    <row r="86" spans="1:19" ht="13.05" customHeight="1" thickBot="1" x14ac:dyDescent="0.25">
      <c r="A86" s="35" t="s">
        <v>494</v>
      </c>
      <c r="B86" s="616">
        <f>SUM(C84:C85)</f>
        <v>80000</v>
      </c>
      <c r="C86" s="617"/>
      <c r="D86" s="612">
        <f>SUM(E84:E85)</f>
        <v>80000</v>
      </c>
      <c r="E86" s="613"/>
      <c r="F86" s="612">
        <f>SUM(G84:G85)</f>
        <v>0</v>
      </c>
      <c r="G86" s="613"/>
      <c r="H86" s="612">
        <f>SUM(I84:I85)</f>
        <v>80000</v>
      </c>
      <c r="I86" s="613"/>
      <c r="J86" s="612">
        <f>SUM(K84:K85)</f>
        <v>0</v>
      </c>
      <c r="K86" s="613"/>
      <c r="L86" s="612">
        <f>SUM(M84:M85)</f>
        <v>0</v>
      </c>
      <c r="M86" s="613"/>
      <c r="N86" s="490">
        <f>D86+F86+H86+J86+L86</f>
        <v>160000</v>
      </c>
      <c r="O86" s="6"/>
      <c r="P86" s="82"/>
      <c r="Q86" s="82"/>
      <c r="R86" s="82"/>
      <c r="S86" s="82"/>
    </row>
    <row r="87" spans="1:19" ht="13.05" customHeight="1" x14ac:dyDescent="0.2">
      <c r="A87" s="43" t="s">
        <v>199</v>
      </c>
      <c r="B87" s="345"/>
      <c r="C87" s="45">
        <v>20000</v>
      </c>
      <c r="D87" s="59"/>
      <c r="E87" s="52">
        <f>D87*$C87</f>
        <v>0</v>
      </c>
      <c r="F87" s="59"/>
      <c r="G87" s="52">
        <f>F87*$C87</f>
        <v>0</v>
      </c>
      <c r="H87" s="59">
        <v>2</v>
      </c>
      <c r="I87" s="52">
        <f>H87*$C87</f>
        <v>40000</v>
      </c>
      <c r="J87" s="59">
        <v>3</v>
      </c>
      <c r="K87" s="52">
        <f>J87*$C87</f>
        <v>60000</v>
      </c>
      <c r="L87" s="59">
        <v>5</v>
      </c>
      <c r="M87" s="52">
        <f>L87*$C87</f>
        <v>100000</v>
      </c>
      <c r="N87" s="46">
        <f>E87+G87+I87+K87+M87</f>
        <v>200000</v>
      </c>
      <c r="O87" s="6"/>
      <c r="P87" s="82"/>
      <c r="Q87" s="82"/>
      <c r="R87" s="82"/>
      <c r="S87" s="82"/>
    </row>
    <row r="88" spans="1:19" ht="13.05" customHeight="1" x14ac:dyDescent="0.2">
      <c r="A88" s="31" t="s">
        <v>462</v>
      </c>
      <c r="B88" s="29"/>
      <c r="C88" s="30">
        <v>15000</v>
      </c>
      <c r="D88" s="58"/>
      <c r="E88" s="11">
        <f>D88*$C88</f>
        <v>0</v>
      </c>
      <c r="F88" s="58"/>
      <c r="G88" s="11">
        <f>F88*$C88</f>
        <v>0</v>
      </c>
      <c r="H88" s="58"/>
      <c r="I88" s="11">
        <f>H88*$C88</f>
        <v>0</v>
      </c>
      <c r="J88" s="58"/>
      <c r="K88" s="11">
        <f>J88*$C88</f>
        <v>0</v>
      </c>
      <c r="L88" s="58"/>
      <c r="M88" s="11">
        <f>L88*$C88</f>
        <v>0</v>
      </c>
      <c r="N88" s="21">
        <f>E88+G88+I88+K88+M88</f>
        <v>0</v>
      </c>
      <c r="O88" s="6"/>
      <c r="P88" s="82"/>
      <c r="Q88" s="82"/>
      <c r="R88" s="82"/>
      <c r="S88" s="82"/>
    </row>
    <row r="89" spans="1:19" ht="13.05" customHeight="1" thickBot="1" x14ac:dyDescent="0.25">
      <c r="A89" s="31" t="s">
        <v>440</v>
      </c>
      <c r="B89" s="37"/>
      <c r="C89" s="38">
        <v>15000</v>
      </c>
      <c r="D89" s="57"/>
      <c r="E89" s="49">
        <f>D89*$C89</f>
        <v>0</v>
      </c>
      <c r="F89" s="57"/>
      <c r="G89" s="49">
        <f>F89*$C89</f>
        <v>0</v>
      </c>
      <c r="H89" s="57"/>
      <c r="I89" s="49">
        <f>H89*$C89</f>
        <v>0</v>
      </c>
      <c r="J89" s="57"/>
      <c r="K89" s="49">
        <f>J89*$C89</f>
        <v>0</v>
      </c>
      <c r="L89" s="57"/>
      <c r="M89" s="49">
        <f>L89*$C89</f>
        <v>0</v>
      </c>
      <c r="N89" s="34">
        <f>E89+G89+I89+K89+M89</f>
        <v>0</v>
      </c>
      <c r="O89" s="6"/>
      <c r="P89" s="82"/>
      <c r="Q89" s="82"/>
      <c r="R89" s="82"/>
      <c r="S89" s="82"/>
    </row>
    <row r="90" spans="1:19" ht="13.05" customHeight="1" thickBot="1" x14ac:dyDescent="0.25">
      <c r="A90" s="35" t="s">
        <v>441</v>
      </c>
      <c r="B90" s="616">
        <f>SUM(C87:C89)</f>
        <v>50000</v>
      </c>
      <c r="C90" s="617"/>
      <c r="D90" s="612">
        <f>SUM(E87:E89)</f>
        <v>0</v>
      </c>
      <c r="E90" s="613"/>
      <c r="F90" s="612">
        <f>SUM(G87:G89)</f>
        <v>0</v>
      </c>
      <c r="G90" s="613"/>
      <c r="H90" s="612">
        <f>SUM(I87:I89)</f>
        <v>40000</v>
      </c>
      <c r="I90" s="613"/>
      <c r="J90" s="612">
        <f>SUM(K87:K89)</f>
        <v>60000</v>
      </c>
      <c r="K90" s="613"/>
      <c r="L90" s="612">
        <f>SUM(M87:M89)</f>
        <v>100000</v>
      </c>
      <c r="M90" s="613"/>
      <c r="N90" s="490">
        <f>D90+F90+H90+J90+L90</f>
        <v>200000</v>
      </c>
      <c r="O90" s="6"/>
      <c r="P90" s="82"/>
      <c r="Q90" s="82"/>
      <c r="R90" s="82"/>
      <c r="S90" s="82"/>
    </row>
    <row r="91" spans="1:19" ht="16.05" customHeight="1" thickBot="1" x14ac:dyDescent="0.25">
      <c r="A91" s="42" t="s">
        <v>178</v>
      </c>
      <c r="B91" s="633">
        <f>B86+B90</f>
        <v>130000</v>
      </c>
      <c r="C91" s="634"/>
      <c r="D91" s="610">
        <f>D86+D90</f>
        <v>80000</v>
      </c>
      <c r="E91" s="611"/>
      <c r="F91" s="610">
        <f>F86+F90</f>
        <v>0</v>
      </c>
      <c r="G91" s="611"/>
      <c r="H91" s="610">
        <f>H86+H90</f>
        <v>120000</v>
      </c>
      <c r="I91" s="611"/>
      <c r="J91" s="610">
        <f>J86+J90</f>
        <v>60000</v>
      </c>
      <c r="K91" s="611"/>
      <c r="L91" s="610">
        <f>L86+L90</f>
        <v>100000</v>
      </c>
      <c r="M91" s="611"/>
      <c r="N91" s="36">
        <f>N86+N90</f>
        <v>360000</v>
      </c>
      <c r="O91" s="6"/>
      <c r="P91" s="82"/>
      <c r="Q91" s="82"/>
      <c r="R91" s="82"/>
      <c r="S91" s="82"/>
    </row>
    <row r="92" spans="1:19" ht="7.05" customHeight="1" thickBot="1" x14ac:dyDescent="0.25">
      <c r="C92" s="1"/>
      <c r="D92" s="55"/>
      <c r="E92" s="7"/>
      <c r="F92" s="55"/>
      <c r="G92" s="7"/>
      <c r="H92" s="55"/>
      <c r="I92" s="7"/>
      <c r="J92" s="55"/>
      <c r="K92" s="7"/>
      <c r="L92" s="55"/>
      <c r="M92" s="7"/>
      <c r="N92" s="7"/>
      <c r="O92" s="6"/>
    </row>
    <row r="93" spans="1:19" ht="16.2" x14ac:dyDescent="0.2">
      <c r="A93" s="25" t="s">
        <v>437</v>
      </c>
      <c r="B93" s="639" t="s">
        <v>193</v>
      </c>
      <c r="C93" s="641" t="s">
        <v>138</v>
      </c>
      <c r="D93" s="643"/>
      <c r="E93" s="644"/>
      <c r="F93" s="643"/>
      <c r="G93" s="644"/>
      <c r="H93" s="643">
        <v>12</v>
      </c>
      <c r="I93" s="644"/>
      <c r="J93" s="643">
        <v>12</v>
      </c>
      <c r="K93" s="644"/>
      <c r="L93" s="643">
        <v>12</v>
      </c>
      <c r="M93" s="644"/>
      <c r="N93" s="23">
        <f>SUM(D93:L93)</f>
        <v>36</v>
      </c>
      <c r="P93" s="17">
        <f>F82</f>
        <v>2013</v>
      </c>
      <c r="Q93" s="17">
        <f>H82</f>
        <v>2014</v>
      </c>
      <c r="R93" s="17">
        <f>J82</f>
        <v>2015</v>
      </c>
      <c r="S93" s="17">
        <f>L82</f>
        <v>2016</v>
      </c>
    </row>
    <row r="94" spans="1:19" ht="13.2" thickBot="1" x14ac:dyDescent="0.25">
      <c r="A94" s="26" t="s">
        <v>215</v>
      </c>
      <c r="B94" s="640"/>
      <c r="C94" s="642"/>
      <c r="D94" s="649"/>
      <c r="E94" s="650"/>
      <c r="F94" s="653"/>
      <c r="G94" s="654"/>
      <c r="H94" s="620">
        <v>0.03</v>
      </c>
      <c r="I94" s="621"/>
      <c r="J94" s="620">
        <v>0.03</v>
      </c>
      <c r="K94" s="621"/>
      <c r="L94" s="620">
        <v>0.03</v>
      </c>
      <c r="M94" s="621"/>
      <c r="N94" s="24">
        <f>SUM(E94:L94)/4</f>
        <v>2.2499999999999999E-2</v>
      </c>
    </row>
    <row r="95" spans="1:19" x14ac:dyDescent="0.2">
      <c r="A95" s="18" t="s">
        <v>461</v>
      </c>
      <c r="B95" s="27"/>
      <c r="C95" s="28">
        <v>5000</v>
      </c>
      <c r="D95" s="56"/>
      <c r="E95" s="47">
        <f>D95*$C95</f>
        <v>0</v>
      </c>
      <c r="F95" s="56"/>
      <c r="G95" s="47">
        <f>F95*P95</f>
        <v>0</v>
      </c>
      <c r="H95" s="56">
        <v>12</v>
      </c>
      <c r="I95" s="47">
        <f>H95*Q95</f>
        <v>61800</v>
      </c>
      <c r="J95" s="56">
        <v>12</v>
      </c>
      <c r="K95" s="47">
        <f>J95*R95</f>
        <v>63654</v>
      </c>
      <c r="L95" s="56">
        <v>12</v>
      </c>
      <c r="M95" s="48">
        <f>L95*S95</f>
        <v>65563.62</v>
      </c>
      <c r="N95" s="20">
        <f>E95+G95+I95+K95+M95</f>
        <v>191017.62</v>
      </c>
      <c r="P95" s="8">
        <f>$C95*(1+F$94)</f>
        <v>5000</v>
      </c>
      <c r="Q95" s="8">
        <f>P95*(1+H$94)</f>
        <v>5150</v>
      </c>
      <c r="R95" s="8">
        <f>Q95*(1+J$94)</f>
        <v>5304.5</v>
      </c>
      <c r="S95" s="8">
        <f>R95*(1+L$94)</f>
        <v>5463.6350000000002</v>
      </c>
    </row>
    <row r="96" spans="1:19" ht="13.2" thickBot="1" x14ac:dyDescent="0.25">
      <c r="A96" s="31" t="s">
        <v>204</v>
      </c>
      <c r="B96" s="32">
        <v>0.25</v>
      </c>
      <c r="C96" s="33">
        <f>C95*B96</f>
        <v>1250</v>
      </c>
      <c r="D96" s="57"/>
      <c r="E96" s="49">
        <f>D96*$C96</f>
        <v>0</v>
      </c>
      <c r="F96" s="57"/>
      <c r="G96" s="49">
        <f>F96*P96</f>
        <v>0</v>
      </c>
      <c r="H96" s="57">
        <v>12</v>
      </c>
      <c r="I96" s="49">
        <f>H96*Q96</f>
        <v>15450</v>
      </c>
      <c r="J96" s="57">
        <v>12</v>
      </c>
      <c r="K96" s="49">
        <f>J96*R96</f>
        <v>15913.5</v>
      </c>
      <c r="L96" s="57">
        <v>12</v>
      </c>
      <c r="M96" s="50">
        <f>L96*S96</f>
        <v>16390.904999999999</v>
      </c>
      <c r="N96" s="34">
        <f>E96+G96+I96+K96+M96</f>
        <v>47754.404999999999</v>
      </c>
      <c r="P96" s="8">
        <f>$C96*(1+F$94)</f>
        <v>1250</v>
      </c>
      <c r="Q96" s="8">
        <f>P96*(1+H$94)</f>
        <v>1287.5</v>
      </c>
      <c r="R96" s="8">
        <f>Q96*(1+J$94)</f>
        <v>1326.125</v>
      </c>
      <c r="S96" s="8">
        <f>R96*(1+L$94)</f>
        <v>1365.9087500000001</v>
      </c>
    </row>
    <row r="97" spans="1:19" ht="14.4" thickBot="1" x14ac:dyDescent="0.25">
      <c r="A97" s="40" t="s">
        <v>286</v>
      </c>
      <c r="B97" s="645">
        <f>SUM(C95:C96)</f>
        <v>6250</v>
      </c>
      <c r="C97" s="646"/>
      <c r="D97" s="622">
        <f>SUM(E95:E96)</f>
        <v>0</v>
      </c>
      <c r="E97" s="623"/>
      <c r="F97" s="622">
        <f>SUM(G95:G96)</f>
        <v>0</v>
      </c>
      <c r="G97" s="623"/>
      <c r="H97" s="622">
        <f>SUM(I95:I96)</f>
        <v>77250</v>
      </c>
      <c r="I97" s="623"/>
      <c r="J97" s="622">
        <f>SUM(K95:K96)</f>
        <v>79567.5</v>
      </c>
      <c r="K97" s="623"/>
      <c r="L97" s="622">
        <f>SUM(M95:M96)</f>
        <v>81954.524999999994</v>
      </c>
      <c r="M97" s="623"/>
      <c r="N97" s="36">
        <f>SUM(N95:N96)</f>
        <v>238772.02499999999</v>
      </c>
      <c r="P97" s="8"/>
      <c r="Q97" s="8"/>
      <c r="R97" s="8"/>
      <c r="S97" s="8"/>
    </row>
    <row r="98" spans="1:19" x14ac:dyDescent="0.2">
      <c r="A98" s="18" t="s">
        <v>336</v>
      </c>
      <c r="B98" s="27"/>
      <c r="C98" s="28">
        <v>300</v>
      </c>
      <c r="D98" s="56"/>
      <c r="E98" s="47">
        <f>D98*$C98</f>
        <v>0</v>
      </c>
      <c r="F98" s="56"/>
      <c r="G98" s="47">
        <f>F98*P98</f>
        <v>0</v>
      </c>
      <c r="H98" s="56">
        <v>12</v>
      </c>
      <c r="I98" s="47">
        <f>H98*Q98</f>
        <v>3708</v>
      </c>
      <c r="J98" s="56">
        <v>12</v>
      </c>
      <c r="K98" s="47">
        <f>J98*R98</f>
        <v>3819.24</v>
      </c>
      <c r="L98" s="56">
        <v>12</v>
      </c>
      <c r="M98" s="48">
        <f>L98*S98</f>
        <v>3933.8172000000004</v>
      </c>
      <c r="N98" s="20">
        <f>E98+G98+I98+K98+M98</f>
        <v>11461.057199999999</v>
      </c>
      <c r="P98" s="8">
        <f>$C98*(1+F$94)</f>
        <v>300</v>
      </c>
      <c r="Q98" s="8">
        <f>P98*(1+H$94)</f>
        <v>309</v>
      </c>
      <c r="R98" s="8">
        <f>Q98*(1+J$94)</f>
        <v>318.27</v>
      </c>
      <c r="S98" s="8">
        <f>R98*(1+L$94)</f>
        <v>327.81810000000002</v>
      </c>
    </row>
    <row r="99" spans="1:19" x14ac:dyDescent="0.2">
      <c r="A99" s="19" t="s">
        <v>216</v>
      </c>
      <c r="B99" s="29"/>
      <c r="C99" s="30">
        <v>500</v>
      </c>
      <c r="D99" s="58"/>
      <c r="E99" s="11">
        <f>D99*$C99</f>
        <v>0</v>
      </c>
      <c r="F99" s="58"/>
      <c r="G99" s="11">
        <f>F99*P99</f>
        <v>0</v>
      </c>
      <c r="H99" s="58">
        <v>12</v>
      </c>
      <c r="I99" s="11">
        <f>H99*Q99</f>
        <v>6180</v>
      </c>
      <c r="J99" s="58">
        <v>12</v>
      </c>
      <c r="K99" s="11">
        <f>J99*R99</f>
        <v>6365.4000000000005</v>
      </c>
      <c r="L99" s="58">
        <v>12</v>
      </c>
      <c r="M99" s="51">
        <f>L99*S99</f>
        <v>6556.362000000001</v>
      </c>
      <c r="N99" s="21">
        <f>E99+G99+I99+K99+M99</f>
        <v>19101.762000000002</v>
      </c>
      <c r="P99" s="8">
        <f>$C99*(1+F$94)</f>
        <v>500</v>
      </c>
      <c r="Q99" s="8">
        <f>P99*(1+H$94)</f>
        <v>515</v>
      </c>
      <c r="R99" s="8">
        <f>Q99*(1+J$94)</f>
        <v>530.45000000000005</v>
      </c>
      <c r="S99" s="8">
        <f>R99*(1+L$94)</f>
        <v>546.36350000000004</v>
      </c>
    </row>
    <row r="100" spans="1:19" x14ac:dyDescent="0.2">
      <c r="A100" s="19" t="s">
        <v>133</v>
      </c>
      <c r="B100" s="29"/>
      <c r="C100" s="30">
        <v>600</v>
      </c>
      <c r="D100" s="58"/>
      <c r="E100" s="11">
        <f>D100*$C100</f>
        <v>0</v>
      </c>
      <c r="F100" s="58"/>
      <c r="G100" s="11">
        <f>F100*P100</f>
        <v>0</v>
      </c>
      <c r="H100" s="58">
        <v>12</v>
      </c>
      <c r="I100" s="11">
        <f>H100*Q100</f>
        <v>7416</v>
      </c>
      <c r="J100" s="58">
        <v>12</v>
      </c>
      <c r="K100" s="11">
        <f>J100*R100</f>
        <v>7638.48</v>
      </c>
      <c r="L100" s="58">
        <v>12</v>
      </c>
      <c r="M100" s="51">
        <f>L100*S100</f>
        <v>7867.6344000000008</v>
      </c>
      <c r="N100" s="21">
        <f>E100+G100+I100+K100+M100</f>
        <v>22922.114399999999</v>
      </c>
      <c r="P100" s="8">
        <f>$C100*(1+F$94)</f>
        <v>600</v>
      </c>
      <c r="Q100" s="8">
        <f>P100*(1+H$94)</f>
        <v>618</v>
      </c>
      <c r="R100" s="8">
        <f>Q100*(1+J$94)</f>
        <v>636.54</v>
      </c>
      <c r="S100" s="8">
        <f>R100*(1+L$94)</f>
        <v>655.63620000000003</v>
      </c>
    </row>
    <row r="101" spans="1:19" ht="13.2" thickBot="1" x14ac:dyDescent="0.25">
      <c r="A101" s="31" t="s">
        <v>179</v>
      </c>
      <c r="B101" s="37"/>
      <c r="C101" s="38">
        <v>600</v>
      </c>
      <c r="D101" s="57"/>
      <c r="E101" s="49">
        <f>D101*$C101</f>
        <v>0</v>
      </c>
      <c r="F101" s="57"/>
      <c r="G101" s="49">
        <f>F101*P101</f>
        <v>0</v>
      </c>
      <c r="H101" s="57">
        <v>12</v>
      </c>
      <c r="I101" s="49">
        <f>H101*Q101</f>
        <v>7416</v>
      </c>
      <c r="J101" s="57">
        <v>12</v>
      </c>
      <c r="K101" s="49">
        <f>J101*R101</f>
        <v>7638.48</v>
      </c>
      <c r="L101" s="57">
        <v>12</v>
      </c>
      <c r="M101" s="50">
        <f>L101*S101</f>
        <v>7867.6344000000008</v>
      </c>
      <c r="N101" s="34">
        <f>E101+G101+I101+K101+M101</f>
        <v>22922.114399999999</v>
      </c>
      <c r="P101" s="8">
        <f>$C101*(1+F$94)</f>
        <v>600</v>
      </c>
      <c r="Q101" s="8">
        <f>P101*(1+H$94)</f>
        <v>618</v>
      </c>
      <c r="R101" s="8">
        <f>Q101*(1+J$94)</f>
        <v>636.54</v>
      </c>
      <c r="S101" s="8">
        <f>R101*(1+L$94)</f>
        <v>655.63620000000003</v>
      </c>
    </row>
    <row r="102" spans="1:19" ht="14.4" thickBot="1" x14ac:dyDescent="0.25">
      <c r="A102" s="40" t="s">
        <v>397</v>
      </c>
      <c r="B102" s="633">
        <f>SUM(C98:C101)</f>
        <v>2000</v>
      </c>
      <c r="C102" s="634"/>
      <c r="D102" s="610">
        <f>SUM(E98:E101)</f>
        <v>0</v>
      </c>
      <c r="E102" s="611"/>
      <c r="F102" s="610">
        <f>SUM(G98:G101)</f>
        <v>0</v>
      </c>
      <c r="G102" s="611"/>
      <c r="H102" s="610">
        <f>SUM(I98:I101)</f>
        <v>24720</v>
      </c>
      <c r="I102" s="611"/>
      <c r="J102" s="610">
        <f>SUM(K98:K101)</f>
        <v>25461.599999999999</v>
      </c>
      <c r="K102" s="611"/>
      <c r="L102" s="610">
        <f>SUM(M98:M101)</f>
        <v>26225.448000000004</v>
      </c>
      <c r="M102" s="611"/>
      <c r="N102" s="36">
        <f>SUM(N98:N101)</f>
        <v>76407.04800000001</v>
      </c>
      <c r="P102" s="8"/>
      <c r="Q102" s="8"/>
      <c r="R102" s="8"/>
      <c r="S102" s="8"/>
    </row>
    <row r="103" spans="1:19" x14ac:dyDescent="0.2">
      <c r="A103" s="18" t="s">
        <v>244</v>
      </c>
      <c r="B103" s="27"/>
      <c r="C103" s="28">
        <v>2500</v>
      </c>
      <c r="D103" s="56"/>
      <c r="E103" s="47">
        <f>D103*$C103</f>
        <v>0</v>
      </c>
      <c r="F103" s="56"/>
      <c r="G103" s="47">
        <f>F103*P103</f>
        <v>0</v>
      </c>
      <c r="H103" s="56">
        <v>12</v>
      </c>
      <c r="I103" s="47">
        <f>H103*Q103</f>
        <v>30900</v>
      </c>
      <c r="J103" s="56">
        <v>12</v>
      </c>
      <c r="K103" s="47">
        <f>J103*R103</f>
        <v>31827</v>
      </c>
      <c r="L103" s="56">
        <v>12</v>
      </c>
      <c r="M103" s="48">
        <f>L103*S103</f>
        <v>32781.81</v>
      </c>
      <c r="N103" s="20">
        <f>E103+G103+I103+K103+M103</f>
        <v>95508.81</v>
      </c>
      <c r="P103" s="8">
        <f>$C103*(1+F$94)</f>
        <v>2500</v>
      </c>
      <c r="Q103" s="8">
        <f>P103*(1+H$94)</f>
        <v>2575</v>
      </c>
      <c r="R103" s="8">
        <f>Q103*(1+J$94)</f>
        <v>2652.25</v>
      </c>
      <c r="S103" s="8">
        <f>R103*(1+L$94)</f>
        <v>2731.8175000000001</v>
      </c>
    </row>
    <row r="104" spans="1:19" x14ac:dyDescent="0.2">
      <c r="A104" s="19" t="s">
        <v>83</v>
      </c>
      <c r="B104" s="29"/>
      <c r="C104" s="30">
        <v>3000</v>
      </c>
      <c r="D104" s="58"/>
      <c r="E104" s="11">
        <f>D104*$C104</f>
        <v>0</v>
      </c>
      <c r="F104" s="58"/>
      <c r="G104" s="11">
        <f>F104*P104</f>
        <v>0</v>
      </c>
      <c r="H104" s="58">
        <v>12</v>
      </c>
      <c r="I104" s="11">
        <f>H104*Q104</f>
        <v>37080</v>
      </c>
      <c r="J104" s="58">
        <v>12</v>
      </c>
      <c r="K104" s="11">
        <f>J104*R104</f>
        <v>38192.400000000001</v>
      </c>
      <c r="L104" s="58">
        <v>12</v>
      </c>
      <c r="M104" s="51">
        <f>L104*S104</f>
        <v>39338.172000000006</v>
      </c>
      <c r="N104" s="21">
        <f>E104+G104+I104+K104+M104</f>
        <v>114610.572</v>
      </c>
      <c r="P104" s="8">
        <f>$C104*(1+F$94)</f>
        <v>3000</v>
      </c>
      <c r="Q104" s="8">
        <f>P104*(1+H$94)</f>
        <v>3090</v>
      </c>
      <c r="R104" s="8">
        <f>Q104*(1+J$94)</f>
        <v>3182.7000000000003</v>
      </c>
      <c r="S104" s="8">
        <f>R104*(1+L$94)</f>
        <v>3278.1810000000005</v>
      </c>
    </row>
    <row r="105" spans="1:19" ht="13.2" thickBot="1" x14ac:dyDescent="0.25">
      <c r="A105" s="31" t="s">
        <v>245</v>
      </c>
      <c r="B105" s="32">
        <v>0.1</v>
      </c>
      <c r="C105" s="33">
        <f>SUM(C103:C104)*B105</f>
        <v>550</v>
      </c>
      <c r="D105" s="57"/>
      <c r="E105" s="49">
        <f>D105*$C105</f>
        <v>0</v>
      </c>
      <c r="F105" s="57"/>
      <c r="G105" s="49">
        <f>F105*P105</f>
        <v>0</v>
      </c>
      <c r="H105" s="57">
        <v>12</v>
      </c>
      <c r="I105" s="49">
        <f>H105*Q105</f>
        <v>6798</v>
      </c>
      <c r="J105" s="57">
        <v>12</v>
      </c>
      <c r="K105" s="49">
        <f>J105*R105</f>
        <v>7001.9400000000005</v>
      </c>
      <c r="L105" s="57">
        <v>12</v>
      </c>
      <c r="M105" s="50">
        <f>L105*S105</f>
        <v>7211.9982</v>
      </c>
      <c r="N105" s="34">
        <f>E105+G105+I105+K105+M105</f>
        <v>21011.938200000001</v>
      </c>
      <c r="P105" s="8">
        <f>$C105*(1+F$94)</f>
        <v>550</v>
      </c>
      <c r="Q105" s="8">
        <f>P105*(1+H$94)</f>
        <v>566.5</v>
      </c>
      <c r="R105" s="8">
        <f>Q105*(1+J$94)</f>
        <v>583.495</v>
      </c>
      <c r="S105" s="8">
        <f>R105*(1+L$94)</f>
        <v>600.99985000000004</v>
      </c>
    </row>
    <row r="106" spans="1:19" ht="14.4" thickBot="1" x14ac:dyDescent="0.25">
      <c r="A106" s="40" t="s">
        <v>279</v>
      </c>
      <c r="B106" s="633">
        <f>SUM(C103:C105)</f>
        <v>6050</v>
      </c>
      <c r="C106" s="634"/>
      <c r="D106" s="610">
        <f>SUM(E103:E105)</f>
        <v>0</v>
      </c>
      <c r="E106" s="611"/>
      <c r="F106" s="610">
        <f>SUM(G103:G105)</f>
        <v>0</v>
      </c>
      <c r="G106" s="611"/>
      <c r="H106" s="610">
        <f>SUM(I103:I105)</f>
        <v>74778</v>
      </c>
      <c r="I106" s="611"/>
      <c r="J106" s="610">
        <f>SUM(K103:K105)</f>
        <v>77021.34</v>
      </c>
      <c r="K106" s="611"/>
      <c r="L106" s="610">
        <f>SUM(M103:M105)</f>
        <v>79331.980200000005</v>
      </c>
      <c r="M106" s="611"/>
      <c r="N106" s="36">
        <f>SUM(N103:N105)</f>
        <v>231131.32019999999</v>
      </c>
      <c r="P106" s="8"/>
      <c r="Q106" s="8"/>
      <c r="R106" s="8"/>
      <c r="S106" s="8"/>
    </row>
    <row r="107" spans="1:19" x14ac:dyDescent="0.2">
      <c r="A107" s="18" t="s">
        <v>127</v>
      </c>
      <c r="B107" s="27"/>
      <c r="C107" s="28">
        <v>15000</v>
      </c>
      <c r="D107" s="56"/>
      <c r="E107" s="47">
        <f t="shared" ref="E107:E112" si="17">D107*$C107</f>
        <v>0</v>
      </c>
      <c r="F107" s="56"/>
      <c r="G107" s="47">
        <f>F107*P107</f>
        <v>0</v>
      </c>
      <c r="H107" s="56">
        <v>12</v>
      </c>
      <c r="I107" s="47">
        <f>H107*Q107</f>
        <v>185400</v>
      </c>
      <c r="J107" s="56">
        <v>12</v>
      </c>
      <c r="K107" s="47">
        <f>J107*R107</f>
        <v>190962</v>
      </c>
      <c r="L107" s="56">
        <v>12</v>
      </c>
      <c r="M107" s="48">
        <f>L107*S107</f>
        <v>196690.86</v>
      </c>
      <c r="N107" s="20">
        <f t="shared" ref="N107:N112" si="18">E107+G107+I107+K107+M107</f>
        <v>573052.86</v>
      </c>
      <c r="P107" s="8">
        <f>$C107*(1+F$94)</f>
        <v>15000</v>
      </c>
      <c r="Q107" s="8">
        <f>P107*(1+H$94)</f>
        <v>15450</v>
      </c>
      <c r="R107" s="8">
        <f>Q107*(1+J$94)</f>
        <v>15913.5</v>
      </c>
      <c r="S107" s="8">
        <f>R107*(1+L$94)</f>
        <v>16390.904999999999</v>
      </c>
    </row>
    <row r="108" spans="1:19" x14ac:dyDescent="0.2">
      <c r="A108" s="19" t="s">
        <v>128</v>
      </c>
      <c r="B108" s="29"/>
      <c r="C108" s="30">
        <v>2000</v>
      </c>
      <c r="D108" s="58"/>
      <c r="E108" s="11">
        <f t="shared" si="17"/>
        <v>0</v>
      </c>
      <c r="F108" s="58"/>
      <c r="G108" s="11">
        <f>F108*P108</f>
        <v>0</v>
      </c>
      <c r="H108" s="58">
        <v>12</v>
      </c>
      <c r="I108" s="11">
        <f>H108*Q108</f>
        <v>24720</v>
      </c>
      <c r="J108" s="58">
        <v>12</v>
      </c>
      <c r="K108" s="11">
        <f>J108*R108</f>
        <v>25461.600000000002</v>
      </c>
      <c r="L108" s="58">
        <v>12</v>
      </c>
      <c r="M108" s="51">
        <f>L108*S108</f>
        <v>26225.448000000004</v>
      </c>
      <c r="N108" s="21">
        <f t="shared" si="18"/>
        <v>76407.04800000001</v>
      </c>
      <c r="P108" s="8">
        <f>$C108*(1+F$94)</f>
        <v>2000</v>
      </c>
      <c r="Q108" s="8">
        <f>P108*(1+H$94)</f>
        <v>2060</v>
      </c>
      <c r="R108" s="8">
        <f>Q108*(1+J$94)</f>
        <v>2121.8000000000002</v>
      </c>
      <c r="S108" s="8">
        <f>R108*(1+L$94)</f>
        <v>2185.4540000000002</v>
      </c>
    </row>
    <row r="109" spans="1:19" x14ac:dyDescent="0.2">
      <c r="A109" s="19" t="s">
        <v>205</v>
      </c>
      <c r="B109" s="29"/>
      <c r="C109" s="30">
        <v>2000</v>
      </c>
      <c r="D109" s="58"/>
      <c r="E109" s="11">
        <f t="shared" si="17"/>
        <v>0</v>
      </c>
      <c r="F109" s="58"/>
      <c r="G109" s="11">
        <f>F109*P109</f>
        <v>0</v>
      </c>
      <c r="H109" s="58">
        <v>12</v>
      </c>
      <c r="I109" s="11">
        <f>H109*Q109</f>
        <v>24720</v>
      </c>
      <c r="J109" s="58">
        <v>12</v>
      </c>
      <c r="K109" s="11">
        <f>J109*R109</f>
        <v>25461.600000000002</v>
      </c>
      <c r="L109" s="58">
        <v>12</v>
      </c>
      <c r="M109" s="51">
        <f>L109*S109</f>
        <v>26225.448000000004</v>
      </c>
      <c r="N109" s="21">
        <f t="shared" si="18"/>
        <v>76407.04800000001</v>
      </c>
      <c r="P109" s="8">
        <f>$C109*(1+F$94)</f>
        <v>2000</v>
      </c>
      <c r="Q109" s="8">
        <f>P109*(1+H$94)</f>
        <v>2060</v>
      </c>
      <c r="R109" s="8">
        <f>Q109*(1+J$94)</f>
        <v>2121.8000000000002</v>
      </c>
      <c r="S109" s="8">
        <f>R109*(1+L$94)</f>
        <v>2185.4540000000002</v>
      </c>
    </row>
    <row r="110" spans="1:19" x14ac:dyDescent="0.2">
      <c r="A110" s="19" t="s">
        <v>424</v>
      </c>
      <c r="B110" s="29"/>
      <c r="C110" s="30">
        <v>5000</v>
      </c>
      <c r="D110" s="58"/>
      <c r="E110" s="11">
        <f t="shared" si="17"/>
        <v>0</v>
      </c>
      <c r="F110" s="58"/>
      <c r="G110" s="11">
        <f>F110*P110</f>
        <v>0</v>
      </c>
      <c r="H110" s="58">
        <v>12</v>
      </c>
      <c r="I110" s="11">
        <f>H110*Q110</f>
        <v>61800</v>
      </c>
      <c r="J110" s="58">
        <v>12</v>
      </c>
      <c r="K110" s="11">
        <f>J110*R110</f>
        <v>63654</v>
      </c>
      <c r="L110" s="58">
        <v>12</v>
      </c>
      <c r="M110" s="51">
        <f>L110*S110</f>
        <v>65563.62</v>
      </c>
      <c r="N110" s="21">
        <f t="shared" si="18"/>
        <v>191017.62</v>
      </c>
      <c r="P110" s="8">
        <f>$C110*(1+F$94)</f>
        <v>5000</v>
      </c>
      <c r="Q110" s="8">
        <f>P110*(1+H$94)</f>
        <v>5150</v>
      </c>
      <c r="R110" s="8">
        <f>Q110*(1+J$94)</f>
        <v>5304.5</v>
      </c>
      <c r="S110" s="8">
        <f>R110*(1+L$94)</f>
        <v>5463.6350000000002</v>
      </c>
    </row>
    <row r="111" spans="1:19" x14ac:dyDescent="0.2">
      <c r="A111" s="19" t="s">
        <v>200</v>
      </c>
      <c r="B111" s="29"/>
      <c r="C111" s="30">
        <v>10000</v>
      </c>
      <c r="D111" s="58"/>
      <c r="E111" s="11">
        <f t="shared" si="17"/>
        <v>0</v>
      </c>
      <c r="F111" s="58"/>
      <c r="G111" s="11">
        <f>F111*$C111</f>
        <v>0</v>
      </c>
      <c r="H111" s="58">
        <v>1</v>
      </c>
      <c r="I111" s="11">
        <f>H111*$C111</f>
        <v>10000</v>
      </c>
      <c r="J111" s="58">
        <v>4</v>
      </c>
      <c r="K111" s="11">
        <f>J111*$C111</f>
        <v>40000</v>
      </c>
      <c r="L111" s="58">
        <v>5</v>
      </c>
      <c r="M111" s="11">
        <f>L111*$C111</f>
        <v>50000</v>
      </c>
      <c r="N111" s="21">
        <f t="shared" si="18"/>
        <v>100000</v>
      </c>
      <c r="O111" s="6"/>
      <c r="P111" s="82"/>
      <c r="Q111" s="82"/>
      <c r="R111" s="82"/>
      <c r="S111" s="82"/>
    </row>
    <row r="112" spans="1:19" ht="13.2" thickBot="1" x14ac:dyDescent="0.25">
      <c r="A112" s="31" t="s">
        <v>404</v>
      </c>
      <c r="B112" s="32">
        <v>0.1</v>
      </c>
      <c r="C112" s="33">
        <f>SUM(C107:C109)*B112</f>
        <v>1900</v>
      </c>
      <c r="D112" s="57"/>
      <c r="E112" s="49">
        <f t="shared" si="17"/>
        <v>0</v>
      </c>
      <c r="F112" s="57"/>
      <c r="G112" s="49">
        <f>F112*P112</f>
        <v>0</v>
      </c>
      <c r="H112" s="57">
        <v>12</v>
      </c>
      <c r="I112" s="49">
        <f>H112*Q112</f>
        <v>23484</v>
      </c>
      <c r="J112" s="57">
        <v>12</v>
      </c>
      <c r="K112" s="49">
        <f>J112*R112</f>
        <v>24188.52</v>
      </c>
      <c r="L112" s="57">
        <v>12</v>
      </c>
      <c r="M112" s="50">
        <f>L112*S112</f>
        <v>24914.175600000002</v>
      </c>
      <c r="N112" s="34">
        <f t="shared" si="18"/>
        <v>72586.695600000006</v>
      </c>
      <c r="P112" s="8">
        <f>$C112*(1+F$94)</f>
        <v>1900</v>
      </c>
      <c r="Q112" s="8">
        <f>P112*(1+H$94)</f>
        <v>1957</v>
      </c>
      <c r="R112" s="8">
        <f>Q112*(1+J$94)</f>
        <v>2015.71</v>
      </c>
      <c r="S112" s="8">
        <f>R112*(1+L$94)</f>
        <v>2076.1813000000002</v>
      </c>
    </row>
    <row r="113" spans="1:19" ht="14.4" thickBot="1" x14ac:dyDescent="0.25">
      <c r="A113" s="40" t="s">
        <v>115</v>
      </c>
      <c r="B113" s="633">
        <f>SUM(C107:C112)</f>
        <v>35900</v>
      </c>
      <c r="C113" s="634"/>
      <c r="D113" s="610">
        <f>SUM(E107:E112)</f>
        <v>0</v>
      </c>
      <c r="E113" s="611"/>
      <c r="F113" s="610">
        <f>SUM(G107:G112)</f>
        <v>0</v>
      </c>
      <c r="G113" s="611"/>
      <c r="H113" s="610">
        <f>SUM(I107:I112)</f>
        <v>330124</v>
      </c>
      <c r="I113" s="611"/>
      <c r="J113" s="610">
        <f>SUM(K107:K112)</f>
        <v>369727.72000000003</v>
      </c>
      <c r="K113" s="611"/>
      <c r="L113" s="610">
        <f>SUM(M107:M112)</f>
        <v>389619.55160000001</v>
      </c>
      <c r="M113" s="611"/>
      <c r="N113" s="36">
        <f>SUM(N107:N112)</f>
        <v>1089471.2716000001</v>
      </c>
      <c r="P113" s="8"/>
      <c r="Q113" s="8"/>
      <c r="R113" s="8"/>
      <c r="S113" s="8"/>
    </row>
    <row r="114" spans="1:19" x14ac:dyDescent="0.2">
      <c r="A114" s="354" t="s">
        <v>225</v>
      </c>
      <c r="B114" s="614">
        <f>SUM(C115:C121)</f>
        <v>49000</v>
      </c>
      <c r="C114" s="615"/>
      <c r="D114" s="608">
        <f>SUM(E115:E121)</f>
        <v>0</v>
      </c>
      <c r="E114" s="609"/>
      <c r="F114" s="608">
        <f>SUM(G115:G121)</f>
        <v>0</v>
      </c>
      <c r="G114" s="609"/>
      <c r="H114" s="608">
        <f>SUM(I115:I121)</f>
        <v>644574</v>
      </c>
      <c r="I114" s="609"/>
      <c r="J114" s="608">
        <f>SUM(K115:K121)</f>
        <v>663911.22000000009</v>
      </c>
      <c r="K114" s="609"/>
      <c r="L114" s="608">
        <f>SUM(M115:M121)</f>
        <v>683828.55660000001</v>
      </c>
      <c r="M114" s="609"/>
      <c r="N114" s="62">
        <f>SUM(D114:M114)</f>
        <v>1992313.7766000002</v>
      </c>
      <c r="O114" s="6"/>
      <c r="P114" s="262">
        <f>$C114*(1+F$15)</f>
        <v>0</v>
      </c>
      <c r="Q114" s="262">
        <f>P114*(1+H$15)</f>
        <v>0</v>
      </c>
      <c r="R114" s="262">
        <f>Q114*(1+J$15)</f>
        <v>0</v>
      </c>
      <c r="S114" s="262">
        <f>R114*(1+L$15)</f>
        <v>0</v>
      </c>
    </row>
    <row r="115" spans="1:19" x14ac:dyDescent="0.2">
      <c r="A115" s="19" t="s">
        <v>485</v>
      </c>
      <c r="B115" s="369"/>
      <c r="C115" s="30">
        <v>15000</v>
      </c>
      <c r="D115" s="58"/>
      <c r="E115" s="11">
        <f>D115*($C115*(1+$B115))</f>
        <v>0</v>
      </c>
      <c r="F115" s="58"/>
      <c r="G115" s="11">
        <f>(F115*P115)*(1+$B115)</f>
        <v>0</v>
      </c>
      <c r="H115" s="58">
        <v>12</v>
      </c>
      <c r="I115" s="11">
        <f>(H115*Q115)*(1+$B115)</f>
        <v>185400</v>
      </c>
      <c r="J115" s="58">
        <v>12</v>
      </c>
      <c r="K115" s="11">
        <f>(J115*R115)*(1+$B115)</f>
        <v>190962</v>
      </c>
      <c r="L115" s="58">
        <v>12</v>
      </c>
      <c r="M115" s="51">
        <f>(L115*S115)*(1+$B115)</f>
        <v>196690.86</v>
      </c>
      <c r="N115" s="21">
        <f t="shared" ref="N115:N130" si="19">E115+G115+I115+K115+M115</f>
        <v>573052.86</v>
      </c>
      <c r="P115" s="8">
        <f t="shared" ref="P115:P130" si="20">$C115*(1+F$94)</f>
        <v>15000</v>
      </c>
      <c r="Q115" s="8">
        <f t="shared" ref="Q115:Q130" si="21">P115*(1+H$94)</f>
        <v>15450</v>
      </c>
      <c r="R115" s="8">
        <f t="shared" ref="R115:R130" si="22">Q115*(1+J$94)</f>
        <v>15913.5</v>
      </c>
      <c r="S115" s="8">
        <f t="shared" ref="S115:S130" si="23">R115*(1+L$94)</f>
        <v>16390.904999999999</v>
      </c>
    </row>
    <row r="116" spans="1:19" x14ac:dyDescent="0.2">
      <c r="A116" s="346" t="s">
        <v>74</v>
      </c>
      <c r="B116" s="349">
        <v>0.5</v>
      </c>
      <c r="C116" s="350">
        <f>C115*$B116</f>
        <v>7500</v>
      </c>
      <c r="D116" s="347"/>
      <c r="E116" s="351">
        <f>E115*$B116</f>
        <v>0</v>
      </c>
      <c r="F116" s="347"/>
      <c r="G116" s="351">
        <f>G115*$B116</f>
        <v>0</v>
      </c>
      <c r="H116" s="347"/>
      <c r="I116" s="351">
        <f>I115*$B116</f>
        <v>92700</v>
      </c>
      <c r="J116" s="347"/>
      <c r="K116" s="351">
        <f>K115*$B116</f>
        <v>95481</v>
      </c>
      <c r="L116" s="347"/>
      <c r="M116" s="351">
        <f>M115*$B116</f>
        <v>98345.43</v>
      </c>
      <c r="N116" s="21">
        <f t="shared" si="19"/>
        <v>286526.43</v>
      </c>
      <c r="P116" s="8">
        <f>$C116*(1+F$94)</f>
        <v>7500</v>
      </c>
      <c r="Q116" s="8">
        <f>P116*(1+H$94)</f>
        <v>7725</v>
      </c>
      <c r="R116" s="8">
        <f>Q116*(1+J$94)</f>
        <v>7956.75</v>
      </c>
      <c r="S116" s="8">
        <f>R116*(1+L$94)</f>
        <v>8195.4524999999994</v>
      </c>
    </row>
    <row r="117" spans="1:19" x14ac:dyDescent="0.2">
      <c r="A117" s="19" t="s">
        <v>346</v>
      </c>
      <c r="B117" s="369">
        <v>0.3</v>
      </c>
      <c r="C117" s="30">
        <v>3500</v>
      </c>
      <c r="D117" s="58"/>
      <c r="E117" s="11">
        <f>D117*($C117*(1+$B117))</f>
        <v>0</v>
      </c>
      <c r="F117" s="58"/>
      <c r="G117" s="11">
        <f>(F117*P117)*(1+$B117)</f>
        <v>0</v>
      </c>
      <c r="H117" s="58">
        <v>12</v>
      </c>
      <c r="I117" s="11">
        <f>(H117*Q117)*(1+$B117)</f>
        <v>56238</v>
      </c>
      <c r="J117" s="58">
        <v>12</v>
      </c>
      <c r="K117" s="11">
        <f>(J117*R117)*(1+$B117)</f>
        <v>57925.140000000007</v>
      </c>
      <c r="L117" s="58">
        <v>12</v>
      </c>
      <c r="M117" s="51">
        <f>(L117*S117)*(1+$B117)</f>
        <v>59662.894200000002</v>
      </c>
      <c r="N117" s="21">
        <f t="shared" si="19"/>
        <v>173826.03420000002</v>
      </c>
      <c r="P117" s="8">
        <f t="shared" si="20"/>
        <v>3500</v>
      </c>
      <c r="Q117" s="8">
        <f t="shared" si="21"/>
        <v>3605</v>
      </c>
      <c r="R117" s="8">
        <f t="shared" si="22"/>
        <v>3713.15</v>
      </c>
      <c r="S117" s="8">
        <f t="shared" si="23"/>
        <v>3824.5445</v>
      </c>
    </row>
    <row r="118" spans="1:19" x14ac:dyDescent="0.2">
      <c r="A118" s="19" t="s">
        <v>497</v>
      </c>
      <c r="B118" s="369"/>
      <c r="C118" s="30">
        <v>8000</v>
      </c>
      <c r="D118" s="58"/>
      <c r="E118" s="11">
        <f>D118*($C118*(1+$B118))</f>
        <v>0</v>
      </c>
      <c r="F118" s="58"/>
      <c r="G118" s="11">
        <f>(F118*P118)*(1+$B118)</f>
        <v>0</v>
      </c>
      <c r="H118" s="58">
        <v>12</v>
      </c>
      <c r="I118" s="11">
        <f>(H118*Q118)*(1+$B118)</f>
        <v>98880</v>
      </c>
      <c r="J118" s="58">
        <v>12</v>
      </c>
      <c r="K118" s="11">
        <f>(J118*R118)*(1+$B118)</f>
        <v>101846.40000000001</v>
      </c>
      <c r="L118" s="58">
        <v>12</v>
      </c>
      <c r="M118" s="51">
        <f>(L118*S118)*(1+$B118)</f>
        <v>104901.79200000002</v>
      </c>
      <c r="N118" s="21">
        <f t="shared" si="19"/>
        <v>305628.19200000004</v>
      </c>
      <c r="P118" s="8">
        <f t="shared" si="20"/>
        <v>8000</v>
      </c>
      <c r="Q118" s="8">
        <f t="shared" si="21"/>
        <v>8240</v>
      </c>
      <c r="R118" s="8">
        <f t="shared" si="22"/>
        <v>8487.2000000000007</v>
      </c>
      <c r="S118" s="8">
        <f t="shared" si="23"/>
        <v>8741.8160000000007</v>
      </c>
    </row>
    <row r="119" spans="1:19" x14ac:dyDescent="0.2">
      <c r="A119" s="19" t="s">
        <v>276</v>
      </c>
      <c r="B119" s="369">
        <v>0.3</v>
      </c>
      <c r="C119" s="30">
        <v>3000</v>
      </c>
      <c r="D119" s="58"/>
      <c r="E119" s="11">
        <f>D119*($C119*(1+$B119))</f>
        <v>0</v>
      </c>
      <c r="F119" s="58"/>
      <c r="G119" s="11">
        <f>(F119*P119)*(1+$B119)</f>
        <v>0</v>
      </c>
      <c r="H119" s="58">
        <v>12</v>
      </c>
      <c r="I119" s="11">
        <f>(H119*Q119)*(1+$B119)</f>
        <v>48204</v>
      </c>
      <c r="J119" s="58">
        <v>12</v>
      </c>
      <c r="K119" s="11">
        <f>(J119*R119)*(1+$B119)</f>
        <v>49650.12</v>
      </c>
      <c r="L119" s="58">
        <v>12</v>
      </c>
      <c r="M119" s="51">
        <f>(L119*S119)*(1+$B119)</f>
        <v>51139.623600000006</v>
      </c>
      <c r="N119" s="21">
        <f t="shared" si="19"/>
        <v>148993.74359999999</v>
      </c>
      <c r="P119" s="8">
        <f t="shared" si="20"/>
        <v>3000</v>
      </c>
      <c r="Q119" s="8">
        <f t="shared" si="21"/>
        <v>3090</v>
      </c>
      <c r="R119" s="8">
        <f t="shared" si="22"/>
        <v>3182.7000000000003</v>
      </c>
      <c r="S119" s="8">
        <f t="shared" si="23"/>
        <v>3278.1810000000005</v>
      </c>
    </row>
    <row r="120" spans="1:19" x14ac:dyDescent="0.2">
      <c r="A120" s="19" t="s">
        <v>121</v>
      </c>
      <c r="B120" s="369"/>
      <c r="C120" s="30">
        <v>8000</v>
      </c>
      <c r="D120" s="58"/>
      <c r="E120" s="11">
        <f>D120*($C120*(1+$B120))</f>
        <v>0</v>
      </c>
      <c r="F120" s="58"/>
      <c r="G120" s="11">
        <f>(F120*P120)*(1+$B120)</f>
        <v>0</v>
      </c>
      <c r="H120" s="58">
        <v>12</v>
      </c>
      <c r="I120" s="11">
        <f>(H120*Q120)*(1+$B120)</f>
        <v>98880</v>
      </c>
      <c r="J120" s="58">
        <v>12</v>
      </c>
      <c r="K120" s="11">
        <f>(J120*R120)*(1+$B120)</f>
        <v>101846.40000000001</v>
      </c>
      <c r="L120" s="58">
        <v>12</v>
      </c>
      <c r="M120" s="51">
        <f>(L120*S120)*(1+$B120)</f>
        <v>104901.79200000002</v>
      </c>
      <c r="N120" s="21">
        <f t="shared" si="19"/>
        <v>305628.19200000004</v>
      </c>
      <c r="P120" s="8">
        <f t="shared" si="20"/>
        <v>8000</v>
      </c>
      <c r="Q120" s="8">
        <f t="shared" si="21"/>
        <v>8240</v>
      </c>
      <c r="R120" s="8">
        <f t="shared" si="22"/>
        <v>8487.2000000000007</v>
      </c>
      <c r="S120" s="8">
        <f t="shared" si="23"/>
        <v>8741.8160000000007</v>
      </c>
    </row>
    <row r="121" spans="1:19" ht="13.2" thickBot="1" x14ac:dyDescent="0.25">
      <c r="A121" s="31" t="s">
        <v>212</v>
      </c>
      <c r="B121" s="369">
        <v>0.3</v>
      </c>
      <c r="C121" s="38">
        <v>4000</v>
      </c>
      <c r="D121" s="57"/>
      <c r="E121" s="49">
        <f>D121*($C121*(1+$B121))</f>
        <v>0</v>
      </c>
      <c r="F121" s="57"/>
      <c r="G121" s="49">
        <f>(F121*P121)*(1+$B121)</f>
        <v>0</v>
      </c>
      <c r="H121" s="57">
        <v>12</v>
      </c>
      <c r="I121" s="49">
        <f>(H121*Q121)*(1+$B121)</f>
        <v>64272</v>
      </c>
      <c r="J121" s="57">
        <v>12</v>
      </c>
      <c r="K121" s="49">
        <f>(J121*R121)*(1+$B121)</f>
        <v>66200.160000000003</v>
      </c>
      <c r="L121" s="57">
        <v>12</v>
      </c>
      <c r="M121" s="50">
        <f>(L121*S121)*(1+$B121)</f>
        <v>68186.164800000013</v>
      </c>
      <c r="N121" s="34">
        <f>E121+G121+I121+K121+M121</f>
        <v>198658.3248</v>
      </c>
      <c r="P121" s="8">
        <f>$C121*(1+F$94)</f>
        <v>4000</v>
      </c>
      <c r="Q121" s="8">
        <f>P121*(1+H$94)</f>
        <v>4120</v>
      </c>
      <c r="R121" s="8">
        <f>Q121*(1+J$94)</f>
        <v>4243.6000000000004</v>
      </c>
      <c r="S121" s="8">
        <f>R121*(1+L$94)</f>
        <v>4370.9080000000004</v>
      </c>
    </row>
    <row r="122" spans="1:19" x14ac:dyDescent="0.2">
      <c r="A122" s="354" t="s">
        <v>302</v>
      </c>
      <c r="B122" s="614">
        <f>SUM(C123:C130)</f>
        <v>24800</v>
      </c>
      <c r="C122" s="615"/>
      <c r="D122" s="608">
        <f>SUM(E123:E130)</f>
        <v>0</v>
      </c>
      <c r="E122" s="609"/>
      <c r="F122" s="608">
        <f>SUM(G123:G130)</f>
        <v>0</v>
      </c>
      <c r="G122" s="609"/>
      <c r="H122" s="608">
        <f>SUM(I123:I130)</f>
        <v>278718</v>
      </c>
      <c r="I122" s="609"/>
      <c r="J122" s="608">
        <f>SUM(K123:K130)</f>
        <v>336729.66</v>
      </c>
      <c r="K122" s="609"/>
      <c r="L122" s="608">
        <f>SUM(M123:M130)</f>
        <v>372401.3616</v>
      </c>
      <c r="M122" s="609"/>
      <c r="N122" s="62">
        <f>SUM(D122:M122)</f>
        <v>987849.02159999986</v>
      </c>
      <c r="P122" s="8">
        <f>$C122*(1+F$94)</f>
        <v>0</v>
      </c>
      <c r="Q122" s="8">
        <f>P122*(1+H$94)</f>
        <v>0</v>
      </c>
      <c r="R122" s="8">
        <f>Q122*(1+J$94)</f>
        <v>0</v>
      </c>
      <c r="S122" s="8">
        <f>R122*(1+L$94)</f>
        <v>0</v>
      </c>
    </row>
    <row r="123" spans="1:19" x14ac:dyDescent="0.2">
      <c r="A123" s="19" t="s">
        <v>367</v>
      </c>
      <c r="B123" s="369"/>
      <c r="C123" s="30">
        <v>6000</v>
      </c>
      <c r="D123" s="58"/>
      <c r="E123" s="11">
        <f>D123*($C123*(1+$B123))</f>
        <v>0</v>
      </c>
      <c r="F123" s="58"/>
      <c r="G123" s="11">
        <f>(F123*P123)*(1+$B123)</f>
        <v>0</v>
      </c>
      <c r="H123" s="58">
        <v>12</v>
      </c>
      <c r="I123" s="11">
        <f>(H123*Q123)*(1+$B123)</f>
        <v>74160</v>
      </c>
      <c r="J123" s="58">
        <v>12</v>
      </c>
      <c r="K123" s="11">
        <f>(J123*R123)*(1+$B123)</f>
        <v>76384.800000000003</v>
      </c>
      <c r="L123" s="58">
        <v>12</v>
      </c>
      <c r="M123" s="51">
        <f>(L123*S123)*(1+$B123)</f>
        <v>78676.344000000012</v>
      </c>
      <c r="N123" s="21">
        <f t="shared" si="19"/>
        <v>229221.144</v>
      </c>
      <c r="P123" s="8">
        <f t="shared" si="20"/>
        <v>6000</v>
      </c>
      <c r="Q123" s="8">
        <f t="shared" si="21"/>
        <v>6180</v>
      </c>
      <c r="R123" s="8">
        <f t="shared" si="22"/>
        <v>6365.4000000000005</v>
      </c>
      <c r="S123" s="8">
        <f t="shared" si="23"/>
        <v>6556.362000000001</v>
      </c>
    </row>
    <row r="124" spans="1:19" x14ac:dyDescent="0.2">
      <c r="A124" s="346" t="s">
        <v>131</v>
      </c>
      <c r="B124" s="349">
        <v>0.3</v>
      </c>
      <c r="C124" s="350">
        <f>C123*$B124</f>
        <v>1800</v>
      </c>
      <c r="D124" s="347"/>
      <c r="E124" s="351">
        <f>E123*$B124</f>
        <v>0</v>
      </c>
      <c r="F124" s="347"/>
      <c r="G124" s="351">
        <f>G123*$B124</f>
        <v>0</v>
      </c>
      <c r="H124" s="347"/>
      <c r="I124" s="351">
        <f>I123*$B124</f>
        <v>22248</v>
      </c>
      <c r="J124" s="347"/>
      <c r="K124" s="351">
        <f>K123*$B124</f>
        <v>22915.439999999999</v>
      </c>
      <c r="L124" s="347"/>
      <c r="M124" s="351">
        <f>M123*$B124</f>
        <v>23602.903200000004</v>
      </c>
      <c r="N124" s="21">
        <f>E124+G124+I124+K124+M124</f>
        <v>68766.343200000003</v>
      </c>
      <c r="P124" s="8">
        <f t="shared" si="20"/>
        <v>1800</v>
      </c>
      <c r="Q124" s="8">
        <f t="shared" si="21"/>
        <v>1854</v>
      </c>
      <c r="R124" s="8">
        <f t="shared" si="22"/>
        <v>1909.6200000000001</v>
      </c>
      <c r="S124" s="8">
        <f t="shared" si="23"/>
        <v>1966.9086000000002</v>
      </c>
    </row>
    <row r="125" spans="1:19" x14ac:dyDescent="0.2">
      <c r="A125" s="19" t="s">
        <v>153</v>
      </c>
      <c r="B125" s="369"/>
      <c r="C125" s="30">
        <v>5000</v>
      </c>
      <c r="D125" s="58"/>
      <c r="E125" s="11">
        <f t="shared" ref="E125:E130" si="24">D125*($C125*(1+$B125))</f>
        <v>0</v>
      </c>
      <c r="F125" s="58"/>
      <c r="G125" s="11">
        <f t="shared" ref="G125:G130" si="25">(F125*P125)*(1+$B125)</f>
        <v>0</v>
      </c>
      <c r="H125" s="58">
        <v>12</v>
      </c>
      <c r="I125" s="11">
        <f t="shared" ref="I125:I130" si="26">(H125*Q125)*(1+$B125)</f>
        <v>61800</v>
      </c>
      <c r="J125" s="58">
        <v>12</v>
      </c>
      <c r="K125" s="11">
        <f t="shared" ref="K125:K130" si="27">(J125*R125)*(1+$B125)</f>
        <v>63654</v>
      </c>
      <c r="L125" s="58">
        <v>12</v>
      </c>
      <c r="M125" s="51">
        <f t="shared" ref="M125:M130" si="28">(L125*S125)*(1+$B125)</f>
        <v>65563.62</v>
      </c>
      <c r="N125" s="21">
        <f t="shared" si="19"/>
        <v>191017.62</v>
      </c>
      <c r="P125" s="8">
        <f t="shared" si="20"/>
        <v>5000</v>
      </c>
      <c r="Q125" s="8">
        <f t="shared" si="21"/>
        <v>5150</v>
      </c>
      <c r="R125" s="8">
        <f t="shared" si="22"/>
        <v>5304.5</v>
      </c>
      <c r="S125" s="8">
        <f t="shared" si="23"/>
        <v>5463.6350000000002</v>
      </c>
    </row>
    <row r="126" spans="1:19" x14ac:dyDescent="0.2">
      <c r="A126" s="19" t="s">
        <v>191</v>
      </c>
      <c r="B126" s="369">
        <v>0.3</v>
      </c>
      <c r="C126" s="30">
        <v>3000</v>
      </c>
      <c r="D126" s="58"/>
      <c r="E126" s="11">
        <f t="shared" si="24"/>
        <v>0</v>
      </c>
      <c r="F126" s="58"/>
      <c r="G126" s="11">
        <f t="shared" si="25"/>
        <v>0</v>
      </c>
      <c r="H126" s="58">
        <v>12</v>
      </c>
      <c r="I126" s="11">
        <f t="shared" si="26"/>
        <v>48204</v>
      </c>
      <c r="J126" s="58">
        <v>12</v>
      </c>
      <c r="K126" s="11">
        <f t="shared" si="27"/>
        <v>49650.12</v>
      </c>
      <c r="L126" s="58">
        <v>12</v>
      </c>
      <c r="M126" s="51">
        <f t="shared" si="28"/>
        <v>51139.623600000006</v>
      </c>
      <c r="N126" s="21">
        <f t="shared" si="19"/>
        <v>148993.74359999999</v>
      </c>
      <c r="P126" s="8">
        <f t="shared" si="20"/>
        <v>3000</v>
      </c>
      <c r="Q126" s="8">
        <f t="shared" si="21"/>
        <v>3090</v>
      </c>
      <c r="R126" s="8">
        <f t="shared" si="22"/>
        <v>3182.7000000000003</v>
      </c>
      <c r="S126" s="8">
        <f t="shared" si="23"/>
        <v>3278.1810000000005</v>
      </c>
    </row>
    <row r="127" spans="1:19" x14ac:dyDescent="0.2">
      <c r="A127" s="19" t="s">
        <v>191</v>
      </c>
      <c r="B127" s="369">
        <v>0.3</v>
      </c>
      <c r="C127" s="30">
        <v>3000</v>
      </c>
      <c r="D127" s="58"/>
      <c r="E127" s="11">
        <f t="shared" si="24"/>
        <v>0</v>
      </c>
      <c r="F127" s="58"/>
      <c r="G127" s="11">
        <f t="shared" si="25"/>
        <v>0</v>
      </c>
      <c r="H127" s="58">
        <v>12</v>
      </c>
      <c r="I127" s="11">
        <f t="shared" si="26"/>
        <v>48204</v>
      </c>
      <c r="J127" s="58">
        <v>12</v>
      </c>
      <c r="K127" s="11">
        <f t="shared" si="27"/>
        <v>49650.12</v>
      </c>
      <c r="L127" s="58">
        <v>12</v>
      </c>
      <c r="M127" s="51">
        <f t="shared" si="28"/>
        <v>51139.623600000006</v>
      </c>
      <c r="N127" s="21">
        <f t="shared" si="19"/>
        <v>148993.74359999999</v>
      </c>
      <c r="P127" s="8">
        <f t="shared" si="20"/>
        <v>3000</v>
      </c>
      <c r="Q127" s="8">
        <f t="shared" si="21"/>
        <v>3090</v>
      </c>
      <c r="R127" s="8">
        <f t="shared" si="22"/>
        <v>3182.7000000000003</v>
      </c>
      <c r="S127" s="8">
        <f t="shared" si="23"/>
        <v>3278.1810000000005</v>
      </c>
    </row>
    <row r="128" spans="1:19" x14ac:dyDescent="0.2">
      <c r="A128" s="19" t="s">
        <v>191</v>
      </c>
      <c r="B128" s="369">
        <v>0.3</v>
      </c>
      <c r="C128" s="30">
        <v>3000</v>
      </c>
      <c r="D128" s="58"/>
      <c r="E128" s="11">
        <f t="shared" si="24"/>
        <v>0</v>
      </c>
      <c r="F128" s="58"/>
      <c r="G128" s="11">
        <f t="shared" si="25"/>
        <v>0</v>
      </c>
      <c r="H128" s="58">
        <v>6</v>
      </c>
      <c r="I128" s="11">
        <f t="shared" si="26"/>
        <v>24102</v>
      </c>
      <c r="J128" s="58">
        <v>12</v>
      </c>
      <c r="K128" s="11">
        <f t="shared" si="27"/>
        <v>49650.12</v>
      </c>
      <c r="L128" s="58">
        <v>12</v>
      </c>
      <c r="M128" s="51">
        <f t="shared" si="28"/>
        <v>51139.623600000006</v>
      </c>
      <c r="N128" s="21">
        <f t="shared" si="19"/>
        <v>124891.7436</v>
      </c>
      <c r="P128" s="8">
        <f t="shared" si="20"/>
        <v>3000</v>
      </c>
      <c r="Q128" s="8">
        <f t="shared" si="21"/>
        <v>3090</v>
      </c>
      <c r="R128" s="8">
        <f t="shared" si="22"/>
        <v>3182.7000000000003</v>
      </c>
      <c r="S128" s="8">
        <f t="shared" si="23"/>
        <v>3278.1810000000005</v>
      </c>
    </row>
    <row r="129" spans="1:19" x14ac:dyDescent="0.2">
      <c r="A129" s="19" t="s">
        <v>191</v>
      </c>
      <c r="B129" s="369">
        <v>0.3</v>
      </c>
      <c r="C129" s="30">
        <v>3000</v>
      </c>
      <c r="D129" s="58"/>
      <c r="E129" s="11">
        <f t="shared" si="24"/>
        <v>0</v>
      </c>
      <c r="F129" s="58"/>
      <c r="G129" s="11">
        <f t="shared" si="25"/>
        <v>0</v>
      </c>
      <c r="H129" s="58"/>
      <c r="I129" s="11">
        <f t="shared" si="26"/>
        <v>0</v>
      </c>
      <c r="J129" s="58">
        <v>6</v>
      </c>
      <c r="K129" s="11">
        <f t="shared" si="27"/>
        <v>24825.06</v>
      </c>
      <c r="L129" s="58">
        <v>12</v>
      </c>
      <c r="M129" s="51">
        <f t="shared" si="28"/>
        <v>51139.623600000006</v>
      </c>
      <c r="N129" s="21">
        <f t="shared" si="19"/>
        <v>75964.683600000004</v>
      </c>
      <c r="P129" s="8">
        <f t="shared" si="20"/>
        <v>3000</v>
      </c>
      <c r="Q129" s="8">
        <f t="shared" si="21"/>
        <v>3090</v>
      </c>
      <c r="R129" s="8">
        <f t="shared" si="22"/>
        <v>3182.7000000000003</v>
      </c>
      <c r="S129" s="8">
        <f t="shared" si="23"/>
        <v>3278.1810000000005</v>
      </c>
    </row>
    <row r="130" spans="1:19" ht="13.2" thickBot="1" x14ac:dyDescent="0.25">
      <c r="A130" s="26"/>
      <c r="B130" s="369"/>
      <c r="C130" s="359"/>
      <c r="D130" s="360"/>
      <c r="E130" s="361">
        <f t="shared" si="24"/>
        <v>0</v>
      </c>
      <c r="F130" s="360"/>
      <c r="G130" s="361">
        <f t="shared" si="25"/>
        <v>0</v>
      </c>
      <c r="H130" s="360"/>
      <c r="I130" s="361">
        <f t="shared" si="26"/>
        <v>0</v>
      </c>
      <c r="J130" s="360"/>
      <c r="K130" s="361">
        <f t="shared" si="27"/>
        <v>0</v>
      </c>
      <c r="L130" s="360"/>
      <c r="M130" s="362">
        <f t="shared" si="28"/>
        <v>0</v>
      </c>
      <c r="N130" s="363">
        <f t="shared" si="19"/>
        <v>0</v>
      </c>
      <c r="P130" s="8">
        <f t="shared" si="20"/>
        <v>0</v>
      </c>
      <c r="Q130" s="8">
        <f t="shared" si="21"/>
        <v>0</v>
      </c>
      <c r="R130" s="8">
        <f t="shared" si="22"/>
        <v>0</v>
      </c>
      <c r="S130" s="8">
        <f t="shared" si="23"/>
        <v>0</v>
      </c>
    </row>
    <row r="131" spans="1:19" x14ac:dyDescent="0.2">
      <c r="A131" s="61" t="s">
        <v>305</v>
      </c>
      <c r="B131" s="635">
        <f>B114+B122</f>
        <v>73800</v>
      </c>
      <c r="C131" s="636"/>
      <c r="D131" s="608">
        <f>D114+D122</f>
        <v>0</v>
      </c>
      <c r="E131" s="626"/>
      <c r="F131" s="608">
        <f>F114+F122</f>
        <v>0</v>
      </c>
      <c r="G131" s="626"/>
      <c r="H131" s="608">
        <f>H114+H122</f>
        <v>923292</v>
      </c>
      <c r="I131" s="626"/>
      <c r="J131" s="608">
        <f>J114+J122</f>
        <v>1000640.8800000001</v>
      </c>
      <c r="K131" s="626"/>
      <c r="L131" s="608">
        <f>L114+L122</f>
        <v>1056229.9182</v>
      </c>
      <c r="M131" s="626"/>
      <c r="N131" s="62">
        <f>SUM(N115:N130)</f>
        <v>3968011.8198000006</v>
      </c>
      <c r="P131" s="8"/>
      <c r="Q131" s="8"/>
      <c r="R131" s="8"/>
      <c r="S131" s="8"/>
    </row>
    <row r="132" spans="1:19" ht="13.2" thickBot="1" x14ac:dyDescent="0.25">
      <c r="A132" s="26" t="s">
        <v>365</v>
      </c>
      <c r="B132" s="63"/>
      <c r="C132" s="161">
        <f>B131*B132</f>
        <v>0</v>
      </c>
      <c r="D132" s="637">
        <f>D131*$B132</f>
        <v>0</v>
      </c>
      <c r="E132" s="638"/>
      <c r="F132" s="637">
        <f>F131*$B132</f>
        <v>0</v>
      </c>
      <c r="G132" s="638"/>
      <c r="H132" s="637">
        <f>H131*$B132</f>
        <v>0</v>
      </c>
      <c r="I132" s="638"/>
      <c r="J132" s="637">
        <f>J131*$B132</f>
        <v>0</v>
      </c>
      <c r="K132" s="638"/>
      <c r="L132" s="637">
        <f>L131*$B132</f>
        <v>0</v>
      </c>
      <c r="M132" s="638"/>
      <c r="N132" s="168">
        <f>SUM(D132:M132)</f>
        <v>0</v>
      </c>
      <c r="P132" s="8">
        <f>$C132*(1+F$94)</f>
        <v>0</v>
      </c>
      <c r="Q132" s="8">
        <f>P132*(1+H$94)</f>
        <v>0</v>
      </c>
      <c r="R132" s="8">
        <f>Q132*(1+J$94)</f>
        <v>0</v>
      </c>
      <c r="S132" s="8">
        <f>R132*(1+L$94)</f>
        <v>0</v>
      </c>
    </row>
    <row r="133" spans="1:19" ht="14.4" thickBot="1" x14ac:dyDescent="0.25">
      <c r="A133" s="40" t="s">
        <v>265</v>
      </c>
      <c r="B133" s="633">
        <f>B131+C132</f>
        <v>73800</v>
      </c>
      <c r="C133" s="634"/>
      <c r="D133" s="627">
        <f>D131+D132</f>
        <v>0</v>
      </c>
      <c r="E133" s="628"/>
      <c r="F133" s="627">
        <f>F131+F132</f>
        <v>0</v>
      </c>
      <c r="G133" s="628"/>
      <c r="H133" s="627">
        <f>H131+H132</f>
        <v>923292</v>
      </c>
      <c r="I133" s="628"/>
      <c r="J133" s="627">
        <f>J131+J132</f>
        <v>1000640.8800000001</v>
      </c>
      <c r="K133" s="628"/>
      <c r="L133" s="627">
        <f>L131+L132</f>
        <v>1056229.9182</v>
      </c>
      <c r="M133" s="628"/>
      <c r="N133" s="165">
        <f>SUM(N131:N132)</f>
        <v>3968011.8198000006</v>
      </c>
      <c r="P133" s="8"/>
      <c r="Q133" s="8"/>
      <c r="R133" s="8"/>
      <c r="S133" s="8"/>
    </row>
    <row r="134" spans="1:19" x14ac:dyDescent="0.2">
      <c r="A134" s="43" t="s">
        <v>303</v>
      </c>
      <c r="B134" s="44"/>
      <c r="C134" s="45">
        <v>3000</v>
      </c>
      <c r="D134" s="59"/>
      <c r="E134" s="52">
        <f>D134*$C134</f>
        <v>0</v>
      </c>
      <c r="F134" s="59"/>
      <c r="G134" s="52">
        <f>F134*P134</f>
        <v>0</v>
      </c>
      <c r="H134" s="59">
        <v>12</v>
      </c>
      <c r="I134" s="52">
        <f>H134*Q134</f>
        <v>37080</v>
      </c>
      <c r="J134" s="59">
        <v>12</v>
      </c>
      <c r="K134" s="52">
        <f>J134*R134</f>
        <v>38192.400000000001</v>
      </c>
      <c r="L134" s="59">
        <v>12</v>
      </c>
      <c r="M134" s="53">
        <f>L134*S134</f>
        <v>39338.172000000006</v>
      </c>
      <c r="N134" s="46">
        <f>E134+G134+I134+K134+M134</f>
        <v>114610.572</v>
      </c>
      <c r="P134" s="8">
        <f>$C134*(1+F$94)</f>
        <v>3000</v>
      </c>
      <c r="Q134" s="8">
        <f>P134*(1+H$94)</f>
        <v>3090</v>
      </c>
      <c r="R134" s="8">
        <f>Q134*(1+J$94)</f>
        <v>3182.7000000000003</v>
      </c>
      <c r="S134" s="8">
        <f>R134*(1+L$94)</f>
        <v>3278.1810000000005</v>
      </c>
    </row>
    <row r="135" spans="1:19" ht="13.2" thickBot="1" x14ac:dyDescent="0.25">
      <c r="A135" s="31"/>
      <c r="B135" s="39"/>
      <c r="C135" s="38"/>
      <c r="D135" s="57"/>
      <c r="E135" s="49">
        <f>D135*$C135</f>
        <v>0</v>
      </c>
      <c r="F135" s="57"/>
      <c r="G135" s="49">
        <f>F135*P135</f>
        <v>0</v>
      </c>
      <c r="H135" s="57"/>
      <c r="I135" s="49">
        <f>H135*Q135</f>
        <v>0</v>
      </c>
      <c r="J135" s="57"/>
      <c r="K135" s="49">
        <f>J135*R135</f>
        <v>0</v>
      </c>
      <c r="L135" s="57"/>
      <c r="M135" s="50">
        <f>L135*S135</f>
        <v>0</v>
      </c>
      <c r="N135" s="34">
        <f>E135+G135+I135+K135+M135</f>
        <v>0</v>
      </c>
      <c r="P135" s="8">
        <f>$C135*(1+F$94)</f>
        <v>0</v>
      </c>
      <c r="Q135" s="8">
        <f>P135*(1+H$94)</f>
        <v>0</v>
      </c>
      <c r="R135" s="8">
        <f>Q135*(1+J$94)</f>
        <v>0</v>
      </c>
      <c r="S135" s="8">
        <f>R135*(1+L$94)</f>
        <v>0</v>
      </c>
    </row>
    <row r="136" spans="1:19" ht="14.4" thickBot="1" x14ac:dyDescent="0.25">
      <c r="A136" s="40" t="s">
        <v>299</v>
      </c>
      <c r="B136" s="633">
        <f>SUM(C134:C135)</f>
        <v>3000</v>
      </c>
      <c r="C136" s="634"/>
      <c r="D136" s="610">
        <f>SUM(E134:E135)</f>
        <v>0</v>
      </c>
      <c r="E136" s="611"/>
      <c r="F136" s="610">
        <f>SUM(G134:G135)</f>
        <v>0</v>
      </c>
      <c r="G136" s="611"/>
      <c r="H136" s="610">
        <f>SUM(I134:I135)</f>
        <v>37080</v>
      </c>
      <c r="I136" s="611"/>
      <c r="J136" s="610">
        <f>SUM(K134:K135)</f>
        <v>38192.400000000001</v>
      </c>
      <c r="K136" s="611"/>
      <c r="L136" s="610">
        <f>SUM(M134:M135)</f>
        <v>39338.172000000006</v>
      </c>
      <c r="M136" s="611"/>
      <c r="N136" s="36">
        <f>SUM(N134:N135)</f>
        <v>114610.572</v>
      </c>
      <c r="P136" s="8"/>
      <c r="Q136" s="8"/>
      <c r="R136" s="8"/>
      <c r="S136" s="8"/>
    </row>
    <row r="137" spans="1:19" ht="16.8" thickBot="1" x14ac:dyDescent="0.25">
      <c r="A137" s="171" t="s">
        <v>382</v>
      </c>
      <c r="B137" s="631">
        <f>B97+B102+B106+B113+B133+B136</f>
        <v>127000</v>
      </c>
      <c r="C137" s="632"/>
      <c r="D137" s="624">
        <f>D97+D102+D106+D113+D133+D136</f>
        <v>0</v>
      </c>
      <c r="E137" s="625"/>
      <c r="F137" s="624">
        <f>F97+F102+F106+F113+F133+F136</f>
        <v>0</v>
      </c>
      <c r="G137" s="625"/>
      <c r="H137" s="624">
        <f>H97+H102+H106+H113+H133+H136</f>
        <v>1467244</v>
      </c>
      <c r="I137" s="625"/>
      <c r="J137" s="624">
        <f>J97+J102+J106+J113+J133+J136</f>
        <v>1590611.44</v>
      </c>
      <c r="K137" s="625"/>
      <c r="L137" s="624">
        <f>L97+L102+L106+L113+L133+L136</f>
        <v>1672699.595</v>
      </c>
      <c r="M137" s="625"/>
      <c r="N137" s="22">
        <f>N97+N102+N106+N113+N133+N136</f>
        <v>5718404.0565999998</v>
      </c>
    </row>
    <row r="138" spans="1:19" ht="7.95" customHeight="1" thickBot="1" x14ac:dyDescent="0.25">
      <c r="A138" s="9"/>
      <c r="B138" s="16"/>
      <c r="C138" s="9"/>
      <c r="D138" s="54"/>
      <c r="E138" s="13"/>
      <c r="F138" s="54"/>
      <c r="G138" s="13"/>
      <c r="H138" s="54"/>
      <c r="I138" s="13"/>
      <c r="J138" s="54"/>
      <c r="K138" s="13"/>
      <c r="L138" s="54"/>
      <c r="M138" s="13"/>
      <c r="N138" s="13"/>
      <c r="O138" s="6"/>
    </row>
    <row r="139" spans="1:19" ht="18" customHeight="1" thickBot="1" x14ac:dyDescent="0.25">
      <c r="A139" s="42" t="s">
        <v>357</v>
      </c>
      <c r="B139" s="661"/>
      <c r="C139" s="662"/>
      <c r="D139" s="667">
        <f>D137+D91</f>
        <v>80000</v>
      </c>
      <c r="E139" s="668"/>
      <c r="F139" s="667">
        <f>F137+F91</f>
        <v>0</v>
      </c>
      <c r="G139" s="668"/>
      <c r="H139" s="667">
        <f>H137+H91</f>
        <v>1587244</v>
      </c>
      <c r="I139" s="668"/>
      <c r="J139" s="667">
        <f>J137+J91</f>
        <v>1650611.44</v>
      </c>
      <c r="K139" s="668"/>
      <c r="L139" s="667">
        <f>L137+L91</f>
        <v>1772699.595</v>
      </c>
      <c r="M139" s="668"/>
      <c r="N139" s="383">
        <f>N137+N91</f>
        <v>6078404.0565999998</v>
      </c>
      <c r="O139" s="6"/>
    </row>
    <row r="140" spans="1:19" ht="7.95" customHeight="1" thickBot="1" x14ac:dyDescent="0.25">
      <c r="A140" s="9"/>
      <c r="B140" s="16"/>
      <c r="C140" s="9"/>
      <c r="D140" s="54"/>
      <c r="E140" s="13"/>
      <c r="F140" s="54"/>
      <c r="G140" s="13"/>
      <c r="H140" s="54"/>
      <c r="I140" s="13"/>
      <c r="J140" s="54"/>
      <c r="K140" s="13"/>
      <c r="L140" s="54"/>
      <c r="M140" s="13"/>
      <c r="N140" s="13"/>
      <c r="O140" s="6"/>
    </row>
    <row r="141" spans="1:19" ht="40.049999999999997" customHeight="1" thickBot="1" x14ac:dyDescent="0.25">
      <c r="A141" s="41" t="s">
        <v>403</v>
      </c>
      <c r="B141" s="651" t="s">
        <v>289</v>
      </c>
      <c r="C141" s="652"/>
      <c r="D141" s="647">
        <v>2012</v>
      </c>
      <c r="E141" s="648"/>
      <c r="F141" s="647">
        <v>2013</v>
      </c>
      <c r="G141" s="648"/>
      <c r="H141" s="647">
        <v>2014</v>
      </c>
      <c r="I141" s="648"/>
      <c r="J141" s="647">
        <v>2015</v>
      </c>
      <c r="K141" s="648"/>
      <c r="L141" s="647">
        <v>2016</v>
      </c>
      <c r="M141" s="648"/>
      <c r="N141" s="64" t="s">
        <v>498</v>
      </c>
    </row>
    <row r="142" spans="1:19" ht="6" customHeight="1" thickBot="1" x14ac:dyDescent="0.25">
      <c r="C142" s="1"/>
      <c r="D142" s="55"/>
      <c r="E142" s="7"/>
      <c r="F142" s="55"/>
      <c r="G142" s="7"/>
      <c r="H142" s="55"/>
      <c r="I142" s="7"/>
      <c r="J142" s="55"/>
      <c r="K142" s="7"/>
      <c r="L142" s="55"/>
      <c r="M142" s="7"/>
      <c r="N142" s="7"/>
    </row>
    <row r="143" spans="1:19" ht="13.05" customHeight="1" x14ac:dyDescent="0.2">
      <c r="A143" s="18" t="s">
        <v>456</v>
      </c>
      <c r="B143" s="27"/>
      <c r="C143" s="28">
        <v>40000</v>
      </c>
      <c r="D143" s="56"/>
      <c r="E143" s="47">
        <f>D143*$C143</f>
        <v>0</v>
      </c>
      <c r="F143" s="56">
        <v>1</v>
      </c>
      <c r="G143" s="47">
        <f>F143*$C143</f>
        <v>40000</v>
      </c>
      <c r="H143" s="56"/>
      <c r="I143" s="47">
        <f>H143*$C143</f>
        <v>0</v>
      </c>
      <c r="J143" s="56"/>
      <c r="K143" s="47">
        <f>J143*$C143</f>
        <v>0</v>
      </c>
      <c r="L143" s="56"/>
      <c r="M143" s="47">
        <f>L143*$C143</f>
        <v>0</v>
      </c>
      <c r="N143" s="20">
        <f>E143+G143+I143+K143+M143</f>
        <v>40000</v>
      </c>
      <c r="O143" s="6"/>
      <c r="P143" s="82"/>
      <c r="Q143" s="82"/>
      <c r="R143" s="82"/>
      <c r="S143" s="82"/>
    </row>
    <row r="144" spans="1:19" ht="13.05" customHeight="1" thickBot="1" x14ac:dyDescent="0.25">
      <c r="A144" s="19" t="s">
        <v>457</v>
      </c>
      <c r="B144" s="29"/>
      <c r="C144" s="30">
        <v>150000</v>
      </c>
      <c r="D144" s="58"/>
      <c r="E144" s="11">
        <f>D144*$C144</f>
        <v>0</v>
      </c>
      <c r="F144" s="58">
        <v>1</v>
      </c>
      <c r="G144" s="11">
        <f>F144*$C144</f>
        <v>150000</v>
      </c>
      <c r="H144" s="58"/>
      <c r="I144" s="11">
        <f>H144*$C144</f>
        <v>0</v>
      </c>
      <c r="J144" s="58"/>
      <c r="K144" s="11">
        <f>J144*$C144</f>
        <v>0</v>
      </c>
      <c r="L144" s="58"/>
      <c r="M144" s="11">
        <f>L144*$C144</f>
        <v>0</v>
      </c>
      <c r="N144" s="21">
        <f>E144+G144+I144+K144+M144</f>
        <v>150000</v>
      </c>
      <c r="O144" s="6"/>
      <c r="P144" s="82"/>
      <c r="Q144" s="82"/>
      <c r="R144" s="82"/>
      <c r="S144" s="82"/>
    </row>
    <row r="145" spans="1:19" ht="13.05" customHeight="1" thickBot="1" x14ac:dyDescent="0.25">
      <c r="A145" s="35" t="s">
        <v>494</v>
      </c>
      <c r="B145" s="616">
        <f>SUM(C143:C144)</f>
        <v>190000</v>
      </c>
      <c r="C145" s="617"/>
      <c r="D145" s="612">
        <f>SUM(E143:E144)</f>
        <v>0</v>
      </c>
      <c r="E145" s="613"/>
      <c r="F145" s="612">
        <f>SUM(G143:G144)</f>
        <v>190000</v>
      </c>
      <c r="G145" s="613"/>
      <c r="H145" s="612">
        <f>SUM(I143:I144)</f>
        <v>0</v>
      </c>
      <c r="I145" s="613"/>
      <c r="J145" s="612">
        <f>SUM(K143:K144)</f>
        <v>0</v>
      </c>
      <c r="K145" s="613"/>
      <c r="L145" s="612">
        <f>SUM(M143:M144)</f>
        <v>0</v>
      </c>
      <c r="M145" s="613"/>
      <c r="N145" s="490">
        <f>D145+F145+H145+J145+L145</f>
        <v>190000</v>
      </c>
      <c r="O145" s="6"/>
      <c r="P145" s="82"/>
      <c r="Q145" s="82"/>
      <c r="R145" s="82"/>
      <c r="S145" s="82"/>
    </row>
    <row r="146" spans="1:19" ht="13.05" customHeight="1" x14ac:dyDescent="0.2">
      <c r="A146" s="19" t="s">
        <v>199</v>
      </c>
      <c r="B146" s="29"/>
      <c r="C146" s="30">
        <v>20000</v>
      </c>
      <c r="D146" s="58">
        <v>5</v>
      </c>
      <c r="E146" s="11">
        <f>D146*$C146</f>
        <v>100000</v>
      </c>
      <c r="F146" s="58"/>
      <c r="G146" s="11">
        <f>F146*$C146</f>
        <v>0</v>
      </c>
      <c r="H146" s="58"/>
      <c r="I146" s="11">
        <f>H146*$C146</f>
        <v>0</v>
      </c>
      <c r="J146" s="58"/>
      <c r="K146" s="11">
        <f>J146*$C146</f>
        <v>0</v>
      </c>
      <c r="L146" s="58"/>
      <c r="M146" s="11">
        <f>L146*$C146</f>
        <v>0</v>
      </c>
      <c r="N146" s="21">
        <f>E146+G146+I146+K146+M146</f>
        <v>100000</v>
      </c>
      <c r="O146" s="6"/>
      <c r="P146" s="82"/>
      <c r="Q146" s="82"/>
      <c r="R146" s="82"/>
      <c r="S146" s="82"/>
    </row>
    <row r="147" spans="1:19" ht="13.05" customHeight="1" x14ac:dyDescent="0.2">
      <c r="A147" s="31" t="s">
        <v>462</v>
      </c>
      <c r="B147" s="484"/>
      <c r="C147" s="30">
        <v>20000</v>
      </c>
      <c r="D147" s="58">
        <v>50</v>
      </c>
      <c r="E147" s="11">
        <f>D147*$C147</f>
        <v>1000000</v>
      </c>
      <c r="F147" s="58"/>
      <c r="G147" s="11">
        <f>F147*$C147</f>
        <v>0</v>
      </c>
      <c r="H147" s="58"/>
      <c r="I147" s="11">
        <f>H147*$C147</f>
        <v>0</v>
      </c>
      <c r="J147" s="58"/>
      <c r="K147" s="11">
        <f>J147*$C147</f>
        <v>0</v>
      </c>
      <c r="L147" s="58"/>
      <c r="M147" s="11">
        <f>L147*$C147</f>
        <v>0</v>
      </c>
      <c r="N147" s="21">
        <f>E147+G147+I147+K147+M147</f>
        <v>1000000</v>
      </c>
      <c r="O147" s="6"/>
      <c r="P147" s="82"/>
      <c r="Q147" s="82"/>
      <c r="R147" s="82"/>
      <c r="S147" s="82"/>
    </row>
    <row r="148" spans="1:19" ht="13.05" customHeight="1" thickBot="1" x14ac:dyDescent="0.25">
      <c r="A148" s="31" t="s">
        <v>440</v>
      </c>
      <c r="B148" s="484"/>
      <c r="C148" s="30"/>
      <c r="D148" s="58"/>
      <c r="E148" s="11">
        <f>D148*$C148</f>
        <v>0</v>
      </c>
      <c r="F148" s="58"/>
      <c r="G148" s="11">
        <f>F148*$C148</f>
        <v>0</v>
      </c>
      <c r="H148" s="58"/>
      <c r="I148" s="11">
        <f>H148*$C148</f>
        <v>0</v>
      </c>
      <c r="J148" s="58"/>
      <c r="K148" s="11">
        <f>J148*$C148</f>
        <v>0</v>
      </c>
      <c r="L148" s="58"/>
      <c r="M148" s="11">
        <f>L148*$C148</f>
        <v>0</v>
      </c>
      <c r="N148" s="21">
        <f>E148+G148+I148+K148+M148</f>
        <v>0</v>
      </c>
      <c r="O148" s="6"/>
      <c r="P148" s="82"/>
      <c r="Q148" s="82"/>
      <c r="R148" s="82"/>
      <c r="S148" s="82"/>
    </row>
    <row r="149" spans="1:19" ht="13.05" customHeight="1" thickBot="1" x14ac:dyDescent="0.25">
      <c r="A149" s="35" t="s">
        <v>441</v>
      </c>
      <c r="B149" s="616">
        <f>SUM(C146:C148)</f>
        <v>40000</v>
      </c>
      <c r="C149" s="617"/>
      <c r="D149" s="612">
        <f>SUM(E146:E148)</f>
        <v>1100000</v>
      </c>
      <c r="E149" s="613"/>
      <c r="F149" s="612">
        <f>SUM(G146:G148)</f>
        <v>0</v>
      </c>
      <c r="G149" s="613"/>
      <c r="H149" s="612">
        <f>SUM(I146:I148)</f>
        <v>0</v>
      </c>
      <c r="I149" s="613"/>
      <c r="J149" s="612">
        <f>SUM(K146:K148)</f>
        <v>0</v>
      </c>
      <c r="K149" s="613"/>
      <c r="L149" s="612">
        <f>SUM(M146:M148)</f>
        <v>0</v>
      </c>
      <c r="M149" s="613"/>
      <c r="N149" s="490">
        <f>D149+F149+H149+J149+L149</f>
        <v>1100000</v>
      </c>
      <c r="O149" s="6"/>
      <c r="P149" s="82"/>
      <c r="Q149" s="82"/>
      <c r="R149" s="82"/>
      <c r="S149" s="82"/>
    </row>
    <row r="150" spans="1:19" ht="16.05" customHeight="1" thickBot="1" x14ac:dyDescent="0.25">
      <c r="A150" s="42" t="s">
        <v>178</v>
      </c>
      <c r="B150" s="633">
        <f>B145+B149</f>
        <v>230000</v>
      </c>
      <c r="C150" s="634"/>
      <c r="D150" s="610">
        <f>D145+D149</f>
        <v>1100000</v>
      </c>
      <c r="E150" s="611"/>
      <c r="F150" s="610">
        <f>F145+F149</f>
        <v>190000</v>
      </c>
      <c r="G150" s="611"/>
      <c r="H150" s="610">
        <f>H145+H149</f>
        <v>0</v>
      </c>
      <c r="I150" s="611"/>
      <c r="J150" s="610">
        <f>J145+J149</f>
        <v>0</v>
      </c>
      <c r="K150" s="611"/>
      <c r="L150" s="610">
        <f>L145+L149</f>
        <v>0</v>
      </c>
      <c r="M150" s="611"/>
      <c r="N150" s="36">
        <f>N145+N149</f>
        <v>1290000</v>
      </c>
      <c r="O150" s="6"/>
      <c r="P150" s="82"/>
      <c r="Q150" s="82"/>
      <c r="R150" s="82"/>
      <c r="S150" s="82"/>
    </row>
    <row r="151" spans="1:19" ht="7.05" customHeight="1" thickBot="1" x14ac:dyDescent="0.25">
      <c r="C151" s="1"/>
      <c r="D151" s="55"/>
      <c r="E151" s="7"/>
      <c r="F151" s="55"/>
      <c r="G151" s="7"/>
      <c r="H151" s="55"/>
      <c r="I151" s="7"/>
      <c r="J151" s="55"/>
      <c r="K151" s="7"/>
      <c r="L151" s="55"/>
      <c r="M151" s="7"/>
      <c r="N151" s="7"/>
      <c r="O151" s="6"/>
    </row>
    <row r="152" spans="1:19" ht="16.2" x14ac:dyDescent="0.2">
      <c r="A152" s="25" t="s">
        <v>437</v>
      </c>
      <c r="B152" s="639" t="s">
        <v>193</v>
      </c>
      <c r="C152" s="641" t="s">
        <v>138</v>
      </c>
      <c r="D152" s="643">
        <v>12</v>
      </c>
      <c r="E152" s="644"/>
      <c r="F152" s="643">
        <v>12</v>
      </c>
      <c r="G152" s="644"/>
      <c r="H152" s="643">
        <v>12</v>
      </c>
      <c r="I152" s="644"/>
      <c r="J152" s="643">
        <v>12</v>
      </c>
      <c r="K152" s="644"/>
      <c r="L152" s="643">
        <v>12</v>
      </c>
      <c r="M152" s="644"/>
      <c r="N152" s="23">
        <f>SUM(D152:L152)</f>
        <v>60</v>
      </c>
      <c r="P152" s="17">
        <f>F141</f>
        <v>2013</v>
      </c>
      <c r="Q152" s="17">
        <f>H141</f>
        <v>2014</v>
      </c>
      <c r="R152" s="17">
        <f>J141</f>
        <v>2015</v>
      </c>
      <c r="S152" s="17">
        <f>L141</f>
        <v>2016</v>
      </c>
    </row>
    <row r="153" spans="1:19" ht="13.2" thickBot="1" x14ac:dyDescent="0.25">
      <c r="A153" s="26" t="s">
        <v>215</v>
      </c>
      <c r="B153" s="640"/>
      <c r="C153" s="642"/>
      <c r="D153" s="649"/>
      <c r="E153" s="650"/>
      <c r="F153" s="620">
        <v>0.03</v>
      </c>
      <c r="G153" s="621"/>
      <c r="H153" s="620">
        <v>0.03</v>
      </c>
      <c r="I153" s="621"/>
      <c r="J153" s="620">
        <v>0.03</v>
      </c>
      <c r="K153" s="621"/>
      <c r="L153" s="620">
        <v>0.03</v>
      </c>
      <c r="M153" s="621"/>
      <c r="N153" s="24">
        <f>SUM(E153:L153)/4</f>
        <v>0.03</v>
      </c>
    </row>
    <row r="154" spans="1:19" x14ac:dyDescent="0.2">
      <c r="A154" s="18" t="s">
        <v>458</v>
      </c>
      <c r="B154" s="27"/>
      <c r="C154" s="28">
        <v>1000</v>
      </c>
      <c r="D154" s="56">
        <v>12</v>
      </c>
      <c r="E154" s="47">
        <f>D154*$C154</f>
        <v>12000</v>
      </c>
      <c r="F154" s="56">
        <v>12</v>
      </c>
      <c r="G154" s="47">
        <f>F154*P154</f>
        <v>12000</v>
      </c>
      <c r="H154" s="56">
        <v>12</v>
      </c>
      <c r="I154" s="47">
        <f>H154*Q154</f>
        <v>12360</v>
      </c>
      <c r="J154" s="56">
        <v>12</v>
      </c>
      <c r="K154" s="47">
        <f>J154*R154</f>
        <v>12730.800000000001</v>
      </c>
      <c r="L154" s="56">
        <v>12</v>
      </c>
      <c r="M154" s="48">
        <f>L154*S154</f>
        <v>13112.724000000002</v>
      </c>
      <c r="N154" s="20">
        <f>E154+G154+I154+K154+M154</f>
        <v>62203.524000000005</v>
      </c>
      <c r="P154" s="8">
        <f>$C154*(1+F$94)</f>
        <v>1000</v>
      </c>
      <c r="Q154" s="8">
        <f>P154*(1+H$94)</f>
        <v>1030</v>
      </c>
      <c r="R154" s="8">
        <f>Q154*(1+J$94)</f>
        <v>1060.9000000000001</v>
      </c>
      <c r="S154" s="8">
        <f>R154*(1+L$94)</f>
        <v>1092.7270000000001</v>
      </c>
    </row>
    <row r="155" spans="1:19" x14ac:dyDescent="0.2">
      <c r="A155" s="19" t="s">
        <v>459</v>
      </c>
      <c r="B155" s="29"/>
      <c r="C155" s="30">
        <v>1500</v>
      </c>
      <c r="D155" s="58"/>
      <c r="E155" s="11">
        <f>D155*$C155</f>
        <v>0</v>
      </c>
      <c r="F155" s="58">
        <v>12</v>
      </c>
      <c r="G155" s="11">
        <f>F155*P155</f>
        <v>18000</v>
      </c>
      <c r="H155" s="58">
        <v>12</v>
      </c>
      <c r="I155" s="11">
        <f>H155*Q155</f>
        <v>18540</v>
      </c>
      <c r="J155" s="58">
        <v>12</v>
      </c>
      <c r="K155" s="11">
        <f>J155*R155</f>
        <v>19096.2</v>
      </c>
      <c r="L155" s="58">
        <v>12</v>
      </c>
      <c r="M155" s="51">
        <f>L155*S155</f>
        <v>19669.086000000003</v>
      </c>
      <c r="N155" s="21">
        <f>E155+G155+I155+K155+M155</f>
        <v>75305.285999999993</v>
      </c>
      <c r="P155" s="8">
        <f>$C155*(1+F$94)</f>
        <v>1500</v>
      </c>
      <c r="Q155" s="8">
        <f>P155*(1+H$94)</f>
        <v>1545</v>
      </c>
      <c r="R155" s="8">
        <f>Q155*(1+J$94)</f>
        <v>1591.3500000000001</v>
      </c>
      <c r="S155" s="8">
        <f>R155*(1+L$94)</f>
        <v>1639.0905000000002</v>
      </c>
    </row>
    <row r="156" spans="1:19" ht="13.2" thickBot="1" x14ac:dyDescent="0.25">
      <c r="A156" s="31" t="s">
        <v>204</v>
      </c>
      <c r="B156" s="32">
        <v>0.25</v>
      </c>
      <c r="C156" s="33">
        <f>(C154+C155)*B156</f>
        <v>625</v>
      </c>
      <c r="D156" s="57">
        <v>12</v>
      </c>
      <c r="E156" s="49">
        <f>D156*$C156</f>
        <v>7500</v>
      </c>
      <c r="F156" s="57">
        <v>12</v>
      </c>
      <c r="G156" s="49">
        <f>F156*P156</f>
        <v>7500</v>
      </c>
      <c r="H156" s="57">
        <v>12</v>
      </c>
      <c r="I156" s="49">
        <f>H156*Q156</f>
        <v>7725</v>
      </c>
      <c r="J156" s="57">
        <v>12</v>
      </c>
      <c r="K156" s="49">
        <f>J156*R156</f>
        <v>7956.75</v>
      </c>
      <c r="L156" s="57">
        <v>12</v>
      </c>
      <c r="M156" s="50">
        <f>L156*S156</f>
        <v>8195.4524999999994</v>
      </c>
      <c r="N156" s="34">
        <f>E156+G156+I156+K156+M156</f>
        <v>38877.202499999999</v>
      </c>
      <c r="P156" s="8">
        <f>$C156*(1+F$94)</f>
        <v>625</v>
      </c>
      <c r="Q156" s="8">
        <f>P156*(1+H$94)</f>
        <v>643.75</v>
      </c>
      <c r="R156" s="8">
        <f>Q156*(1+J$94)</f>
        <v>663.0625</v>
      </c>
      <c r="S156" s="8">
        <f>R156*(1+L$94)</f>
        <v>682.95437500000003</v>
      </c>
    </row>
    <row r="157" spans="1:19" ht="14.4" thickBot="1" x14ac:dyDescent="0.25">
      <c r="A157" s="40" t="s">
        <v>286</v>
      </c>
      <c r="B157" s="645">
        <f>SUM(C154:C156)</f>
        <v>3125</v>
      </c>
      <c r="C157" s="646"/>
      <c r="D157" s="622">
        <f>SUM(E154:E156)</f>
        <v>19500</v>
      </c>
      <c r="E157" s="623"/>
      <c r="F157" s="622">
        <f>SUM(G154:G156)</f>
        <v>37500</v>
      </c>
      <c r="G157" s="623"/>
      <c r="H157" s="622">
        <f>SUM(I154:I156)</f>
        <v>38625</v>
      </c>
      <c r="I157" s="623"/>
      <c r="J157" s="622">
        <f>SUM(K154:K156)</f>
        <v>39783.75</v>
      </c>
      <c r="K157" s="623"/>
      <c r="L157" s="622">
        <f>SUM(M154:M156)</f>
        <v>40977.262500000004</v>
      </c>
      <c r="M157" s="623"/>
      <c r="N157" s="36">
        <f>SUM(N154:N156)</f>
        <v>176386.01250000001</v>
      </c>
      <c r="P157" s="8"/>
      <c r="Q157" s="8"/>
      <c r="R157" s="8"/>
      <c r="S157" s="8"/>
    </row>
    <row r="158" spans="1:19" x14ac:dyDescent="0.2">
      <c r="A158" s="18" t="s">
        <v>336</v>
      </c>
      <c r="B158" s="27"/>
      <c r="C158" s="28">
        <v>300</v>
      </c>
      <c r="D158" s="56">
        <v>12</v>
      </c>
      <c r="E158" s="47">
        <f>D158*$C158</f>
        <v>3600</v>
      </c>
      <c r="F158" s="56">
        <v>12</v>
      </c>
      <c r="G158" s="47">
        <f>F158*P158</f>
        <v>3600</v>
      </c>
      <c r="H158" s="56">
        <v>12</v>
      </c>
      <c r="I158" s="47">
        <f>H158*Q158</f>
        <v>3708</v>
      </c>
      <c r="J158" s="56">
        <v>12</v>
      </c>
      <c r="K158" s="47">
        <f>J158*R158</f>
        <v>3819.24</v>
      </c>
      <c r="L158" s="56">
        <v>12</v>
      </c>
      <c r="M158" s="48">
        <f>L158*S158</f>
        <v>3933.8172000000004</v>
      </c>
      <c r="N158" s="20">
        <f>E158+G158+I158+K158+M158</f>
        <v>18661.057199999999</v>
      </c>
      <c r="P158" s="8">
        <f>$C158*(1+F$94)</f>
        <v>300</v>
      </c>
      <c r="Q158" s="8">
        <f>P158*(1+H$94)</f>
        <v>309</v>
      </c>
      <c r="R158" s="8">
        <f>Q158*(1+J$94)</f>
        <v>318.27</v>
      </c>
      <c r="S158" s="8">
        <f>R158*(1+L$94)</f>
        <v>327.81810000000002</v>
      </c>
    </row>
    <row r="159" spans="1:19" x14ac:dyDescent="0.2">
      <c r="A159" s="19" t="s">
        <v>216</v>
      </c>
      <c r="B159" s="29"/>
      <c r="C159" s="30">
        <v>200</v>
      </c>
      <c r="D159" s="58">
        <v>12</v>
      </c>
      <c r="E159" s="11">
        <f>D159*$C159</f>
        <v>2400</v>
      </c>
      <c r="F159" s="58">
        <v>12</v>
      </c>
      <c r="G159" s="11">
        <f>F159*P159</f>
        <v>2400</v>
      </c>
      <c r="H159" s="58">
        <v>12</v>
      </c>
      <c r="I159" s="11">
        <f>H159*Q159</f>
        <v>2472</v>
      </c>
      <c r="J159" s="58">
        <v>12</v>
      </c>
      <c r="K159" s="11">
        <f>J159*R159</f>
        <v>2546.16</v>
      </c>
      <c r="L159" s="58">
        <v>12</v>
      </c>
      <c r="M159" s="51">
        <f>L159*S159</f>
        <v>2622.5448000000001</v>
      </c>
      <c r="N159" s="21">
        <f>E159+G159+I159+K159+M159</f>
        <v>12440.7048</v>
      </c>
      <c r="P159" s="8">
        <f>$C159*(1+F$94)</f>
        <v>200</v>
      </c>
      <c r="Q159" s="8">
        <f>P159*(1+H$94)</f>
        <v>206</v>
      </c>
      <c r="R159" s="8">
        <f>Q159*(1+J$94)</f>
        <v>212.18</v>
      </c>
      <c r="S159" s="8">
        <f>R159*(1+L$94)</f>
        <v>218.5454</v>
      </c>
    </row>
    <row r="160" spans="1:19" x14ac:dyDescent="0.2">
      <c r="A160" s="19" t="s">
        <v>133</v>
      </c>
      <c r="B160" s="29"/>
      <c r="C160" s="30">
        <v>600</v>
      </c>
      <c r="D160" s="58">
        <v>12</v>
      </c>
      <c r="E160" s="11">
        <f>D160*$C160</f>
        <v>7200</v>
      </c>
      <c r="F160" s="58">
        <v>12</v>
      </c>
      <c r="G160" s="11">
        <f>F160*P160</f>
        <v>7200</v>
      </c>
      <c r="H160" s="58">
        <v>12</v>
      </c>
      <c r="I160" s="11">
        <f>H160*Q160</f>
        <v>7416</v>
      </c>
      <c r="J160" s="58">
        <v>12</v>
      </c>
      <c r="K160" s="11">
        <f>J160*R160</f>
        <v>7638.48</v>
      </c>
      <c r="L160" s="58">
        <v>12</v>
      </c>
      <c r="M160" s="51">
        <f>L160*S160</f>
        <v>7867.6344000000008</v>
      </c>
      <c r="N160" s="21">
        <f>E160+G160+I160+K160+M160</f>
        <v>37322.114399999999</v>
      </c>
      <c r="P160" s="8">
        <f>$C160*(1+F$94)</f>
        <v>600</v>
      </c>
      <c r="Q160" s="8">
        <f>P160*(1+H$94)</f>
        <v>618</v>
      </c>
      <c r="R160" s="8">
        <f>Q160*(1+J$94)</f>
        <v>636.54</v>
      </c>
      <c r="S160" s="8">
        <f>R160*(1+L$94)</f>
        <v>655.63620000000003</v>
      </c>
    </row>
    <row r="161" spans="1:19" ht="13.2" thickBot="1" x14ac:dyDescent="0.25">
      <c r="A161" s="31" t="s">
        <v>179</v>
      </c>
      <c r="B161" s="37"/>
      <c r="C161" s="38">
        <v>600</v>
      </c>
      <c r="D161" s="57">
        <v>12</v>
      </c>
      <c r="E161" s="49">
        <f>D161*$C161</f>
        <v>7200</v>
      </c>
      <c r="F161" s="57">
        <v>12</v>
      </c>
      <c r="G161" s="49">
        <f>F161*P161</f>
        <v>7200</v>
      </c>
      <c r="H161" s="57">
        <v>12</v>
      </c>
      <c r="I161" s="49">
        <f>H161*Q161</f>
        <v>7416</v>
      </c>
      <c r="J161" s="57">
        <v>12</v>
      </c>
      <c r="K161" s="49">
        <f>J161*R161</f>
        <v>7638.48</v>
      </c>
      <c r="L161" s="57">
        <v>12</v>
      </c>
      <c r="M161" s="50">
        <f>L161*S161</f>
        <v>7867.6344000000008</v>
      </c>
      <c r="N161" s="34">
        <f>E161+G161+I161+K161+M161</f>
        <v>37322.114399999999</v>
      </c>
      <c r="P161" s="8">
        <f>$C161*(1+F$94)</f>
        <v>600</v>
      </c>
      <c r="Q161" s="8">
        <f>P161*(1+H$94)</f>
        <v>618</v>
      </c>
      <c r="R161" s="8">
        <f>Q161*(1+J$94)</f>
        <v>636.54</v>
      </c>
      <c r="S161" s="8">
        <f>R161*(1+L$94)</f>
        <v>655.63620000000003</v>
      </c>
    </row>
    <row r="162" spans="1:19" ht="14.4" thickBot="1" x14ac:dyDescent="0.25">
      <c r="A162" s="40" t="s">
        <v>397</v>
      </c>
      <c r="B162" s="633">
        <f>SUM(C158:C161)</f>
        <v>1700</v>
      </c>
      <c r="C162" s="634"/>
      <c r="D162" s="610">
        <f>SUM(E158:E161)</f>
        <v>20400</v>
      </c>
      <c r="E162" s="611"/>
      <c r="F162" s="610">
        <f>SUM(G158:G161)</f>
        <v>20400</v>
      </c>
      <c r="G162" s="611"/>
      <c r="H162" s="610">
        <f>SUM(I158:I161)</f>
        <v>21012</v>
      </c>
      <c r="I162" s="611"/>
      <c r="J162" s="610">
        <f>SUM(K158:K161)</f>
        <v>21642.36</v>
      </c>
      <c r="K162" s="611"/>
      <c r="L162" s="610">
        <f>SUM(M158:M161)</f>
        <v>22291.630800000003</v>
      </c>
      <c r="M162" s="611"/>
      <c r="N162" s="36">
        <f>SUM(N158:N161)</f>
        <v>105745.9908</v>
      </c>
      <c r="P162" s="8"/>
      <c r="Q162" s="8"/>
      <c r="R162" s="8"/>
      <c r="S162" s="8"/>
    </row>
    <row r="163" spans="1:19" x14ac:dyDescent="0.2">
      <c r="A163" s="18" t="s">
        <v>244</v>
      </c>
      <c r="B163" s="27"/>
      <c r="C163" s="28">
        <v>2000</v>
      </c>
      <c r="D163" s="56">
        <v>12</v>
      </c>
      <c r="E163" s="47">
        <f>D163*$C163</f>
        <v>24000</v>
      </c>
      <c r="F163" s="56">
        <v>12</v>
      </c>
      <c r="G163" s="47">
        <f>F163*P163</f>
        <v>24000</v>
      </c>
      <c r="H163" s="56">
        <v>12</v>
      </c>
      <c r="I163" s="47">
        <f>H163*Q163</f>
        <v>24720</v>
      </c>
      <c r="J163" s="56">
        <v>12</v>
      </c>
      <c r="K163" s="47">
        <f>J163*R163</f>
        <v>25461.600000000002</v>
      </c>
      <c r="L163" s="56">
        <v>12</v>
      </c>
      <c r="M163" s="48">
        <f>L163*S163</f>
        <v>26225.448000000004</v>
      </c>
      <c r="N163" s="20">
        <f>E163+G163+I163+K163+M163</f>
        <v>124407.04800000001</v>
      </c>
      <c r="P163" s="8">
        <f>$C163*(1+F$94)</f>
        <v>2000</v>
      </c>
      <c r="Q163" s="8">
        <f>P163*(1+H$94)</f>
        <v>2060</v>
      </c>
      <c r="R163" s="8">
        <f>Q163*(1+J$94)</f>
        <v>2121.8000000000002</v>
      </c>
      <c r="S163" s="8">
        <f>R163*(1+L$94)</f>
        <v>2185.4540000000002</v>
      </c>
    </row>
    <row r="164" spans="1:19" x14ac:dyDescent="0.2">
      <c r="A164" s="19" t="s">
        <v>83</v>
      </c>
      <c r="B164" s="29"/>
      <c r="C164" s="30">
        <v>3000</v>
      </c>
      <c r="D164" s="58">
        <v>12</v>
      </c>
      <c r="E164" s="11">
        <f>D164*$C164</f>
        <v>36000</v>
      </c>
      <c r="F164" s="58">
        <v>12</v>
      </c>
      <c r="G164" s="11">
        <f>F164*P164</f>
        <v>36000</v>
      </c>
      <c r="H164" s="58">
        <v>12</v>
      </c>
      <c r="I164" s="11">
        <f>H164*Q164</f>
        <v>37080</v>
      </c>
      <c r="J164" s="58">
        <v>12</v>
      </c>
      <c r="K164" s="11">
        <f>J164*R164</f>
        <v>38192.400000000001</v>
      </c>
      <c r="L164" s="58">
        <v>12</v>
      </c>
      <c r="M164" s="51">
        <f>L164*S164</f>
        <v>39338.172000000006</v>
      </c>
      <c r="N164" s="21">
        <f>E164+G164+I164+K164+M164</f>
        <v>186610.57199999999</v>
      </c>
      <c r="P164" s="8">
        <f>$C164*(1+F$94)</f>
        <v>3000</v>
      </c>
      <c r="Q164" s="8">
        <f>P164*(1+H$94)</f>
        <v>3090</v>
      </c>
      <c r="R164" s="8">
        <f>Q164*(1+J$94)</f>
        <v>3182.7000000000003</v>
      </c>
      <c r="S164" s="8">
        <f>R164*(1+L$94)</f>
        <v>3278.1810000000005</v>
      </c>
    </row>
    <row r="165" spans="1:19" ht="13.2" thickBot="1" x14ac:dyDescent="0.25">
      <c r="A165" s="31" t="s">
        <v>245</v>
      </c>
      <c r="B165" s="32">
        <v>0.1</v>
      </c>
      <c r="C165" s="33">
        <f>SUM(C163:C164)*B165</f>
        <v>500</v>
      </c>
      <c r="D165" s="57">
        <v>12</v>
      </c>
      <c r="E165" s="49">
        <f>D165*$C165</f>
        <v>6000</v>
      </c>
      <c r="F165" s="57">
        <v>12</v>
      </c>
      <c r="G165" s="49">
        <f>F165*P165</f>
        <v>6000</v>
      </c>
      <c r="H165" s="57">
        <v>12</v>
      </c>
      <c r="I165" s="49">
        <f>H165*Q165</f>
        <v>6180</v>
      </c>
      <c r="J165" s="57">
        <v>12</v>
      </c>
      <c r="K165" s="49">
        <f>J165*R165</f>
        <v>6365.4000000000005</v>
      </c>
      <c r="L165" s="57">
        <v>12</v>
      </c>
      <c r="M165" s="50">
        <f>L165*S165</f>
        <v>6556.362000000001</v>
      </c>
      <c r="N165" s="34">
        <f>E165+G165+I165+K165+M165</f>
        <v>31101.762000000002</v>
      </c>
      <c r="P165" s="8">
        <f>$C165*(1+F$94)</f>
        <v>500</v>
      </c>
      <c r="Q165" s="8">
        <f>P165*(1+H$94)</f>
        <v>515</v>
      </c>
      <c r="R165" s="8">
        <f>Q165*(1+J$94)</f>
        <v>530.45000000000005</v>
      </c>
      <c r="S165" s="8">
        <f>R165*(1+L$94)</f>
        <v>546.36350000000004</v>
      </c>
    </row>
    <row r="166" spans="1:19" ht="14.4" thickBot="1" x14ac:dyDescent="0.25">
      <c r="A166" s="40" t="s">
        <v>279</v>
      </c>
      <c r="B166" s="633">
        <f>SUM(C163:C165)</f>
        <v>5500</v>
      </c>
      <c r="C166" s="634"/>
      <c r="D166" s="610">
        <f>SUM(E163:E165)</f>
        <v>66000</v>
      </c>
      <c r="E166" s="611"/>
      <c r="F166" s="610">
        <f>SUM(G163:G165)</f>
        <v>66000</v>
      </c>
      <c r="G166" s="611"/>
      <c r="H166" s="610">
        <f>SUM(I163:I165)</f>
        <v>67980</v>
      </c>
      <c r="I166" s="611"/>
      <c r="J166" s="610">
        <f>SUM(K163:K165)</f>
        <v>70019.399999999994</v>
      </c>
      <c r="K166" s="611"/>
      <c r="L166" s="610">
        <f>SUM(M163:M165)</f>
        <v>72119.982000000018</v>
      </c>
      <c r="M166" s="611"/>
      <c r="N166" s="36">
        <f>SUM(N163:N165)</f>
        <v>342119.38199999998</v>
      </c>
      <c r="P166" s="8"/>
      <c r="Q166" s="8"/>
      <c r="R166" s="8"/>
      <c r="S166" s="8"/>
    </row>
    <row r="167" spans="1:19" x14ac:dyDescent="0.2">
      <c r="A167" s="18" t="s">
        <v>127</v>
      </c>
      <c r="B167" s="27"/>
      <c r="C167" s="28">
        <v>10000</v>
      </c>
      <c r="D167" s="56">
        <v>12</v>
      </c>
      <c r="E167" s="47">
        <f t="shared" ref="E167:E172" si="29">D167*$C167</f>
        <v>120000</v>
      </c>
      <c r="F167" s="56">
        <v>12</v>
      </c>
      <c r="G167" s="47">
        <f>F167*P167</f>
        <v>120000</v>
      </c>
      <c r="H167" s="56">
        <v>12</v>
      </c>
      <c r="I167" s="47">
        <f>H167*Q167</f>
        <v>123600</v>
      </c>
      <c r="J167" s="56">
        <v>12</v>
      </c>
      <c r="K167" s="47">
        <f>J167*R167</f>
        <v>127308</v>
      </c>
      <c r="L167" s="56">
        <v>12</v>
      </c>
      <c r="M167" s="48">
        <f>L167*S167</f>
        <v>131127.24</v>
      </c>
      <c r="N167" s="20">
        <f t="shared" ref="N167:N172" si="30">E167+G167+I167+K167+M167</f>
        <v>622035.24</v>
      </c>
      <c r="P167" s="8">
        <f>$C167*(1+F$94)</f>
        <v>10000</v>
      </c>
      <c r="Q167" s="8">
        <f>P167*(1+H$94)</f>
        <v>10300</v>
      </c>
      <c r="R167" s="8">
        <f>Q167*(1+J$94)</f>
        <v>10609</v>
      </c>
      <c r="S167" s="8">
        <f>R167*(1+L$94)</f>
        <v>10927.27</v>
      </c>
    </row>
    <row r="168" spans="1:19" x14ac:dyDescent="0.2">
      <c r="A168" s="19" t="s">
        <v>128</v>
      </c>
      <c r="B168" s="29"/>
      <c r="C168" s="30">
        <v>2000</v>
      </c>
      <c r="D168" s="58">
        <v>12</v>
      </c>
      <c r="E168" s="11">
        <f t="shared" si="29"/>
        <v>24000</v>
      </c>
      <c r="F168" s="58">
        <v>12</v>
      </c>
      <c r="G168" s="11">
        <f>F168*P168</f>
        <v>24000</v>
      </c>
      <c r="H168" s="58">
        <v>12</v>
      </c>
      <c r="I168" s="11">
        <f>H168*Q168</f>
        <v>24720</v>
      </c>
      <c r="J168" s="58">
        <v>12</v>
      </c>
      <c r="K168" s="11">
        <f>J168*R168</f>
        <v>25461.600000000002</v>
      </c>
      <c r="L168" s="58">
        <v>12</v>
      </c>
      <c r="M168" s="51">
        <f>L168*S168</f>
        <v>26225.448000000004</v>
      </c>
      <c r="N168" s="21">
        <f t="shared" si="30"/>
        <v>124407.04800000001</v>
      </c>
      <c r="P168" s="8">
        <f>$C168*(1+F$94)</f>
        <v>2000</v>
      </c>
      <c r="Q168" s="8">
        <f>P168*(1+H$94)</f>
        <v>2060</v>
      </c>
      <c r="R168" s="8">
        <f>Q168*(1+J$94)</f>
        <v>2121.8000000000002</v>
      </c>
      <c r="S168" s="8">
        <f>R168*(1+L$94)</f>
        <v>2185.4540000000002</v>
      </c>
    </row>
    <row r="169" spans="1:19" x14ac:dyDescent="0.2">
      <c r="A169" s="19" t="s">
        <v>205</v>
      </c>
      <c r="B169" s="29"/>
      <c r="C169" s="30">
        <v>2000</v>
      </c>
      <c r="D169" s="58">
        <v>12</v>
      </c>
      <c r="E169" s="11">
        <f t="shared" si="29"/>
        <v>24000</v>
      </c>
      <c r="F169" s="58">
        <v>12</v>
      </c>
      <c r="G169" s="11">
        <f>F169*P169</f>
        <v>24000</v>
      </c>
      <c r="H169" s="58">
        <v>12</v>
      </c>
      <c r="I169" s="11">
        <f>H169*Q169</f>
        <v>24720</v>
      </c>
      <c r="J169" s="58">
        <v>12</v>
      </c>
      <c r="K169" s="11">
        <f>J169*R169</f>
        <v>25461.600000000002</v>
      </c>
      <c r="L169" s="58">
        <v>12</v>
      </c>
      <c r="M169" s="51">
        <f>L169*S169</f>
        <v>26225.448000000004</v>
      </c>
      <c r="N169" s="21">
        <f t="shared" si="30"/>
        <v>124407.04800000001</v>
      </c>
      <c r="P169" s="8">
        <f>$C169*(1+F$94)</f>
        <v>2000</v>
      </c>
      <c r="Q169" s="8">
        <f>P169*(1+H$94)</f>
        <v>2060</v>
      </c>
      <c r="R169" s="8">
        <f>Q169*(1+J$94)</f>
        <v>2121.8000000000002</v>
      </c>
      <c r="S169" s="8">
        <f>R169*(1+L$94)</f>
        <v>2185.4540000000002</v>
      </c>
    </row>
    <row r="170" spans="1:19" x14ac:dyDescent="0.2">
      <c r="A170" s="19" t="s">
        <v>424</v>
      </c>
      <c r="B170" s="29"/>
      <c r="C170" s="30">
        <v>5000</v>
      </c>
      <c r="D170" s="58">
        <v>12</v>
      </c>
      <c r="E170" s="11">
        <f t="shared" si="29"/>
        <v>60000</v>
      </c>
      <c r="F170" s="58">
        <v>12</v>
      </c>
      <c r="G170" s="11">
        <f>F170*P170</f>
        <v>60000</v>
      </c>
      <c r="H170" s="58">
        <v>12</v>
      </c>
      <c r="I170" s="11">
        <f>H170*Q170</f>
        <v>61800</v>
      </c>
      <c r="J170" s="58">
        <v>12</v>
      </c>
      <c r="K170" s="11">
        <f>J170*R170</f>
        <v>63654</v>
      </c>
      <c r="L170" s="58">
        <v>12</v>
      </c>
      <c r="M170" s="51">
        <f>L170*S170</f>
        <v>65563.62</v>
      </c>
      <c r="N170" s="21">
        <f t="shared" si="30"/>
        <v>311017.62</v>
      </c>
      <c r="P170" s="8">
        <f>$C170*(1+F$94)</f>
        <v>5000</v>
      </c>
      <c r="Q170" s="8">
        <f>P170*(1+H$94)</f>
        <v>5150</v>
      </c>
      <c r="R170" s="8">
        <f>Q170*(1+J$94)</f>
        <v>5304.5</v>
      </c>
      <c r="S170" s="8">
        <f>R170*(1+L$94)</f>
        <v>5463.6350000000002</v>
      </c>
    </row>
    <row r="171" spans="1:19" x14ac:dyDescent="0.2">
      <c r="A171" s="19" t="s">
        <v>200</v>
      </c>
      <c r="B171" s="29"/>
      <c r="C171" s="30">
        <v>8000</v>
      </c>
      <c r="D171" s="58">
        <v>5</v>
      </c>
      <c r="E171" s="11">
        <f t="shared" si="29"/>
        <v>40000</v>
      </c>
      <c r="F171" s="58">
        <v>5</v>
      </c>
      <c r="G171" s="11">
        <f>F171*$C171</f>
        <v>40000</v>
      </c>
      <c r="H171" s="58"/>
      <c r="I171" s="11">
        <f>H171*$C171</f>
        <v>0</v>
      </c>
      <c r="J171" s="58"/>
      <c r="K171" s="11">
        <f>J171*$C171</f>
        <v>0</v>
      </c>
      <c r="L171" s="58"/>
      <c r="M171" s="11">
        <f>L171*$C171</f>
        <v>0</v>
      </c>
      <c r="N171" s="21">
        <f t="shared" si="30"/>
        <v>80000</v>
      </c>
      <c r="O171" s="6"/>
      <c r="P171" s="82"/>
      <c r="Q171" s="82"/>
      <c r="R171" s="82"/>
      <c r="S171" s="82"/>
    </row>
    <row r="172" spans="1:19" ht="13.2" thickBot="1" x14ac:dyDescent="0.25">
      <c r="A172" s="31" t="s">
        <v>404</v>
      </c>
      <c r="B172" s="32">
        <v>0.1</v>
      </c>
      <c r="C172" s="33">
        <f>SUM(C167:C169)*B172</f>
        <v>1400</v>
      </c>
      <c r="D172" s="57">
        <v>12</v>
      </c>
      <c r="E172" s="49">
        <f t="shared" si="29"/>
        <v>16800</v>
      </c>
      <c r="F172" s="57">
        <v>12</v>
      </c>
      <c r="G172" s="49">
        <f>F172*P172</f>
        <v>16800</v>
      </c>
      <c r="H172" s="57">
        <v>12</v>
      </c>
      <c r="I172" s="49">
        <f>H172*Q172</f>
        <v>17304</v>
      </c>
      <c r="J172" s="57">
        <v>12</v>
      </c>
      <c r="K172" s="49">
        <f>J172*R172</f>
        <v>17823.12</v>
      </c>
      <c r="L172" s="57">
        <v>12</v>
      </c>
      <c r="M172" s="50">
        <f>L172*S172</f>
        <v>18357.813600000001</v>
      </c>
      <c r="N172" s="34">
        <f t="shared" si="30"/>
        <v>87084.933599999989</v>
      </c>
      <c r="P172" s="8">
        <f>$C172*(1+F$94)</f>
        <v>1400</v>
      </c>
      <c r="Q172" s="8">
        <f>P172*(1+H$94)</f>
        <v>1442</v>
      </c>
      <c r="R172" s="8">
        <f>Q172*(1+J$94)</f>
        <v>1485.26</v>
      </c>
      <c r="S172" s="8">
        <f>R172*(1+L$94)</f>
        <v>1529.8178</v>
      </c>
    </row>
    <row r="173" spans="1:19" ht="14.4" thickBot="1" x14ac:dyDescent="0.25">
      <c r="A173" s="40" t="s">
        <v>115</v>
      </c>
      <c r="B173" s="633">
        <f>SUM(C167:C172)</f>
        <v>28400</v>
      </c>
      <c r="C173" s="634"/>
      <c r="D173" s="610">
        <f>SUM(E167:E172)</f>
        <v>284800</v>
      </c>
      <c r="E173" s="611"/>
      <c r="F173" s="610">
        <f>SUM(G167:G172)</f>
        <v>284800</v>
      </c>
      <c r="G173" s="611"/>
      <c r="H173" s="610">
        <f>SUM(I167:I172)</f>
        <v>252144</v>
      </c>
      <c r="I173" s="611"/>
      <c r="J173" s="610">
        <f>SUM(K167:K172)</f>
        <v>259708.32</v>
      </c>
      <c r="K173" s="611"/>
      <c r="L173" s="610">
        <f>SUM(M167:M172)</f>
        <v>267499.56959999999</v>
      </c>
      <c r="M173" s="611"/>
      <c r="N173" s="36">
        <f>SUM(N167:N172)</f>
        <v>1348951.8895999999</v>
      </c>
      <c r="P173" s="8"/>
      <c r="Q173" s="8"/>
      <c r="R173" s="8"/>
      <c r="S173" s="8"/>
    </row>
    <row r="174" spans="1:19" x14ac:dyDescent="0.2">
      <c r="A174" s="353" t="s">
        <v>122</v>
      </c>
      <c r="B174" s="614">
        <f>SUM(C175:C180)</f>
        <v>18400</v>
      </c>
      <c r="C174" s="615"/>
      <c r="D174" s="608">
        <f>SUM(E175:E180)</f>
        <v>251040</v>
      </c>
      <c r="E174" s="609"/>
      <c r="F174" s="608">
        <f>SUM(G175:G180)</f>
        <v>251040</v>
      </c>
      <c r="G174" s="609"/>
      <c r="H174" s="608">
        <f>SUM(I175:I180)</f>
        <v>258571.2</v>
      </c>
      <c r="I174" s="609"/>
      <c r="J174" s="608">
        <f>SUM(K175:K180)</f>
        <v>266328.33600000001</v>
      </c>
      <c r="K174" s="609"/>
      <c r="L174" s="608">
        <f>SUM(M175:M180)</f>
        <v>274318.18608000007</v>
      </c>
      <c r="M174" s="609"/>
      <c r="N174" s="62">
        <f>SUM(D174:M174)</f>
        <v>1301297.72208</v>
      </c>
      <c r="P174" s="8">
        <f t="shared" ref="P174:P185" si="31">$C174*(1+F$94)</f>
        <v>0</v>
      </c>
      <c r="Q174" s="8">
        <f t="shared" ref="Q174:Q185" si="32">P174*(1+H$94)</f>
        <v>0</v>
      </c>
      <c r="R174" s="8">
        <f t="shared" ref="R174:R185" si="33">Q174*(1+J$94)</f>
        <v>0</v>
      </c>
      <c r="S174" s="8">
        <f t="shared" ref="S174:S185" si="34">R174*(1+L$94)</f>
        <v>0</v>
      </c>
    </row>
    <row r="175" spans="1:19" x14ac:dyDescent="0.2">
      <c r="A175" s="19" t="s">
        <v>293</v>
      </c>
      <c r="B175" s="369"/>
      <c r="C175" s="30">
        <v>10000</v>
      </c>
      <c r="D175" s="58">
        <v>12</v>
      </c>
      <c r="E175" s="11">
        <f>D175*($C175*(1+$B175))</f>
        <v>120000</v>
      </c>
      <c r="F175" s="58">
        <v>12</v>
      </c>
      <c r="G175" s="11">
        <f>(F175*P175)*(1+$B175)</f>
        <v>120000</v>
      </c>
      <c r="H175" s="58">
        <v>12</v>
      </c>
      <c r="I175" s="11">
        <f>(H175*Q175)*(1+$B175)</f>
        <v>123600</v>
      </c>
      <c r="J175" s="58">
        <v>12</v>
      </c>
      <c r="K175" s="11">
        <f>(J175*R175)*(1+$B175)</f>
        <v>127308</v>
      </c>
      <c r="L175" s="58">
        <v>12</v>
      </c>
      <c r="M175" s="51">
        <f>(L175*S175)*(1+$B175)</f>
        <v>131127.24</v>
      </c>
      <c r="N175" s="21">
        <f t="shared" ref="N175:N180" si="35">E175+G175+I175+K175+M175</f>
        <v>622035.24</v>
      </c>
      <c r="P175" s="8">
        <f t="shared" si="31"/>
        <v>10000</v>
      </c>
      <c r="Q175" s="8">
        <f t="shared" si="32"/>
        <v>10300</v>
      </c>
      <c r="R175" s="8">
        <f t="shared" si="33"/>
        <v>10609</v>
      </c>
      <c r="S175" s="8">
        <f t="shared" si="34"/>
        <v>10927.27</v>
      </c>
    </row>
    <row r="176" spans="1:19" x14ac:dyDescent="0.2">
      <c r="A176" s="346" t="s">
        <v>301</v>
      </c>
      <c r="B176" s="349">
        <v>0</v>
      </c>
      <c r="C176" s="350">
        <f>C175*$B176</f>
        <v>0</v>
      </c>
      <c r="D176" s="347"/>
      <c r="E176" s="351">
        <f>E175*$B176</f>
        <v>0</v>
      </c>
      <c r="F176" s="347"/>
      <c r="G176" s="351">
        <f>G175*$B176</f>
        <v>0</v>
      </c>
      <c r="H176" s="347"/>
      <c r="I176" s="351">
        <f>I175*$B176</f>
        <v>0</v>
      </c>
      <c r="J176" s="347"/>
      <c r="K176" s="351">
        <f>K175*$B176</f>
        <v>0</v>
      </c>
      <c r="L176" s="347"/>
      <c r="M176" s="351">
        <f>M175*$B176</f>
        <v>0</v>
      </c>
      <c r="N176" s="21">
        <f t="shared" si="35"/>
        <v>0</v>
      </c>
      <c r="P176" s="8">
        <f t="shared" si="31"/>
        <v>0</v>
      </c>
      <c r="Q176" s="8">
        <f t="shared" si="32"/>
        <v>0</v>
      </c>
      <c r="R176" s="8">
        <f t="shared" si="33"/>
        <v>0</v>
      </c>
      <c r="S176" s="8">
        <f t="shared" si="34"/>
        <v>0</v>
      </c>
    </row>
    <row r="177" spans="1:19" x14ac:dyDescent="0.2">
      <c r="A177" s="19" t="s">
        <v>171</v>
      </c>
      <c r="B177" s="369">
        <v>0.3</v>
      </c>
      <c r="C177" s="30">
        <v>2000</v>
      </c>
      <c r="D177" s="58">
        <v>12</v>
      </c>
      <c r="E177" s="11">
        <f>D177*($C177*(1+$B177))</f>
        <v>31200</v>
      </c>
      <c r="F177" s="58">
        <v>12</v>
      </c>
      <c r="G177" s="11">
        <f>(F177*P177)*(1+$B177)</f>
        <v>31200</v>
      </c>
      <c r="H177" s="58">
        <v>12</v>
      </c>
      <c r="I177" s="11">
        <f>(H177*Q177)*(1+$B177)</f>
        <v>32136</v>
      </c>
      <c r="J177" s="58">
        <v>12</v>
      </c>
      <c r="K177" s="11">
        <f>(J177*R177)*(1+$B177)</f>
        <v>33100.080000000002</v>
      </c>
      <c r="L177" s="58">
        <v>12</v>
      </c>
      <c r="M177" s="51">
        <f>(L177*S177)*(1+$B177)</f>
        <v>34093.082400000007</v>
      </c>
      <c r="N177" s="21">
        <f t="shared" si="35"/>
        <v>161729.1624</v>
      </c>
      <c r="P177" s="8">
        <f t="shared" si="31"/>
        <v>2000</v>
      </c>
      <c r="Q177" s="8">
        <f t="shared" si="32"/>
        <v>2060</v>
      </c>
      <c r="R177" s="8">
        <f t="shared" si="33"/>
        <v>2121.8000000000002</v>
      </c>
      <c r="S177" s="8">
        <f t="shared" si="34"/>
        <v>2185.4540000000002</v>
      </c>
    </row>
    <row r="178" spans="1:19" x14ac:dyDescent="0.2">
      <c r="A178" s="19" t="s">
        <v>78</v>
      </c>
      <c r="B178" s="369">
        <v>0.3</v>
      </c>
      <c r="C178" s="30">
        <v>4000</v>
      </c>
      <c r="D178" s="58">
        <v>12</v>
      </c>
      <c r="E178" s="11">
        <f>D178*($C178*(1+$B178))</f>
        <v>62400</v>
      </c>
      <c r="F178" s="58">
        <v>12</v>
      </c>
      <c r="G178" s="11">
        <f>(F178*P178)*(1+$B178)</f>
        <v>62400</v>
      </c>
      <c r="H178" s="58">
        <v>12</v>
      </c>
      <c r="I178" s="11">
        <f>(H178*Q178)*(1+$B178)</f>
        <v>64272</v>
      </c>
      <c r="J178" s="58">
        <v>12</v>
      </c>
      <c r="K178" s="11">
        <f>(J178*R178)*(1+$B178)</f>
        <v>66200.160000000003</v>
      </c>
      <c r="L178" s="58">
        <v>12</v>
      </c>
      <c r="M178" s="51">
        <f>(L178*S178)*(1+$B178)</f>
        <v>68186.164800000013</v>
      </c>
      <c r="N178" s="21">
        <f t="shared" si="35"/>
        <v>323458.3248</v>
      </c>
      <c r="P178" s="8">
        <f t="shared" si="31"/>
        <v>4000</v>
      </c>
      <c r="Q178" s="8">
        <f t="shared" si="32"/>
        <v>4120</v>
      </c>
      <c r="R178" s="8">
        <f t="shared" si="33"/>
        <v>4243.6000000000004</v>
      </c>
      <c r="S178" s="8">
        <f t="shared" si="34"/>
        <v>4370.9080000000004</v>
      </c>
    </row>
    <row r="179" spans="1:19" x14ac:dyDescent="0.2">
      <c r="A179" s="19" t="s">
        <v>192</v>
      </c>
      <c r="B179" s="369">
        <v>0.3</v>
      </c>
      <c r="C179" s="30">
        <v>2000</v>
      </c>
      <c r="D179" s="58">
        <v>12</v>
      </c>
      <c r="E179" s="11">
        <f>D179*($C179*(1+$B179))</f>
        <v>31200</v>
      </c>
      <c r="F179" s="58">
        <v>12</v>
      </c>
      <c r="G179" s="11">
        <f>(F179*P179)*(1+$B179)</f>
        <v>31200</v>
      </c>
      <c r="H179" s="58">
        <v>12</v>
      </c>
      <c r="I179" s="11">
        <f>(H179*Q179)*(1+$B179)</f>
        <v>32136</v>
      </c>
      <c r="J179" s="58">
        <v>12</v>
      </c>
      <c r="K179" s="11">
        <f>(J179*R179)*(1+$B179)</f>
        <v>33100.080000000002</v>
      </c>
      <c r="L179" s="58">
        <v>12</v>
      </c>
      <c r="M179" s="51">
        <f>(L179*S179)*(1+$B179)</f>
        <v>34093.082400000007</v>
      </c>
      <c r="N179" s="21">
        <f t="shared" si="35"/>
        <v>161729.1624</v>
      </c>
      <c r="P179" s="8">
        <f t="shared" si="31"/>
        <v>2000</v>
      </c>
      <c r="Q179" s="8">
        <f t="shared" si="32"/>
        <v>2060</v>
      </c>
      <c r="R179" s="8">
        <f t="shared" si="33"/>
        <v>2121.8000000000002</v>
      </c>
      <c r="S179" s="8">
        <f t="shared" si="34"/>
        <v>2185.4540000000002</v>
      </c>
    </row>
    <row r="180" spans="1:19" ht="13.2" thickBot="1" x14ac:dyDescent="0.25">
      <c r="A180" s="364" t="s">
        <v>292</v>
      </c>
      <c r="B180" s="349">
        <v>0.2</v>
      </c>
      <c r="C180" s="350">
        <f>C179*$B180</f>
        <v>400</v>
      </c>
      <c r="D180" s="347"/>
      <c r="E180" s="351">
        <f>E179*$B180</f>
        <v>6240</v>
      </c>
      <c r="F180" s="347"/>
      <c r="G180" s="351">
        <f>G179*$B180</f>
        <v>6240</v>
      </c>
      <c r="H180" s="347"/>
      <c r="I180" s="351">
        <f>I179*$B180</f>
        <v>6427.2000000000007</v>
      </c>
      <c r="J180" s="347"/>
      <c r="K180" s="351">
        <f>K179*$B180</f>
        <v>6620.0160000000005</v>
      </c>
      <c r="L180" s="347"/>
      <c r="M180" s="351">
        <f>M179*$B180</f>
        <v>6818.6164800000015</v>
      </c>
      <c r="N180" s="21">
        <f t="shared" si="35"/>
        <v>32345.832480000001</v>
      </c>
      <c r="P180" s="8">
        <f t="shared" si="31"/>
        <v>400</v>
      </c>
      <c r="Q180" s="8">
        <f t="shared" si="32"/>
        <v>412</v>
      </c>
      <c r="R180" s="8">
        <f t="shared" si="33"/>
        <v>424.36</v>
      </c>
      <c r="S180" s="8">
        <f t="shared" si="34"/>
        <v>437.0908</v>
      </c>
    </row>
    <row r="181" spans="1:19" x14ac:dyDescent="0.2">
      <c r="A181" s="355" t="s">
        <v>201</v>
      </c>
      <c r="B181" s="614">
        <f>SUM(C182:C185)</f>
        <v>13000</v>
      </c>
      <c r="C181" s="615"/>
      <c r="D181" s="608">
        <f>SUM(E182:E185)</f>
        <v>140400</v>
      </c>
      <c r="E181" s="609"/>
      <c r="F181" s="608">
        <f>SUM(G182:G185)</f>
        <v>156000</v>
      </c>
      <c r="G181" s="609"/>
      <c r="H181" s="608">
        <f>SUM(I182:I185)</f>
        <v>192816</v>
      </c>
      <c r="I181" s="609"/>
      <c r="J181" s="608">
        <f>SUM(K182:K185)</f>
        <v>215150.52000000002</v>
      </c>
      <c r="K181" s="609"/>
      <c r="L181" s="608">
        <f>SUM(M182:M185)</f>
        <v>221605.03560000003</v>
      </c>
      <c r="M181" s="609"/>
      <c r="N181" s="62">
        <f>SUM(D181:M181)</f>
        <v>925971.55560000008</v>
      </c>
      <c r="P181" s="8">
        <f t="shared" si="31"/>
        <v>0</v>
      </c>
      <c r="Q181" s="8">
        <f t="shared" si="32"/>
        <v>0</v>
      </c>
      <c r="R181" s="8">
        <f t="shared" si="33"/>
        <v>0</v>
      </c>
      <c r="S181" s="8">
        <f t="shared" si="34"/>
        <v>0</v>
      </c>
    </row>
    <row r="182" spans="1:19" x14ac:dyDescent="0.2">
      <c r="A182" s="356" t="s">
        <v>23</v>
      </c>
      <c r="B182" s="369">
        <v>0.3</v>
      </c>
      <c r="C182" s="30">
        <v>7000</v>
      </c>
      <c r="D182" s="58">
        <v>12</v>
      </c>
      <c r="E182" s="11">
        <f>D182*($C182*(1+$B182))</f>
        <v>109200</v>
      </c>
      <c r="F182" s="58">
        <v>12</v>
      </c>
      <c r="G182" s="11">
        <f>(F182*P182)*(1+$B182)</f>
        <v>109200</v>
      </c>
      <c r="H182" s="58">
        <v>12</v>
      </c>
      <c r="I182" s="11">
        <f>(H182*Q182)*(1+$B182)</f>
        <v>112476</v>
      </c>
      <c r="J182" s="58">
        <v>12</v>
      </c>
      <c r="K182" s="11">
        <f>(J182*R182)*(1+$B182)</f>
        <v>115850.28000000001</v>
      </c>
      <c r="L182" s="58">
        <v>12</v>
      </c>
      <c r="M182" s="51">
        <f>(L182*S182)*(1+$B182)</f>
        <v>119325.7884</v>
      </c>
      <c r="N182" s="21">
        <f>E182+G182+I182+K182+M182</f>
        <v>566052.06839999999</v>
      </c>
      <c r="P182" s="8">
        <f t="shared" si="31"/>
        <v>7000</v>
      </c>
      <c r="Q182" s="8">
        <f t="shared" si="32"/>
        <v>7210</v>
      </c>
      <c r="R182" s="8">
        <f t="shared" si="33"/>
        <v>7426.3</v>
      </c>
      <c r="S182" s="8">
        <f t="shared" si="34"/>
        <v>7649.0889999999999</v>
      </c>
    </row>
    <row r="183" spans="1:19" x14ac:dyDescent="0.2">
      <c r="A183" s="356" t="s">
        <v>263</v>
      </c>
      <c r="B183" s="369">
        <v>0.3</v>
      </c>
      <c r="C183" s="30">
        <v>2000</v>
      </c>
      <c r="D183" s="58">
        <v>12</v>
      </c>
      <c r="E183" s="11">
        <f>D183*($C183*(1+$B183))</f>
        <v>31200</v>
      </c>
      <c r="F183" s="58">
        <v>12</v>
      </c>
      <c r="G183" s="11">
        <f>(F183*P183)*(1+$B183)</f>
        <v>31200</v>
      </c>
      <c r="H183" s="58">
        <v>12</v>
      </c>
      <c r="I183" s="11">
        <f>(H183*Q183)*(1+$B183)</f>
        <v>32136</v>
      </c>
      <c r="J183" s="58">
        <v>12</v>
      </c>
      <c r="K183" s="11">
        <f>(J183*R183)*(1+$B183)</f>
        <v>33100.080000000002</v>
      </c>
      <c r="L183" s="58">
        <v>12</v>
      </c>
      <c r="M183" s="51">
        <f>(L183*S183)*(1+$B183)</f>
        <v>34093.082400000007</v>
      </c>
      <c r="N183" s="21">
        <f>E183+G183+I183+K183+M183</f>
        <v>161729.1624</v>
      </c>
      <c r="P183" s="8">
        <f t="shared" si="31"/>
        <v>2000</v>
      </c>
      <c r="Q183" s="8">
        <f t="shared" si="32"/>
        <v>2060</v>
      </c>
      <c r="R183" s="8">
        <f t="shared" si="33"/>
        <v>2121.8000000000002</v>
      </c>
      <c r="S183" s="8">
        <f t="shared" si="34"/>
        <v>2185.4540000000002</v>
      </c>
    </row>
    <row r="184" spans="1:19" x14ac:dyDescent="0.2">
      <c r="A184" s="356" t="s">
        <v>263</v>
      </c>
      <c r="B184" s="369">
        <v>0.3</v>
      </c>
      <c r="C184" s="30">
        <v>2000</v>
      </c>
      <c r="D184" s="58"/>
      <c r="E184" s="11">
        <f>D184*($C184*(1+$B184))</f>
        <v>0</v>
      </c>
      <c r="F184" s="58">
        <v>6</v>
      </c>
      <c r="G184" s="11">
        <f>(F184*P184)*(1+$B184)</f>
        <v>15600</v>
      </c>
      <c r="H184" s="58">
        <v>12</v>
      </c>
      <c r="I184" s="11">
        <f>(H184*Q184)*(1+$B184)</f>
        <v>32136</v>
      </c>
      <c r="J184" s="58">
        <v>12</v>
      </c>
      <c r="K184" s="11">
        <f>(J184*R184)*(1+$B184)</f>
        <v>33100.080000000002</v>
      </c>
      <c r="L184" s="58">
        <v>12</v>
      </c>
      <c r="M184" s="51">
        <f>(L184*S184)*(1+$B184)</f>
        <v>34093.082400000007</v>
      </c>
      <c r="N184" s="21">
        <f>E184+G184+I184+K184+M184</f>
        <v>114929.1624</v>
      </c>
      <c r="P184" s="8">
        <f t="shared" si="31"/>
        <v>2000</v>
      </c>
      <c r="Q184" s="8">
        <f t="shared" si="32"/>
        <v>2060</v>
      </c>
      <c r="R184" s="8">
        <f t="shared" si="33"/>
        <v>2121.8000000000002</v>
      </c>
      <c r="S184" s="8">
        <f t="shared" si="34"/>
        <v>2185.4540000000002</v>
      </c>
    </row>
    <row r="185" spans="1:19" ht="13.2" thickBot="1" x14ac:dyDescent="0.25">
      <c r="A185" s="358" t="s">
        <v>263</v>
      </c>
      <c r="B185" s="369">
        <v>0.3</v>
      </c>
      <c r="C185" s="30">
        <v>2000</v>
      </c>
      <c r="D185" s="58"/>
      <c r="E185" s="11">
        <f>D185*($C185*(1+$B185))</f>
        <v>0</v>
      </c>
      <c r="F185" s="58"/>
      <c r="G185" s="11">
        <f>(F185*P185)*(1+$B185)</f>
        <v>0</v>
      </c>
      <c r="H185" s="58">
        <v>6</v>
      </c>
      <c r="I185" s="11">
        <f>(H185*Q185)*(1+$B185)</f>
        <v>16068</v>
      </c>
      <c r="J185" s="58">
        <v>12</v>
      </c>
      <c r="K185" s="11">
        <f>(J185*R185)*(1+$B185)</f>
        <v>33100.080000000002</v>
      </c>
      <c r="L185" s="58">
        <v>12</v>
      </c>
      <c r="M185" s="51">
        <f>(L185*S185)*(1+$B185)</f>
        <v>34093.082400000007</v>
      </c>
      <c r="N185" s="21">
        <f>E185+G185+I185+K185+M185</f>
        <v>83261.162400000001</v>
      </c>
      <c r="P185" s="8">
        <f t="shared" si="31"/>
        <v>2000</v>
      </c>
      <c r="Q185" s="8">
        <f t="shared" si="32"/>
        <v>2060</v>
      </c>
      <c r="R185" s="8">
        <f t="shared" si="33"/>
        <v>2121.8000000000002</v>
      </c>
      <c r="S185" s="8">
        <f t="shared" si="34"/>
        <v>2185.4540000000002</v>
      </c>
    </row>
    <row r="186" spans="1:19" x14ac:dyDescent="0.2">
      <c r="A186" s="355" t="s">
        <v>132</v>
      </c>
      <c r="B186" s="614">
        <f>SUM(C187:C193)</f>
        <v>12500</v>
      </c>
      <c r="C186" s="615"/>
      <c r="D186" s="608">
        <f>SUM(E187:E193)</f>
        <v>163800</v>
      </c>
      <c r="E186" s="609"/>
      <c r="F186" s="608">
        <f>SUM(G187:G193)</f>
        <v>195000</v>
      </c>
      <c r="G186" s="609"/>
      <c r="H186" s="608">
        <f>SUM(I187:I193)</f>
        <v>200850</v>
      </c>
      <c r="I186" s="609"/>
      <c r="J186" s="608">
        <f>SUM(K187:K193)</f>
        <v>206875.5</v>
      </c>
      <c r="K186" s="609"/>
      <c r="L186" s="608">
        <f>SUM(M187:M193)</f>
        <v>213081.76499999998</v>
      </c>
      <c r="M186" s="609"/>
      <c r="N186" s="62">
        <f>SUM(D186:M186)</f>
        <v>979607.26500000001</v>
      </c>
      <c r="P186" s="8">
        <f t="shared" ref="P186:P192" si="36">$C186*(1+F$94)</f>
        <v>0</v>
      </c>
      <c r="Q186" s="8">
        <f t="shared" ref="Q186:Q192" si="37">P186*(1+H$94)</f>
        <v>0</v>
      </c>
      <c r="R186" s="8">
        <f t="shared" ref="R186:R192" si="38">Q186*(1+J$94)</f>
        <v>0</v>
      </c>
      <c r="S186" s="8">
        <f t="shared" ref="S186:S192" si="39">R186*(1+L$94)</f>
        <v>0</v>
      </c>
    </row>
    <row r="187" spans="1:19" x14ac:dyDescent="0.2">
      <c r="A187" s="356" t="s">
        <v>223</v>
      </c>
      <c r="B187" s="369">
        <v>0.3</v>
      </c>
      <c r="C187" s="30">
        <v>5000</v>
      </c>
      <c r="D187" s="58">
        <v>12</v>
      </c>
      <c r="E187" s="11">
        <f t="shared" ref="E187:E193" si="40">D187*($C187*(1+$B187))</f>
        <v>78000</v>
      </c>
      <c r="F187" s="58">
        <v>12</v>
      </c>
      <c r="G187" s="11">
        <f t="shared" ref="G187:G193" si="41">(F187*P187)*(1+$B187)</f>
        <v>78000</v>
      </c>
      <c r="H187" s="58">
        <v>12</v>
      </c>
      <c r="I187" s="11">
        <f t="shared" ref="I187:I193" si="42">(H187*Q187)*(1+$B187)</f>
        <v>80340</v>
      </c>
      <c r="J187" s="58">
        <v>12</v>
      </c>
      <c r="K187" s="11">
        <f t="shared" ref="K187:K193" si="43">(J187*R187)*(1+$B187)</f>
        <v>82750.2</v>
      </c>
      <c r="L187" s="58">
        <v>12</v>
      </c>
      <c r="M187" s="51">
        <f t="shared" ref="M187:M193" si="44">(L187*S187)*(1+$B187)</f>
        <v>85232.705999999991</v>
      </c>
      <c r="N187" s="21">
        <f t="shared" ref="N187:N192" si="45">E187+G187+I187+K187+M187</f>
        <v>404322.90600000002</v>
      </c>
      <c r="P187" s="8">
        <f t="shared" si="36"/>
        <v>5000</v>
      </c>
      <c r="Q187" s="8">
        <f t="shared" si="37"/>
        <v>5150</v>
      </c>
      <c r="R187" s="8">
        <f t="shared" si="38"/>
        <v>5304.5</v>
      </c>
      <c r="S187" s="8">
        <f t="shared" si="39"/>
        <v>5463.6350000000002</v>
      </c>
    </row>
    <row r="188" spans="1:19" x14ac:dyDescent="0.2">
      <c r="A188" s="356" t="s">
        <v>235</v>
      </c>
      <c r="B188" s="369">
        <v>0.3</v>
      </c>
      <c r="C188" s="30">
        <v>1500</v>
      </c>
      <c r="D188" s="58">
        <v>12</v>
      </c>
      <c r="E188" s="11">
        <f t="shared" si="40"/>
        <v>23400</v>
      </c>
      <c r="F188" s="58">
        <v>12</v>
      </c>
      <c r="G188" s="11">
        <f t="shared" si="41"/>
        <v>23400</v>
      </c>
      <c r="H188" s="58">
        <v>12</v>
      </c>
      <c r="I188" s="11">
        <f t="shared" si="42"/>
        <v>24102</v>
      </c>
      <c r="J188" s="58">
        <v>12</v>
      </c>
      <c r="K188" s="11">
        <f t="shared" si="43"/>
        <v>24825.06</v>
      </c>
      <c r="L188" s="58">
        <v>12</v>
      </c>
      <c r="M188" s="51">
        <f t="shared" si="44"/>
        <v>25569.811800000003</v>
      </c>
      <c r="N188" s="21">
        <f t="shared" si="45"/>
        <v>121296.87179999999</v>
      </c>
      <c r="P188" s="8">
        <f t="shared" si="36"/>
        <v>1500</v>
      </c>
      <c r="Q188" s="8">
        <f t="shared" si="37"/>
        <v>1545</v>
      </c>
      <c r="R188" s="8">
        <f t="shared" si="38"/>
        <v>1591.3500000000001</v>
      </c>
      <c r="S188" s="8">
        <f t="shared" si="39"/>
        <v>1639.0905000000002</v>
      </c>
    </row>
    <row r="189" spans="1:19" x14ac:dyDescent="0.2">
      <c r="A189" s="356" t="s">
        <v>134</v>
      </c>
      <c r="B189" s="369">
        <v>0.3</v>
      </c>
      <c r="C189" s="30">
        <v>1500</v>
      </c>
      <c r="D189" s="58">
        <v>6</v>
      </c>
      <c r="E189" s="11">
        <f t="shared" si="40"/>
        <v>11700</v>
      </c>
      <c r="F189" s="58">
        <v>12</v>
      </c>
      <c r="G189" s="11">
        <f t="shared" si="41"/>
        <v>23400</v>
      </c>
      <c r="H189" s="58">
        <v>12</v>
      </c>
      <c r="I189" s="11">
        <f t="shared" si="42"/>
        <v>24102</v>
      </c>
      <c r="J189" s="58">
        <v>12</v>
      </c>
      <c r="K189" s="11">
        <f t="shared" si="43"/>
        <v>24825.06</v>
      </c>
      <c r="L189" s="58">
        <v>12</v>
      </c>
      <c r="M189" s="51">
        <f t="shared" si="44"/>
        <v>25569.811800000003</v>
      </c>
      <c r="N189" s="21">
        <f t="shared" si="45"/>
        <v>109596.87179999999</v>
      </c>
      <c r="P189" s="8">
        <f t="shared" si="36"/>
        <v>1500</v>
      </c>
      <c r="Q189" s="8">
        <f t="shared" si="37"/>
        <v>1545</v>
      </c>
      <c r="R189" s="8">
        <f t="shared" si="38"/>
        <v>1591.3500000000001</v>
      </c>
      <c r="S189" s="8">
        <f t="shared" si="39"/>
        <v>1639.0905000000002</v>
      </c>
    </row>
    <row r="190" spans="1:19" x14ac:dyDescent="0.2">
      <c r="A190" s="356" t="s">
        <v>238</v>
      </c>
      <c r="B190" s="369">
        <v>0.3</v>
      </c>
      <c r="C190" s="30">
        <v>1500</v>
      </c>
      <c r="D190" s="58">
        <v>12</v>
      </c>
      <c r="E190" s="11">
        <f t="shared" si="40"/>
        <v>23400</v>
      </c>
      <c r="F190" s="58">
        <v>12</v>
      </c>
      <c r="G190" s="11">
        <f t="shared" si="41"/>
        <v>23400</v>
      </c>
      <c r="H190" s="58">
        <v>12</v>
      </c>
      <c r="I190" s="11">
        <f t="shared" si="42"/>
        <v>24102</v>
      </c>
      <c r="J190" s="58">
        <v>12</v>
      </c>
      <c r="K190" s="11">
        <f t="shared" si="43"/>
        <v>24825.06</v>
      </c>
      <c r="L190" s="58">
        <v>12</v>
      </c>
      <c r="M190" s="51">
        <f t="shared" si="44"/>
        <v>25569.811800000003</v>
      </c>
      <c r="N190" s="21">
        <f t="shared" si="45"/>
        <v>121296.87179999999</v>
      </c>
      <c r="P190" s="8">
        <f t="shared" si="36"/>
        <v>1500</v>
      </c>
      <c r="Q190" s="8">
        <f t="shared" si="37"/>
        <v>1545</v>
      </c>
      <c r="R190" s="8">
        <f t="shared" si="38"/>
        <v>1591.3500000000001</v>
      </c>
      <c r="S190" s="8">
        <f t="shared" si="39"/>
        <v>1639.0905000000002</v>
      </c>
    </row>
    <row r="191" spans="1:19" x14ac:dyDescent="0.2">
      <c r="A191" s="356" t="s">
        <v>238</v>
      </c>
      <c r="B191" s="369">
        <v>0.3</v>
      </c>
      <c r="C191" s="30">
        <v>1500</v>
      </c>
      <c r="D191" s="58">
        <v>8</v>
      </c>
      <c r="E191" s="11">
        <f t="shared" si="40"/>
        <v>15600</v>
      </c>
      <c r="F191" s="58">
        <v>12</v>
      </c>
      <c r="G191" s="11">
        <f t="shared" si="41"/>
        <v>23400</v>
      </c>
      <c r="H191" s="58">
        <v>12</v>
      </c>
      <c r="I191" s="11">
        <f t="shared" si="42"/>
        <v>24102</v>
      </c>
      <c r="J191" s="58">
        <v>12</v>
      </c>
      <c r="K191" s="11">
        <f t="shared" si="43"/>
        <v>24825.06</v>
      </c>
      <c r="L191" s="58">
        <v>12</v>
      </c>
      <c r="M191" s="51">
        <f t="shared" si="44"/>
        <v>25569.811800000003</v>
      </c>
      <c r="N191" s="21">
        <f t="shared" si="45"/>
        <v>113496.87179999999</v>
      </c>
      <c r="P191" s="8">
        <f t="shared" si="36"/>
        <v>1500</v>
      </c>
      <c r="Q191" s="8">
        <f t="shared" si="37"/>
        <v>1545</v>
      </c>
      <c r="R191" s="8">
        <f t="shared" si="38"/>
        <v>1591.3500000000001</v>
      </c>
      <c r="S191" s="8">
        <f t="shared" si="39"/>
        <v>1639.0905000000002</v>
      </c>
    </row>
    <row r="192" spans="1:19" x14ac:dyDescent="0.2">
      <c r="A192" s="356" t="s">
        <v>238</v>
      </c>
      <c r="B192" s="369">
        <v>0.3</v>
      </c>
      <c r="C192" s="30">
        <v>1500</v>
      </c>
      <c r="D192" s="58">
        <v>6</v>
      </c>
      <c r="E192" s="11">
        <f t="shared" si="40"/>
        <v>11700</v>
      </c>
      <c r="F192" s="58">
        <v>12</v>
      </c>
      <c r="G192" s="11">
        <f t="shared" si="41"/>
        <v>23400</v>
      </c>
      <c r="H192" s="58">
        <v>12</v>
      </c>
      <c r="I192" s="11">
        <f t="shared" si="42"/>
        <v>24102</v>
      </c>
      <c r="J192" s="58">
        <v>12</v>
      </c>
      <c r="K192" s="11">
        <f t="shared" si="43"/>
        <v>24825.06</v>
      </c>
      <c r="L192" s="58">
        <v>12</v>
      </c>
      <c r="M192" s="51">
        <f t="shared" si="44"/>
        <v>25569.811800000003</v>
      </c>
      <c r="N192" s="21">
        <f t="shared" si="45"/>
        <v>109596.87179999999</v>
      </c>
      <c r="P192" s="8">
        <f t="shared" si="36"/>
        <v>1500</v>
      </c>
      <c r="Q192" s="8">
        <f t="shared" si="37"/>
        <v>1545</v>
      </c>
      <c r="R192" s="8">
        <f t="shared" si="38"/>
        <v>1591.3500000000001</v>
      </c>
      <c r="S192" s="8">
        <f t="shared" si="39"/>
        <v>1639.0905000000002</v>
      </c>
    </row>
    <row r="193" spans="1:19" ht="13.2" thickBot="1" x14ac:dyDescent="0.25">
      <c r="A193" s="358"/>
      <c r="B193" s="369"/>
      <c r="C193" s="38"/>
      <c r="D193" s="57"/>
      <c r="E193" s="11">
        <f t="shared" si="40"/>
        <v>0</v>
      </c>
      <c r="F193" s="57"/>
      <c r="G193" s="11">
        <f t="shared" si="41"/>
        <v>0</v>
      </c>
      <c r="H193" s="57"/>
      <c r="I193" s="49">
        <f t="shared" si="42"/>
        <v>0</v>
      </c>
      <c r="J193" s="57"/>
      <c r="K193" s="49">
        <f t="shared" si="43"/>
        <v>0</v>
      </c>
      <c r="L193" s="57"/>
      <c r="M193" s="50">
        <f t="shared" si="44"/>
        <v>0</v>
      </c>
      <c r="N193" s="34">
        <f>E193+G193+I193+K193+M193</f>
        <v>0</v>
      </c>
      <c r="P193" s="8">
        <f>$C193*(1+F$94)</f>
        <v>0</v>
      </c>
      <c r="Q193" s="8">
        <f>P193*(1+H$94)</f>
        <v>0</v>
      </c>
      <c r="R193" s="8">
        <f>Q193*(1+J$94)</f>
        <v>0</v>
      </c>
      <c r="S193" s="8">
        <f>R193*(1+L$94)</f>
        <v>0</v>
      </c>
    </row>
    <row r="194" spans="1:19" x14ac:dyDescent="0.2">
      <c r="A194" s="61" t="s">
        <v>305</v>
      </c>
      <c r="B194" s="635">
        <f>SUM(C175:C193)</f>
        <v>43900</v>
      </c>
      <c r="C194" s="636"/>
      <c r="D194" s="608">
        <f>SUM(E175:E193)</f>
        <v>555240</v>
      </c>
      <c r="E194" s="626"/>
      <c r="F194" s="608">
        <f>SUM(G175:G193)</f>
        <v>602040</v>
      </c>
      <c r="G194" s="626"/>
      <c r="H194" s="608">
        <f>SUM(I175:I193)</f>
        <v>652237.19999999995</v>
      </c>
      <c r="I194" s="626"/>
      <c r="J194" s="608">
        <f>SUM(K175:K193)</f>
        <v>688354.35600000038</v>
      </c>
      <c r="K194" s="626"/>
      <c r="L194" s="608">
        <f>SUM(M175:M193)</f>
        <v>709004.98668000021</v>
      </c>
      <c r="M194" s="626"/>
      <c r="N194" s="62">
        <f>SUM(N175:N193)</f>
        <v>5112455.3632799992</v>
      </c>
      <c r="P194" s="8"/>
      <c r="Q194" s="8"/>
      <c r="R194" s="8"/>
      <c r="S194" s="8"/>
    </row>
    <row r="195" spans="1:19" ht="13.2" thickBot="1" x14ac:dyDescent="0.25">
      <c r="A195" s="26" t="s">
        <v>365</v>
      </c>
      <c r="B195" s="63"/>
      <c r="C195" s="161">
        <f>B194*B195</f>
        <v>0</v>
      </c>
      <c r="D195" s="637">
        <f>D194*$B195</f>
        <v>0</v>
      </c>
      <c r="E195" s="638"/>
      <c r="F195" s="637">
        <f>F194*$B195</f>
        <v>0</v>
      </c>
      <c r="G195" s="638"/>
      <c r="H195" s="637">
        <f>H194*$B195</f>
        <v>0</v>
      </c>
      <c r="I195" s="638"/>
      <c r="J195" s="637">
        <f>J194*$B195</f>
        <v>0</v>
      </c>
      <c r="K195" s="638"/>
      <c r="L195" s="637">
        <f>L194*$B195</f>
        <v>0</v>
      </c>
      <c r="M195" s="638"/>
      <c r="N195" s="168">
        <f>SUM(D195:M195)</f>
        <v>0</v>
      </c>
      <c r="P195" s="8">
        <f>$C195*(1+F$94)</f>
        <v>0</v>
      </c>
      <c r="Q195" s="8">
        <f>P195*(1+H$94)</f>
        <v>0</v>
      </c>
      <c r="R195" s="8">
        <f>Q195*(1+J$94)</f>
        <v>0</v>
      </c>
      <c r="S195" s="8">
        <f>R195*(1+L$94)</f>
        <v>0</v>
      </c>
    </row>
    <row r="196" spans="1:19" ht="14.4" thickBot="1" x14ac:dyDescent="0.25">
      <c r="A196" s="40" t="s">
        <v>265</v>
      </c>
      <c r="B196" s="633">
        <f>B194+C195</f>
        <v>43900</v>
      </c>
      <c r="C196" s="634"/>
      <c r="D196" s="627">
        <f>D194+D195</f>
        <v>555240</v>
      </c>
      <c r="E196" s="628"/>
      <c r="F196" s="627">
        <f>F194+F195</f>
        <v>602040</v>
      </c>
      <c r="G196" s="628"/>
      <c r="H196" s="627">
        <f>H194+H195</f>
        <v>652237.19999999995</v>
      </c>
      <c r="I196" s="628"/>
      <c r="J196" s="627">
        <f>J194+J195</f>
        <v>688354.35600000038</v>
      </c>
      <c r="K196" s="628"/>
      <c r="L196" s="627">
        <f>L194+L195</f>
        <v>709004.98668000021</v>
      </c>
      <c r="M196" s="628"/>
      <c r="N196" s="165">
        <f>SUM(N194:N195)</f>
        <v>5112455.3632799992</v>
      </c>
      <c r="P196" s="8"/>
      <c r="Q196" s="8"/>
      <c r="R196" s="8"/>
      <c r="S196" s="8"/>
    </row>
    <row r="197" spans="1:19" x14ac:dyDescent="0.2">
      <c r="A197" s="43" t="s">
        <v>303</v>
      </c>
      <c r="B197" s="44"/>
      <c r="C197" s="45">
        <v>2000</v>
      </c>
      <c r="D197" s="59">
        <v>12</v>
      </c>
      <c r="E197" s="52">
        <f>D197*$C197</f>
        <v>24000</v>
      </c>
      <c r="F197" s="59">
        <v>12</v>
      </c>
      <c r="G197" s="52">
        <f>F197*P197</f>
        <v>24000</v>
      </c>
      <c r="H197" s="59">
        <v>12</v>
      </c>
      <c r="I197" s="52">
        <f>H197*Q197</f>
        <v>24720</v>
      </c>
      <c r="J197" s="59">
        <v>12</v>
      </c>
      <c r="K197" s="52">
        <f>J197*R197</f>
        <v>25461.600000000002</v>
      </c>
      <c r="L197" s="59">
        <v>12</v>
      </c>
      <c r="M197" s="53">
        <f>L197*S197</f>
        <v>26225.448000000004</v>
      </c>
      <c r="N197" s="46">
        <f>E197+G197+I197+K197+M197</f>
        <v>124407.04800000001</v>
      </c>
      <c r="P197" s="8">
        <f>$C197*(1+F$94)</f>
        <v>2000</v>
      </c>
      <c r="Q197" s="8">
        <f>P197*(1+H$94)</f>
        <v>2060</v>
      </c>
      <c r="R197" s="8">
        <f>Q197*(1+J$94)</f>
        <v>2121.8000000000002</v>
      </c>
      <c r="S197" s="8">
        <f>R197*(1+L$94)</f>
        <v>2185.4540000000002</v>
      </c>
    </row>
    <row r="198" spans="1:19" ht="13.2" thickBot="1" x14ac:dyDescent="0.25">
      <c r="A198" s="31"/>
      <c r="B198" s="39"/>
      <c r="C198" s="38"/>
      <c r="D198" s="57"/>
      <c r="E198" s="49">
        <f>D198*$C198</f>
        <v>0</v>
      </c>
      <c r="F198" s="57"/>
      <c r="G198" s="49">
        <f>F198*P198</f>
        <v>0</v>
      </c>
      <c r="H198" s="57"/>
      <c r="I198" s="49">
        <f>H198*Q198</f>
        <v>0</v>
      </c>
      <c r="J198" s="57"/>
      <c r="K198" s="49">
        <f>J198*R198</f>
        <v>0</v>
      </c>
      <c r="L198" s="57"/>
      <c r="M198" s="50">
        <f>L198*S198</f>
        <v>0</v>
      </c>
      <c r="N198" s="34">
        <f>E198+G198+I198+K198+M198</f>
        <v>0</v>
      </c>
      <c r="P198" s="8">
        <f>$C198*(1+F$94)</f>
        <v>0</v>
      </c>
      <c r="Q198" s="8">
        <f>P198*(1+H$94)</f>
        <v>0</v>
      </c>
      <c r="R198" s="8">
        <f>Q198*(1+J$94)</f>
        <v>0</v>
      </c>
      <c r="S198" s="8">
        <f>R198*(1+L$94)</f>
        <v>0</v>
      </c>
    </row>
    <row r="199" spans="1:19" ht="14.4" thickBot="1" x14ac:dyDescent="0.25">
      <c r="A199" s="40" t="s">
        <v>299</v>
      </c>
      <c r="B199" s="633">
        <f>SUM(C197:C198)</f>
        <v>2000</v>
      </c>
      <c r="C199" s="634"/>
      <c r="D199" s="610">
        <f>SUM(E197:E198)</f>
        <v>24000</v>
      </c>
      <c r="E199" s="611"/>
      <c r="F199" s="610">
        <f>SUM(G197:G198)</f>
        <v>24000</v>
      </c>
      <c r="G199" s="611"/>
      <c r="H199" s="610">
        <f>SUM(I197:I198)</f>
        <v>24720</v>
      </c>
      <c r="I199" s="611"/>
      <c r="J199" s="610">
        <f>SUM(K197:K198)</f>
        <v>25461.600000000002</v>
      </c>
      <c r="K199" s="611"/>
      <c r="L199" s="610">
        <f>SUM(M197:M198)</f>
        <v>26225.448000000004</v>
      </c>
      <c r="M199" s="611"/>
      <c r="N199" s="36">
        <f>SUM(N197:N198)</f>
        <v>124407.04800000001</v>
      </c>
      <c r="P199" s="8"/>
      <c r="Q199" s="8"/>
      <c r="R199" s="8"/>
      <c r="S199" s="8"/>
    </row>
    <row r="200" spans="1:19" ht="16.8" thickBot="1" x14ac:dyDescent="0.25">
      <c r="A200" s="171" t="s">
        <v>382</v>
      </c>
      <c r="B200" s="631">
        <f>B157+B162+B166+B173+B196+B199</f>
        <v>84625</v>
      </c>
      <c r="C200" s="632"/>
      <c r="D200" s="624">
        <f>D157+D162+D166+D173+D196+D199</f>
        <v>969940</v>
      </c>
      <c r="E200" s="625"/>
      <c r="F200" s="624">
        <f>F157+F162+F166+F173+F196+F199</f>
        <v>1034740</v>
      </c>
      <c r="G200" s="625"/>
      <c r="H200" s="624">
        <f>H157+H162+H166+H173+H196+H199</f>
        <v>1056718.2</v>
      </c>
      <c r="I200" s="625"/>
      <c r="J200" s="624">
        <f>J157+J162+J166+J173+J196+J199</f>
        <v>1104969.7860000005</v>
      </c>
      <c r="K200" s="625"/>
      <c r="L200" s="624">
        <f>L157+L162+L166+L173+L196+L199</f>
        <v>1138118.8795800002</v>
      </c>
      <c r="M200" s="625"/>
      <c r="N200" s="22">
        <f>N157+N162+N166+N173+N196+N199</f>
        <v>7210065.6861799993</v>
      </c>
    </row>
    <row r="201" spans="1:19" ht="7.95" customHeight="1" thickBot="1" x14ac:dyDescent="0.25">
      <c r="A201" s="9"/>
      <c r="B201" s="16"/>
      <c r="C201" s="9"/>
      <c r="D201" s="54"/>
      <c r="E201" s="13"/>
      <c r="F201" s="54"/>
      <c r="G201" s="13"/>
      <c r="H201" s="54"/>
      <c r="I201" s="13"/>
      <c r="J201" s="54"/>
      <c r="K201" s="13"/>
      <c r="L201" s="54"/>
      <c r="M201" s="13"/>
      <c r="N201" s="13"/>
      <c r="O201" s="6"/>
    </row>
    <row r="202" spans="1:19" ht="18" customHeight="1" thickBot="1" x14ac:dyDescent="0.25">
      <c r="A202" s="42" t="s">
        <v>357</v>
      </c>
      <c r="B202" s="661"/>
      <c r="C202" s="662"/>
      <c r="D202" s="667">
        <f>D200+D150</f>
        <v>2069940</v>
      </c>
      <c r="E202" s="668"/>
      <c r="F202" s="667">
        <f>F200+F150</f>
        <v>1224740</v>
      </c>
      <c r="G202" s="668"/>
      <c r="H202" s="667">
        <f>H200+H150</f>
        <v>1056718.2</v>
      </c>
      <c r="I202" s="668"/>
      <c r="J202" s="667">
        <f>J200+J150</f>
        <v>1104969.7860000005</v>
      </c>
      <c r="K202" s="668"/>
      <c r="L202" s="667">
        <f>L200+L150</f>
        <v>1138118.8795800002</v>
      </c>
      <c r="M202" s="668"/>
      <c r="N202" s="383">
        <f>N200+N150</f>
        <v>8500065.6861799993</v>
      </c>
      <c r="O202" s="6"/>
    </row>
    <row r="204" spans="1:19" x14ac:dyDescent="0.2">
      <c r="E204" s="8"/>
      <c r="G204" s="8"/>
      <c r="I204" s="8"/>
      <c r="K204" s="8"/>
      <c r="M204" s="8"/>
    </row>
  </sheetData>
  <mergeCells count="340">
    <mergeCell ref="D149:E149"/>
    <mergeCell ref="F149:G149"/>
    <mergeCell ref="H149:I149"/>
    <mergeCell ref="J149:K149"/>
    <mergeCell ref="L149:M149"/>
    <mergeCell ref="J86:K86"/>
    <mergeCell ref="L86:M86"/>
    <mergeCell ref="L90:M90"/>
    <mergeCell ref="J90:K90"/>
    <mergeCell ref="H90:I90"/>
    <mergeCell ref="F90:G90"/>
    <mergeCell ref="F11:G11"/>
    <mergeCell ref="H11:I11"/>
    <mergeCell ref="J11:K11"/>
    <mergeCell ref="L11:M11"/>
    <mergeCell ref="L7:M7"/>
    <mergeCell ref="J7:K7"/>
    <mergeCell ref="H7:I7"/>
    <mergeCell ref="F7:G7"/>
    <mergeCell ref="H12:I12"/>
    <mergeCell ref="B90:C90"/>
    <mergeCell ref="B86:C86"/>
    <mergeCell ref="B7:C7"/>
    <mergeCell ref="B11:C11"/>
    <mergeCell ref="D7:E7"/>
    <mergeCell ref="D11:E11"/>
    <mergeCell ref="D86:E86"/>
    <mergeCell ref="D90:E90"/>
    <mergeCell ref="D74:E74"/>
    <mergeCell ref="B19:C19"/>
    <mergeCell ref="B202:C202"/>
    <mergeCell ref="D202:E202"/>
    <mergeCell ref="F202:G202"/>
    <mergeCell ref="H202:I202"/>
    <mergeCell ref="J202:K202"/>
    <mergeCell ref="L202:M202"/>
    <mergeCell ref="D139:E139"/>
    <mergeCell ref="F139:G139"/>
    <mergeCell ref="H139:I139"/>
    <mergeCell ref="J139:K139"/>
    <mergeCell ref="L139:M139"/>
    <mergeCell ref="F80:G80"/>
    <mergeCell ref="H80:I80"/>
    <mergeCell ref="J80:K80"/>
    <mergeCell ref="L80:M80"/>
    <mergeCell ref="F86:G86"/>
    <mergeCell ref="L94:M94"/>
    <mergeCell ref="B137:C137"/>
    <mergeCell ref="B150:C150"/>
    <mergeCell ref="D150:E150"/>
    <mergeCell ref="F150:G150"/>
    <mergeCell ref="H150:I150"/>
    <mergeCell ref="J150:K150"/>
    <mergeCell ref="B141:C141"/>
    <mergeCell ref="D141:E141"/>
    <mergeCell ref="B139:C139"/>
    <mergeCell ref="J12:K12"/>
    <mergeCell ref="L12:M12"/>
    <mergeCell ref="H91:I91"/>
    <mergeCell ref="J91:K91"/>
    <mergeCell ref="L91:M91"/>
    <mergeCell ref="J77:K77"/>
    <mergeCell ref="L74:M74"/>
    <mergeCell ref="H74:I74"/>
    <mergeCell ref="H86:I86"/>
    <mergeCell ref="J74:K74"/>
    <mergeCell ref="A1:N1"/>
    <mergeCell ref="L77:M77"/>
    <mergeCell ref="D78:E78"/>
    <mergeCell ref="F78:G78"/>
    <mergeCell ref="H78:I78"/>
    <mergeCell ref="J78:K78"/>
    <mergeCell ref="L78:M78"/>
    <mergeCell ref="D77:E77"/>
    <mergeCell ref="F77:G77"/>
    <mergeCell ref="H77:I77"/>
    <mergeCell ref="L72:M72"/>
    <mergeCell ref="D37:E37"/>
    <mergeCell ref="F37:G37"/>
    <mergeCell ref="H37:I37"/>
    <mergeCell ref="J37:K37"/>
    <mergeCell ref="L37:M37"/>
    <mergeCell ref="H72:I72"/>
    <mergeCell ref="J72:K72"/>
    <mergeCell ref="L48:M48"/>
    <mergeCell ref="F38:G38"/>
    <mergeCell ref="L28:M28"/>
    <mergeCell ref="D24:E24"/>
    <mergeCell ref="F24:G24"/>
    <mergeCell ref="H24:I24"/>
    <mergeCell ref="J24:K24"/>
    <mergeCell ref="L24:M24"/>
    <mergeCell ref="D28:E28"/>
    <mergeCell ref="F28:G28"/>
    <mergeCell ref="H28:I28"/>
    <mergeCell ref="J28:K28"/>
    <mergeCell ref="L19:M19"/>
    <mergeCell ref="D19:E19"/>
    <mergeCell ref="F19:G19"/>
    <mergeCell ref="H19:I19"/>
    <mergeCell ref="J19:K19"/>
    <mergeCell ref="L15:M15"/>
    <mergeCell ref="D14:E14"/>
    <mergeCell ref="F14:G14"/>
    <mergeCell ref="H14:I14"/>
    <mergeCell ref="J14:K14"/>
    <mergeCell ref="L14:M14"/>
    <mergeCell ref="D15:E15"/>
    <mergeCell ref="F15:G15"/>
    <mergeCell ref="H15:I15"/>
    <mergeCell ref="J15:K15"/>
    <mergeCell ref="D12:E12"/>
    <mergeCell ref="F12:G12"/>
    <mergeCell ref="D3:E3"/>
    <mergeCell ref="F3:G3"/>
    <mergeCell ref="B136:C136"/>
    <mergeCell ref="B77:C77"/>
    <mergeCell ref="B78:C78"/>
    <mergeCell ref="B91:C91"/>
    <mergeCell ref="B97:C97"/>
    <mergeCell ref="F72:G72"/>
    <mergeCell ref="H3:I3"/>
    <mergeCell ref="J3:K3"/>
    <mergeCell ref="L3:M3"/>
    <mergeCell ref="B133:C133"/>
    <mergeCell ref="B24:C24"/>
    <mergeCell ref="B28:C28"/>
    <mergeCell ref="B3:C3"/>
    <mergeCell ref="B14:B15"/>
    <mergeCell ref="C14:C15"/>
    <mergeCell ref="B12:C12"/>
    <mergeCell ref="B82:C82"/>
    <mergeCell ref="F94:G94"/>
    <mergeCell ref="D94:E94"/>
    <mergeCell ref="B37:C37"/>
    <mergeCell ref="B72:C72"/>
    <mergeCell ref="B74:C74"/>
    <mergeCell ref="D73:E73"/>
    <mergeCell ref="D72:E72"/>
    <mergeCell ref="B80:C80"/>
    <mergeCell ref="D80:E80"/>
    <mergeCell ref="F74:G74"/>
    <mergeCell ref="L82:M82"/>
    <mergeCell ref="D93:E93"/>
    <mergeCell ref="F93:G93"/>
    <mergeCell ref="H93:I93"/>
    <mergeCell ref="L93:M93"/>
    <mergeCell ref="D82:E82"/>
    <mergeCell ref="F82:G82"/>
    <mergeCell ref="H82:I82"/>
    <mergeCell ref="J82:K82"/>
    <mergeCell ref="B131:C131"/>
    <mergeCell ref="B114:C114"/>
    <mergeCell ref="F114:G114"/>
    <mergeCell ref="B106:C106"/>
    <mergeCell ref="B93:B94"/>
    <mergeCell ref="B102:C102"/>
    <mergeCell ref="F97:G97"/>
    <mergeCell ref="F102:G102"/>
    <mergeCell ref="D106:E106"/>
    <mergeCell ref="D102:E102"/>
    <mergeCell ref="J93:K93"/>
    <mergeCell ref="B113:C113"/>
    <mergeCell ref="J94:K94"/>
    <mergeCell ref="H94:I94"/>
    <mergeCell ref="H113:I113"/>
    <mergeCell ref="D91:E91"/>
    <mergeCell ref="F91:G91"/>
    <mergeCell ref="C93:C94"/>
    <mergeCell ref="H97:I97"/>
    <mergeCell ref="H102:I102"/>
    <mergeCell ref="D97:E97"/>
    <mergeCell ref="F106:G106"/>
    <mergeCell ref="H106:I106"/>
    <mergeCell ref="F113:G113"/>
    <mergeCell ref="D133:E133"/>
    <mergeCell ref="D136:E136"/>
    <mergeCell ref="F131:G131"/>
    <mergeCell ref="F133:G133"/>
    <mergeCell ref="F136:G136"/>
    <mergeCell ref="D131:E131"/>
    <mergeCell ref="D113:E113"/>
    <mergeCell ref="J114:K114"/>
    <mergeCell ref="L136:M136"/>
    <mergeCell ref="J133:K133"/>
    <mergeCell ref="J136:K136"/>
    <mergeCell ref="J137:K137"/>
    <mergeCell ref="D137:E137"/>
    <mergeCell ref="F137:G137"/>
    <mergeCell ref="D132:E132"/>
    <mergeCell ref="F132:G132"/>
    <mergeCell ref="H132:I132"/>
    <mergeCell ref="H131:I131"/>
    <mergeCell ref="H133:I133"/>
    <mergeCell ref="J97:K97"/>
    <mergeCell ref="J102:K102"/>
    <mergeCell ref="J106:K106"/>
    <mergeCell ref="J113:K113"/>
    <mergeCell ref="J132:K132"/>
    <mergeCell ref="D153:E153"/>
    <mergeCell ref="F153:G153"/>
    <mergeCell ref="H153:I153"/>
    <mergeCell ref="L97:M97"/>
    <mergeCell ref="L102:M102"/>
    <mergeCell ref="L106:M106"/>
    <mergeCell ref="L113:M113"/>
    <mergeCell ref="L132:M132"/>
    <mergeCell ref="D114:E114"/>
    <mergeCell ref="J131:K131"/>
    <mergeCell ref="F195:G195"/>
    <mergeCell ref="H195:I195"/>
    <mergeCell ref="J195:K195"/>
    <mergeCell ref="L195:M195"/>
    <mergeCell ref="H136:I136"/>
    <mergeCell ref="H137:I137"/>
    <mergeCell ref="F141:G141"/>
    <mergeCell ref="H141:I141"/>
    <mergeCell ref="F145:G145"/>
    <mergeCell ref="H145:I145"/>
    <mergeCell ref="F73:G73"/>
    <mergeCell ref="H73:I73"/>
    <mergeCell ref="J73:K73"/>
    <mergeCell ref="L73:M73"/>
    <mergeCell ref="H152:I152"/>
    <mergeCell ref="J152:K152"/>
    <mergeCell ref="L152:M152"/>
    <mergeCell ref="J141:K141"/>
    <mergeCell ref="L141:M141"/>
    <mergeCell ref="L150:M150"/>
    <mergeCell ref="B166:C166"/>
    <mergeCell ref="B152:B153"/>
    <mergeCell ref="C152:C153"/>
    <mergeCell ref="D152:E152"/>
    <mergeCell ref="F152:G152"/>
    <mergeCell ref="J157:K157"/>
    <mergeCell ref="B157:C157"/>
    <mergeCell ref="D157:E157"/>
    <mergeCell ref="F157:G157"/>
    <mergeCell ref="H157:I157"/>
    <mergeCell ref="B162:C162"/>
    <mergeCell ref="D162:E162"/>
    <mergeCell ref="F162:G162"/>
    <mergeCell ref="H162:I162"/>
    <mergeCell ref="J162:K162"/>
    <mergeCell ref="L162:M162"/>
    <mergeCell ref="L196:M196"/>
    <mergeCell ref="B194:C194"/>
    <mergeCell ref="D194:E194"/>
    <mergeCell ref="F194:G194"/>
    <mergeCell ref="H194:I194"/>
    <mergeCell ref="J194:K194"/>
    <mergeCell ref="L194:M194"/>
    <mergeCell ref="B196:C196"/>
    <mergeCell ref="D196:E196"/>
    <mergeCell ref="D195:E195"/>
    <mergeCell ref="B173:C173"/>
    <mergeCell ref="J200:K200"/>
    <mergeCell ref="L200:M200"/>
    <mergeCell ref="B199:C199"/>
    <mergeCell ref="D199:E199"/>
    <mergeCell ref="F199:G199"/>
    <mergeCell ref="H199:I199"/>
    <mergeCell ref="J199:K199"/>
    <mergeCell ref="L199:M199"/>
    <mergeCell ref="J196:K196"/>
    <mergeCell ref="F122:G122"/>
    <mergeCell ref="H122:I122"/>
    <mergeCell ref="F196:G196"/>
    <mergeCell ref="H196:I196"/>
    <mergeCell ref="D166:E166"/>
    <mergeCell ref="F166:G166"/>
    <mergeCell ref="H166:I166"/>
    <mergeCell ref="D173:E173"/>
    <mergeCell ref="F173:G173"/>
    <mergeCell ref="H173:I173"/>
    <mergeCell ref="H38:I38"/>
    <mergeCell ref="J38:K38"/>
    <mergeCell ref="L38:M38"/>
    <mergeCell ref="B200:C200"/>
    <mergeCell ref="D200:E200"/>
    <mergeCell ref="F200:G200"/>
    <mergeCell ref="H200:I200"/>
    <mergeCell ref="F48:G48"/>
    <mergeCell ref="B38:C38"/>
    <mergeCell ref="B48:C48"/>
    <mergeCell ref="B57:C57"/>
    <mergeCell ref="D38:E38"/>
    <mergeCell ref="D48:E48"/>
    <mergeCell ref="J64:K64"/>
    <mergeCell ref="B64:C64"/>
    <mergeCell ref="J48:K48"/>
    <mergeCell ref="H48:I48"/>
    <mergeCell ref="D57:E57"/>
    <mergeCell ref="F57:G57"/>
    <mergeCell ref="H57:I57"/>
    <mergeCell ref="J57:K57"/>
    <mergeCell ref="L57:M57"/>
    <mergeCell ref="D64:E64"/>
    <mergeCell ref="F64:G64"/>
    <mergeCell ref="H64:I64"/>
    <mergeCell ref="L173:M173"/>
    <mergeCell ref="J166:K166"/>
    <mergeCell ref="L137:M137"/>
    <mergeCell ref="L131:M131"/>
    <mergeCell ref="L133:M133"/>
    <mergeCell ref="L64:M64"/>
    <mergeCell ref="J153:K153"/>
    <mergeCell ref="L153:M153"/>
    <mergeCell ref="L166:M166"/>
    <mergeCell ref="L157:M157"/>
    <mergeCell ref="J186:K186"/>
    <mergeCell ref="L186:M186"/>
    <mergeCell ref="J181:K181"/>
    <mergeCell ref="L181:M181"/>
    <mergeCell ref="J174:K174"/>
    <mergeCell ref="B181:C181"/>
    <mergeCell ref="D181:E181"/>
    <mergeCell ref="F181:G181"/>
    <mergeCell ref="H181:I181"/>
    <mergeCell ref="B186:C186"/>
    <mergeCell ref="D186:E186"/>
    <mergeCell ref="F186:G186"/>
    <mergeCell ref="H186:I186"/>
    <mergeCell ref="B174:C174"/>
    <mergeCell ref="D174:E174"/>
    <mergeCell ref="F174:G174"/>
    <mergeCell ref="H174:I174"/>
    <mergeCell ref="H114:I114"/>
    <mergeCell ref="B122:C122"/>
    <mergeCell ref="D122:E122"/>
    <mergeCell ref="B145:C145"/>
    <mergeCell ref="D145:E145"/>
    <mergeCell ref="B149:C149"/>
    <mergeCell ref="L174:M174"/>
    <mergeCell ref="L114:M114"/>
    <mergeCell ref="J122:K122"/>
    <mergeCell ref="L122:M122"/>
    <mergeCell ref="J173:K173"/>
    <mergeCell ref="J145:K145"/>
    <mergeCell ref="L145:M145"/>
  </mergeCells>
  <phoneticPr fontId="10"/>
  <printOptions horizontalCentered="1" verticalCentered="1"/>
  <pageMargins left="0.46850393700787396" right="0.55118110236220474" top="0.59055118110236227" bottom="0.55118110236220474" header="0.51181102362204722" footer="0.51181102362204722"/>
  <pageSetup paperSize="0" scale="49" fitToHeight="5" orientation="landscape" horizontalDpi="4294967292" verticalDpi="4294967292"/>
  <headerFooter alignWithMargins="0"/>
  <rowBreaks count="2" manualBreakCount="2">
    <brk id="81" max="16383" man="1"/>
    <brk id="140"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44"/>
  <sheetViews>
    <sheetView topLeftCell="A37" zoomScaleNormal="85" workbookViewId="0">
      <selection sqref="A1:P1"/>
    </sheetView>
  </sheetViews>
  <sheetFormatPr defaultColWidth="10.6328125" defaultRowHeight="12.6" x14ac:dyDescent="0.2"/>
  <cols>
    <col min="1" max="1" width="4" style="2" customWidth="1"/>
    <col min="2" max="2" width="2.81640625" style="2" customWidth="1"/>
    <col min="3" max="3" width="14.36328125" style="2" customWidth="1"/>
    <col min="4" max="4" width="27.36328125" style="2" bestFit="1" customWidth="1"/>
    <col min="5" max="5" width="14.1796875" style="2" customWidth="1"/>
    <col min="6" max="6" width="6.6328125" style="2" customWidth="1"/>
    <col min="7" max="7" width="14.1796875" style="2" customWidth="1"/>
    <col min="8" max="8" width="6.6328125" style="2" customWidth="1"/>
    <col min="9" max="9" width="14.1796875" style="2" customWidth="1"/>
    <col min="10" max="10" width="6.6328125" style="2" customWidth="1"/>
    <col min="11" max="11" width="14.1796875" style="2" customWidth="1"/>
    <col min="12" max="12" width="6.6328125" style="2" customWidth="1"/>
    <col min="13" max="13" width="14.1796875" style="2" customWidth="1"/>
    <col min="14" max="14" width="6.6328125" style="2" customWidth="1"/>
    <col min="15" max="15" width="15.81640625" style="2" customWidth="1"/>
    <col min="16" max="16" width="9.36328125" style="2" customWidth="1"/>
    <col min="17" max="17" width="5.6328125" style="2" customWidth="1"/>
    <col min="18" max="18" width="26.81640625" style="2" bestFit="1" customWidth="1"/>
    <col min="19" max="20" width="11.453125" style="2" bestFit="1" customWidth="1"/>
    <col min="21" max="23" width="11.1796875" style="2" bestFit="1" customWidth="1"/>
    <col min="24" max="24" width="12.1796875" style="2" bestFit="1" customWidth="1"/>
    <col min="25" max="16384" width="10.6328125" style="2"/>
  </cols>
  <sheetData>
    <row r="1" spans="1:24" ht="36" customHeight="1" x14ac:dyDescent="0.2">
      <c r="A1" s="719" t="s">
        <v>392</v>
      </c>
      <c r="B1" s="720"/>
      <c r="C1" s="720"/>
      <c r="D1" s="720"/>
      <c r="E1" s="720"/>
      <c r="F1" s="720"/>
      <c r="G1" s="720"/>
      <c r="H1" s="720"/>
      <c r="I1" s="720"/>
      <c r="J1" s="720"/>
      <c r="K1" s="720"/>
      <c r="L1" s="720"/>
      <c r="M1" s="720"/>
      <c r="N1" s="720"/>
      <c r="O1" s="720"/>
      <c r="P1" s="720"/>
    </row>
    <row r="2" spans="1:24" ht="6" customHeight="1" x14ac:dyDescent="0.2"/>
    <row r="3" spans="1:24" ht="25.05" customHeight="1" x14ac:dyDescent="0.2">
      <c r="A3" s="703" t="s">
        <v>159</v>
      </c>
      <c r="B3" s="704"/>
      <c r="C3" s="704"/>
      <c r="D3" s="705"/>
      <c r="E3" s="709">
        <v>2012</v>
      </c>
      <c r="F3" s="710"/>
      <c r="G3" s="709">
        <f>E3+1</f>
        <v>2013</v>
      </c>
      <c r="H3" s="710"/>
      <c r="I3" s="709">
        <f>G3+1</f>
        <v>2014</v>
      </c>
      <c r="J3" s="710"/>
      <c r="K3" s="709">
        <f>I3+1</f>
        <v>2015</v>
      </c>
      <c r="L3" s="710"/>
      <c r="M3" s="709">
        <f>K3+1</f>
        <v>2016</v>
      </c>
      <c r="N3" s="710"/>
      <c r="O3" s="556" t="s">
        <v>498</v>
      </c>
      <c r="P3" s="556"/>
      <c r="R3"/>
      <c r="S3"/>
      <c r="T3"/>
      <c r="U3"/>
      <c r="V3"/>
      <c r="W3"/>
      <c r="X3"/>
    </row>
    <row r="4" spans="1:24" ht="13.05" customHeight="1" x14ac:dyDescent="0.2">
      <c r="A4" s="706"/>
      <c r="B4" s="707"/>
      <c r="C4" s="707"/>
      <c r="D4" s="708"/>
      <c r="E4" s="114" t="s">
        <v>412</v>
      </c>
      <c r="F4" s="114" t="s">
        <v>193</v>
      </c>
      <c r="G4" s="114" t="s">
        <v>412</v>
      </c>
      <c r="H4" s="114" t="s">
        <v>193</v>
      </c>
      <c r="I4" s="114" t="s">
        <v>412</v>
      </c>
      <c r="J4" s="114" t="s">
        <v>193</v>
      </c>
      <c r="K4" s="114" t="s">
        <v>412</v>
      </c>
      <c r="L4" s="114" t="s">
        <v>193</v>
      </c>
      <c r="M4" s="114" t="s">
        <v>412</v>
      </c>
      <c r="N4" s="114" t="s">
        <v>193</v>
      </c>
      <c r="O4" s="114" t="s">
        <v>412</v>
      </c>
      <c r="P4" s="114" t="s">
        <v>193</v>
      </c>
      <c r="R4"/>
      <c r="S4"/>
      <c r="T4"/>
      <c r="U4"/>
      <c r="V4"/>
      <c r="W4"/>
      <c r="X4"/>
    </row>
    <row r="5" spans="1:24" ht="6" customHeight="1" x14ac:dyDescent="0.2">
      <c r="A5" s="3"/>
      <c r="B5" s="3"/>
      <c r="C5" s="1"/>
      <c r="D5" s="1"/>
      <c r="E5" s="4"/>
      <c r="F5" s="4"/>
      <c r="G5" s="4"/>
      <c r="H5" s="4"/>
      <c r="I5" s="4"/>
      <c r="J5" s="4"/>
      <c r="K5" s="4"/>
      <c r="L5" s="4"/>
      <c r="M5" s="4"/>
      <c r="N5" s="4"/>
      <c r="O5" s="4"/>
      <c r="P5" s="4"/>
      <c r="R5"/>
      <c r="S5"/>
      <c r="T5"/>
      <c r="U5"/>
      <c r="V5"/>
      <c r="W5"/>
      <c r="X5"/>
    </row>
    <row r="6" spans="1:24" ht="13.05" customHeight="1" x14ac:dyDescent="0.2">
      <c r="A6" s="711" t="s">
        <v>278</v>
      </c>
      <c r="B6" s="713" t="s">
        <v>77</v>
      </c>
      <c r="C6" s="688" t="s">
        <v>489</v>
      </c>
      <c r="D6" s="5" t="s">
        <v>54</v>
      </c>
      <c r="E6" s="14">
        <f>Calculations!$H3</f>
        <v>50</v>
      </c>
      <c r="F6" s="135">
        <f>E6/E8</f>
        <v>0.625</v>
      </c>
      <c r="G6" s="14">
        <f>Calculations!$M3</f>
        <v>200</v>
      </c>
      <c r="H6" s="135">
        <f>G6/G8</f>
        <v>0.45454545454545453</v>
      </c>
      <c r="I6" s="14">
        <f>Calculations!$R3</f>
        <v>260</v>
      </c>
      <c r="J6" s="135">
        <f>I6/I8</f>
        <v>0.38805970149253732</v>
      </c>
      <c r="K6" s="14">
        <f>Calculations!$W3</f>
        <v>270</v>
      </c>
      <c r="L6" s="135">
        <f>K6/K8</f>
        <v>0.33333333333333331</v>
      </c>
      <c r="M6" s="14">
        <f>Calculations!$AB3</f>
        <v>330</v>
      </c>
      <c r="N6" s="135">
        <f>M6/M8</f>
        <v>0.3707865168539326</v>
      </c>
      <c r="O6" s="14">
        <f>E6+G6+I6+K6+M6</f>
        <v>1110</v>
      </c>
      <c r="P6" s="135">
        <f>O6/O8</f>
        <v>0.38408304498269896</v>
      </c>
      <c r="R6"/>
      <c r="S6"/>
      <c r="T6"/>
      <c r="U6"/>
      <c r="V6"/>
      <c r="W6"/>
      <c r="X6"/>
    </row>
    <row r="7" spans="1:24" ht="13.05" customHeight="1" x14ac:dyDescent="0.2">
      <c r="A7" s="712"/>
      <c r="B7" s="714"/>
      <c r="C7" s="688"/>
      <c r="D7" s="5" t="s">
        <v>176</v>
      </c>
      <c r="E7" s="14">
        <f>Calculations!$H8</f>
        <v>30</v>
      </c>
      <c r="F7" s="135">
        <f>E7/E8</f>
        <v>0.375</v>
      </c>
      <c r="G7" s="14">
        <f>Calculations!$M8</f>
        <v>240</v>
      </c>
      <c r="H7" s="135">
        <f>G7/G8</f>
        <v>0.54545454545454541</v>
      </c>
      <c r="I7" s="14">
        <f>Calculations!$R8</f>
        <v>410</v>
      </c>
      <c r="J7" s="135">
        <f>I7/I8</f>
        <v>0.61194029850746268</v>
      </c>
      <c r="K7" s="14">
        <f>Calculations!$W8</f>
        <v>540</v>
      </c>
      <c r="L7" s="135">
        <f>K7/K8</f>
        <v>0.66666666666666663</v>
      </c>
      <c r="M7" s="14">
        <f>Calculations!$AB8</f>
        <v>560</v>
      </c>
      <c r="N7" s="135">
        <f>M7/M8</f>
        <v>0.6292134831460674</v>
      </c>
      <c r="O7" s="14">
        <f>E7+G7+I7+K7+M7</f>
        <v>1780</v>
      </c>
      <c r="P7" s="135">
        <f>O7/O8</f>
        <v>0.61591695501730104</v>
      </c>
      <c r="R7"/>
      <c r="S7"/>
      <c r="T7"/>
      <c r="U7"/>
      <c r="V7"/>
      <c r="W7"/>
      <c r="X7"/>
    </row>
    <row r="8" spans="1:24" ht="18" customHeight="1" x14ac:dyDescent="0.2">
      <c r="A8" s="712"/>
      <c r="B8" s="714"/>
      <c r="C8" s="688"/>
      <c r="D8" s="65" t="s">
        <v>428</v>
      </c>
      <c r="E8" s="10">
        <f>SUM(E6:E7)</f>
        <v>80</v>
      </c>
      <c r="F8" s="135">
        <f>E8/E$20</f>
        <v>0.33333333333333331</v>
      </c>
      <c r="G8" s="10">
        <f>SUM(G6:G7)</f>
        <v>440</v>
      </c>
      <c r="H8" s="135">
        <f>G8/G$20</f>
        <v>0.69841269841269837</v>
      </c>
      <c r="I8" s="10">
        <f>SUM(I6:I7)</f>
        <v>670</v>
      </c>
      <c r="J8" s="135">
        <f>I8/I$20</f>
        <v>0.78823529411764703</v>
      </c>
      <c r="K8" s="10">
        <f>SUM(K6:K7)</f>
        <v>810</v>
      </c>
      <c r="L8" s="135">
        <f>K8/K$20</f>
        <v>0.9101123595505618</v>
      </c>
      <c r="M8" s="10">
        <f>SUM(M6:M7)</f>
        <v>890</v>
      </c>
      <c r="N8" s="135">
        <f>M8/M$20</f>
        <v>1</v>
      </c>
      <c r="O8" s="137">
        <f>SUM(O6:O7)</f>
        <v>2890</v>
      </c>
      <c r="P8" s="135">
        <f>O8/O$20</f>
        <v>0.82571428571428573</v>
      </c>
      <c r="R8"/>
      <c r="S8"/>
      <c r="T8"/>
      <c r="U8"/>
      <c r="V8"/>
      <c r="W8"/>
      <c r="X8"/>
    </row>
    <row r="9" spans="1:24" ht="13.95" customHeight="1" x14ac:dyDescent="0.2">
      <c r="A9" s="712"/>
      <c r="B9" s="714"/>
      <c r="C9" s="688" t="s">
        <v>364</v>
      </c>
      <c r="D9" s="5" t="str">
        <f>D6</f>
        <v>Liftoil</v>
      </c>
      <c r="E9" s="133">
        <f>Calculations!$H66</f>
        <v>1073220</v>
      </c>
      <c r="F9" s="135">
        <f>E9/E11</f>
        <v>0.78491172101779183</v>
      </c>
      <c r="G9" s="133">
        <f>Calculations!$M66</f>
        <v>7661700</v>
      </c>
      <c r="H9" s="135">
        <f>G9/G11</f>
        <v>0.51200820528283242</v>
      </c>
      <c r="I9" s="133">
        <f>Calculations!$R66</f>
        <v>19548390</v>
      </c>
      <c r="J9" s="135">
        <f>I9/I11</f>
        <v>0.44532208596294331</v>
      </c>
      <c r="K9" s="133">
        <f>Calculations!$W66</f>
        <v>33238314</v>
      </c>
      <c r="L9" s="135">
        <f>K9/K11</f>
        <v>0.40488401129142843</v>
      </c>
      <c r="M9" s="133">
        <f>Calculations!$AB66</f>
        <v>48752964</v>
      </c>
      <c r="N9" s="135">
        <f>M9/M11</f>
        <v>0.38661463078739405</v>
      </c>
      <c r="O9" s="125">
        <f>E9+G9+I9+K9+M9</f>
        <v>110274588</v>
      </c>
      <c r="P9" s="135">
        <f>O9/O11</f>
        <v>0.4108221268256958</v>
      </c>
      <c r="R9"/>
      <c r="S9"/>
      <c r="T9"/>
      <c r="U9"/>
      <c r="V9"/>
      <c r="W9"/>
      <c r="X9"/>
    </row>
    <row r="10" spans="1:24" ht="13.95" customHeight="1" x14ac:dyDescent="0.2">
      <c r="A10" s="712"/>
      <c r="B10" s="714"/>
      <c r="C10" s="688"/>
      <c r="D10" s="5" t="str">
        <f>D7</f>
        <v>Optimoil</v>
      </c>
      <c r="E10" s="133">
        <f>Calculations!$H71</f>
        <v>294093</v>
      </c>
      <c r="F10" s="135">
        <f>E10/E11</f>
        <v>0.21508827898220817</v>
      </c>
      <c r="G10" s="133">
        <f>Calculations!$M71</f>
        <v>7302318</v>
      </c>
      <c r="H10" s="135">
        <f>G10/G11</f>
        <v>0.48799179471716753</v>
      </c>
      <c r="I10" s="133">
        <f>Calculations!$R71</f>
        <v>24348804</v>
      </c>
      <c r="J10" s="135">
        <f>I10/I11</f>
        <v>0.55467791403705669</v>
      </c>
      <c r="K10" s="133">
        <f>Calculations!$W71</f>
        <v>48855108</v>
      </c>
      <c r="L10" s="135">
        <f>K10/K11</f>
        <v>0.59511598870857152</v>
      </c>
      <c r="M10" s="133">
        <f>Calculations!$AB71</f>
        <v>77349258</v>
      </c>
      <c r="N10" s="135">
        <f>M10/M11</f>
        <v>0.61338536921260589</v>
      </c>
      <c r="O10" s="125">
        <f>E10+G10+I10+K10+M10</f>
        <v>158149581</v>
      </c>
      <c r="P10" s="135">
        <f>O10/O11</f>
        <v>0.58917787317430426</v>
      </c>
      <c r="R10"/>
      <c r="S10"/>
      <c r="T10"/>
      <c r="U10"/>
      <c r="V10"/>
      <c r="W10"/>
      <c r="X10"/>
    </row>
    <row r="11" spans="1:24" ht="18" customHeight="1" x14ac:dyDescent="0.2">
      <c r="A11" s="712"/>
      <c r="B11" s="714"/>
      <c r="C11" s="688"/>
      <c r="D11" s="684" t="s">
        <v>322</v>
      </c>
      <c r="E11" s="134">
        <f>SUM(E9:E10)</f>
        <v>1367313</v>
      </c>
      <c r="F11" s="172">
        <f>E11/E21</f>
        <v>0.21517195731600516</v>
      </c>
      <c r="G11" s="134">
        <f>SUM(G9:G10)</f>
        <v>14964018</v>
      </c>
      <c r="H11" s="172">
        <f>G11/G21</f>
        <v>0.69396838134713179</v>
      </c>
      <c r="I11" s="134">
        <f>SUM(I9:I10)</f>
        <v>43897194</v>
      </c>
      <c r="J11" s="172">
        <f>I11/I21</f>
        <v>0.86198942124098121</v>
      </c>
      <c r="K11" s="134">
        <f>SUM(K9:K10)</f>
        <v>82093422</v>
      </c>
      <c r="L11" s="172">
        <f>K11/K21</f>
        <v>0.94711425542859362</v>
      </c>
      <c r="M11" s="134">
        <f>SUM(M9:M10)</f>
        <v>126102222</v>
      </c>
      <c r="N11" s="172">
        <f>M11/M21</f>
        <v>0.9814836754899483</v>
      </c>
      <c r="O11" s="686">
        <f>SUM(O9:O10)</f>
        <v>268424169</v>
      </c>
      <c r="P11" s="677">
        <f>O11/O21</f>
        <v>0.91300250509887582</v>
      </c>
      <c r="U11" s="116"/>
    </row>
    <row r="12" spans="1:24" ht="13.95" customHeight="1" x14ac:dyDescent="0.2">
      <c r="A12" s="712"/>
      <c r="B12" s="715"/>
      <c r="C12" s="688"/>
      <c r="D12" s="685"/>
      <c r="E12" s="298">
        <f>E11</f>
        <v>1367313</v>
      </c>
      <c r="F12" s="182" t="s">
        <v>228</v>
      </c>
      <c r="G12" s="298">
        <f>E12+G11</f>
        <v>16331331</v>
      </c>
      <c r="H12" s="182">
        <f>(G11-E11)/E11</f>
        <v>9.9441057022057127</v>
      </c>
      <c r="I12" s="298">
        <f>G12+I11</f>
        <v>60228525</v>
      </c>
      <c r="J12" s="182">
        <f>(I11-G11)/G11</f>
        <v>1.9335165194268009</v>
      </c>
      <c r="K12" s="298">
        <f>I12+K11</f>
        <v>142321947</v>
      </c>
      <c r="L12" s="182">
        <f>(K11-I11)/I11</f>
        <v>0.87012914766260463</v>
      </c>
      <c r="M12" s="298">
        <f>K12+M11</f>
        <v>268424169</v>
      </c>
      <c r="N12" s="182">
        <f>(M11-K11)/K11</f>
        <v>0.53608192870800297</v>
      </c>
      <c r="O12" s="687"/>
      <c r="P12" s="678"/>
    </row>
    <row r="13" spans="1:24" ht="13.05" customHeight="1" x14ac:dyDescent="0.2">
      <c r="A13" s="712"/>
      <c r="B13" s="713" t="s">
        <v>169</v>
      </c>
      <c r="C13" s="688" t="s">
        <v>436</v>
      </c>
      <c r="D13" s="5" t="str">
        <f>D6</f>
        <v>Liftoil</v>
      </c>
      <c r="E13" s="14">
        <f>Calculations!$H160</f>
        <v>160</v>
      </c>
      <c r="F13" s="135">
        <f>E13/E15</f>
        <v>1</v>
      </c>
      <c r="G13" s="14">
        <f>Calculations!$M160</f>
        <v>190</v>
      </c>
      <c r="H13" s="135">
        <f>G13/G15</f>
        <v>1</v>
      </c>
      <c r="I13" s="14">
        <f>Calculations!$R160</f>
        <v>180</v>
      </c>
      <c r="J13" s="135">
        <f>I13/I15</f>
        <v>1</v>
      </c>
      <c r="K13" s="14">
        <f>Calculations!$W160</f>
        <v>80</v>
      </c>
      <c r="L13" s="135">
        <f>K13/K15</f>
        <v>1</v>
      </c>
      <c r="M13" s="14">
        <f>Calculations!$AB160</f>
        <v>0</v>
      </c>
      <c r="N13" s="135" t="e">
        <f>M13/M15</f>
        <v>#DIV/0!</v>
      </c>
      <c r="O13" s="14">
        <f>E13+G13+I13+K13+M13</f>
        <v>610</v>
      </c>
      <c r="P13" s="135">
        <f>O13/O15</f>
        <v>1</v>
      </c>
      <c r="R13"/>
      <c r="S13"/>
      <c r="T13"/>
      <c r="U13"/>
      <c r="V13"/>
      <c r="W13"/>
      <c r="X13"/>
    </row>
    <row r="14" spans="1:24" ht="13.05" customHeight="1" x14ac:dyDescent="0.2">
      <c r="A14" s="712"/>
      <c r="B14" s="714"/>
      <c r="C14" s="688"/>
      <c r="D14" s="5" t="str">
        <f>D7</f>
        <v>Optimoil</v>
      </c>
      <c r="E14" s="14">
        <f>Calculations!$H165</f>
        <v>0</v>
      </c>
      <c r="F14" s="135">
        <f>E14/E15</f>
        <v>0</v>
      </c>
      <c r="G14" s="14">
        <f>Calculations!$M165</f>
        <v>0</v>
      </c>
      <c r="H14" s="135">
        <f>G14/G15</f>
        <v>0</v>
      </c>
      <c r="I14" s="14">
        <f>Calculations!$R165</f>
        <v>0</v>
      </c>
      <c r="J14" s="135">
        <f>I14/I15</f>
        <v>0</v>
      </c>
      <c r="K14" s="14">
        <f>Calculations!$W165</f>
        <v>0</v>
      </c>
      <c r="L14" s="135">
        <f>K14/K15</f>
        <v>0</v>
      </c>
      <c r="M14" s="14">
        <f>Calculations!$AB165</f>
        <v>0</v>
      </c>
      <c r="N14" s="135" t="e">
        <f>M14/M15</f>
        <v>#DIV/0!</v>
      </c>
      <c r="O14" s="14">
        <f>E14+G14+I14+K14+M14</f>
        <v>0</v>
      </c>
      <c r="P14" s="135">
        <f>O14/O15</f>
        <v>0</v>
      </c>
      <c r="R14"/>
      <c r="S14"/>
      <c r="T14"/>
      <c r="U14"/>
      <c r="V14"/>
      <c r="W14"/>
      <c r="X14"/>
    </row>
    <row r="15" spans="1:24" ht="18" customHeight="1" x14ac:dyDescent="0.2">
      <c r="A15" s="712"/>
      <c r="B15" s="714"/>
      <c r="C15" s="688"/>
      <c r="D15" s="65" t="s">
        <v>427</v>
      </c>
      <c r="E15" s="10">
        <f>SUM(E13:E14)</f>
        <v>160</v>
      </c>
      <c r="F15" s="135">
        <f>E15/E$20</f>
        <v>0.66666666666666663</v>
      </c>
      <c r="G15" s="10">
        <f>SUM(G13:G14)</f>
        <v>190</v>
      </c>
      <c r="H15" s="135">
        <f>G15/G$20</f>
        <v>0.30158730158730157</v>
      </c>
      <c r="I15" s="10">
        <f>SUM(I13:I14)</f>
        <v>180</v>
      </c>
      <c r="J15" s="135">
        <f>I15/I$20</f>
        <v>0.21176470588235294</v>
      </c>
      <c r="K15" s="10">
        <f>SUM(K13:K14)</f>
        <v>80</v>
      </c>
      <c r="L15" s="135">
        <f>K15/K$20</f>
        <v>8.98876404494382E-2</v>
      </c>
      <c r="M15" s="10">
        <f>SUM(M13:M14)</f>
        <v>0</v>
      </c>
      <c r="N15" s="135">
        <f>M15/M$20</f>
        <v>0</v>
      </c>
      <c r="O15" s="137">
        <f>SUM(O13:O14)</f>
        <v>610</v>
      </c>
      <c r="P15" s="135">
        <f>O15/O$20</f>
        <v>0.17428571428571429</v>
      </c>
      <c r="R15"/>
      <c r="S15"/>
      <c r="T15"/>
      <c r="U15"/>
      <c r="V15"/>
      <c r="W15"/>
      <c r="X15"/>
    </row>
    <row r="16" spans="1:24" ht="13.95" customHeight="1" x14ac:dyDescent="0.2">
      <c r="A16" s="712"/>
      <c r="B16" s="714"/>
      <c r="C16" s="688" t="s">
        <v>373</v>
      </c>
      <c r="D16" s="5" t="str">
        <f>D13</f>
        <v>Liftoil</v>
      </c>
      <c r="E16" s="133">
        <f>Calculations!$H195</f>
        <v>4987200</v>
      </c>
      <c r="F16" s="135">
        <f>E16/E18</f>
        <v>1</v>
      </c>
      <c r="G16" s="133">
        <f>Calculations!$M195</f>
        <v>6598950</v>
      </c>
      <c r="H16" s="135">
        <f>G16/G18</f>
        <v>1</v>
      </c>
      <c r="I16" s="133">
        <f>Calculations!$R195</f>
        <v>7028250</v>
      </c>
      <c r="J16" s="135">
        <f>I16/I18</f>
        <v>1</v>
      </c>
      <c r="K16" s="133">
        <f>Calculations!$W195</f>
        <v>4584000</v>
      </c>
      <c r="L16" s="135">
        <f>K16/K18</f>
        <v>1</v>
      </c>
      <c r="M16" s="133">
        <f>Calculations!$AB195</f>
        <v>2379000</v>
      </c>
      <c r="N16" s="135">
        <f>M16/M18</f>
        <v>1</v>
      </c>
      <c r="O16" s="125">
        <f>E16+G16+I16+K16+M16</f>
        <v>25577400</v>
      </c>
      <c r="P16" s="135">
        <f>O16/O18</f>
        <v>1</v>
      </c>
      <c r="R16"/>
      <c r="S16"/>
      <c r="T16"/>
      <c r="U16"/>
      <c r="V16"/>
      <c r="W16"/>
      <c r="X16"/>
    </row>
    <row r="17" spans="1:24" ht="13.95" customHeight="1" x14ac:dyDescent="0.2">
      <c r="A17" s="712"/>
      <c r="B17" s="714"/>
      <c r="C17" s="688"/>
      <c r="D17" s="5" t="str">
        <f>D14</f>
        <v>Optimoil</v>
      </c>
      <c r="E17" s="133">
        <f>Calculations!$H200</f>
        <v>0</v>
      </c>
      <c r="F17" s="135">
        <f>E17/E18</f>
        <v>0</v>
      </c>
      <c r="G17" s="133">
        <f>Calculations!$M200</f>
        <v>0</v>
      </c>
      <c r="H17" s="135">
        <f>G17/G18</f>
        <v>0</v>
      </c>
      <c r="I17" s="133">
        <f>Calculations!$R200</f>
        <v>0</v>
      </c>
      <c r="J17" s="135">
        <f>I17/I18</f>
        <v>0</v>
      </c>
      <c r="K17" s="133">
        <f>Calculations!$W200</f>
        <v>0</v>
      </c>
      <c r="L17" s="135">
        <f>K17/K18</f>
        <v>0</v>
      </c>
      <c r="M17" s="133">
        <f>Calculations!$AB200</f>
        <v>0</v>
      </c>
      <c r="N17" s="135">
        <f>M17/M18</f>
        <v>0</v>
      </c>
      <c r="O17" s="125">
        <f>E17+G17+I17+K17+M17</f>
        <v>0</v>
      </c>
      <c r="P17" s="135">
        <f>O17/O18</f>
        <v>0</v>
      </c>
      <c r="R17"/>
      <c r="S17"/>
      <c r="T17"/>
      <c r="U17"/>
      <c r="V17"/>
      <c r="W17"/>
      <c r="X17"/>
    </row>
    <row r="18" spans="1:24" ht="18" customHeight="1" x14ac:dyDescent="0.2">
      <c r="A18" s="712"/>
      <c r="B18" s="714"/>
      <c r="C18" s="688"/>
      <c r="D18" s="684" t="s">
        <v>339</v>
      </c>
      <c r="E18" s="134">
        <f>SUM(E16:E17)</f>
        <v>4987200</v>
      </c>
      <c r="F18" s="135">
        <f>E18/E21</f>
        <v>0.78482804268399486</v>
      </c>
      <c r="G18" s="134">
        <f>SUM(G16:G17)</f>
        <v>6598950</v>
      </c>
      <c r="H18" s="135">
        <f>G18/G21</f>
        <v>0.30603161865286821</v>
      </c>
      <c r="I18" s="134">
        <f>SUM(I16:I17)</f>
        <v>7028250</v>
      </c>
      <c r="J18" s="135">
        <f>I18/I21</f>
        <v>0.13801057875901876</v>
      </c>
      <c r="K18" s="134">
        <f>SUM(K16:K17)</f>
        <v>4584000</v>
      </c>
      <c r="L18" s="135">
        <f>K18/K21</f>
        <v>5.2885744571406379E-2</v>
      </c>
      <c r="M18" s="134">
        <f>SUM(M16:M17)</f>
        <v>2379000</v>
      </c>
      <c r="N18" s="135">
        <f>M18/M21</f>
        <v>1.8516324510051748E-2</v>
      </c>
      <c r="O18" s="686">
        <f>SUM(O16:O17)</f>
        <v>25577400</v>
      </c>
      <c r="P18" s="677">
        <f>O18/O21</f>
        <v>8.6997494901124156E-2</v>
      </c>
      <c r="U18" s="116"/>
    </row>
    <row r="19" spans="1:24" ht="13.05" customHeight="1" x14ac:dyDescent="0.2">
      <c r="A19" s="712"/>
      <c r="B19" s="715"/>
      <c r="C19" s="688"/>
      <c r="D19" s="685"/>
      <c r="E19" s="298">
        <f>E18</f>
        <v>4987200</v>
      </c>
      <c r="F19" s="182" t="s">
        <v>228</v>
      </c>
      <c r="G19" s="298">
        <f>E19+G18</f>
        <v>11586150</v>
      </c>
      <c r="H19" s="182">
        <f>(G18-E18)/E18</f>
        <v>0.32317733397497594</v>
      </c>
      <c r="I19" s="298">
        <f>G19+I18</f>
        <v>18614400</v>
      </c>
      <c r="J19" s="182">
        <f>(I18-G18)/G18</f>
        <v>6.5055804332507447E-2</v>
      </c>
      <c r="K19" s="298">
        <f>I19+K18</f>
        <v>23198400</v>
      </c>
      <c r="L19" s="182">
        <f>(K18-I18)/I18</f>
        <v>-0.34777505068829367</v>
      </c>
      <c r="M19" s="298">
        <f>K19+M18</f>
        <v>25577400</v>
      </c>
      <c r="N19" s="182">
        <f>(M18-K18)/K18</f>
        <v>-0.48102094240837695</v>
      </c>
      <c r="O19" s="687"/>
      <c r="P19" s="678"/>
      <c r="U19" s="116"/>
    </row>
    <row r="20" spans="1:24" ht="21" customHeight="1" x14ac:dyDescent="0.2">
      <c r="A20" s="712"/>
      <c r="B20" s="721" t="s">
        <v>338</v>
      </c>
      <c r="C20" s="722"/>
      <c r="D20" s="723"/>
      <c r="E20" s="137">
        <f>E8+E15</f>
        <v>240</v>
      </c>
      <c r="F20" s="135">
        <f>E20/E20</f>
        <v>1</v>
      </c>
      <c r="G20" s="137">
        <f>G8+G15</f>
        <v>630</v>
      </c>
      <c r="H20" s="135">
        <f>G20/G20</f>
        <v>1</v>
      </c>
      <c r="I20" s="137">
        <f>I8+I15</f>
        <v>850</v>
      </c>
      <c r="J20" s="135">
        <f>I20/I20</f>
        <v>1</v>
      </c>
      <c r="K20" s="137">
        <f>K8+K15</f>
        <v>890</v>
      </c>
      <c r="L20" s="135">
        <f>K20/K20</f>
        <v>1</v>
      </c>
      <c r="M20" s="137">
        <f>M8+M15</f>
        <v>890</v>
      </c>
      <c r="N20" s="135">
        <f>M20/M20</f>
        <v>1</v>
      </c>
      <c r="O20" s="137">
        <f>O8+O15</f>
        <v>3500</v>
      </c>
      <c r="P20" s="135">
        <f>O20/O20</f>
        <v>1</v>
      </c>
      <c r="U20" s="116"/>
    </row>
    <row r="21" spans="1:24" ht="18" customHeight="1" x14ac:dyDescent="0.2">
      <c r="A21" s="712"/>
      <c r="B21" s="724"/>
      <c r="C21" s="725"/>
      <c r="D21" s="726"/>
      <c r="E21" s="12">
        <f>E11+E18</f>
        <v>6354513</v>
      </c>
      <c r="F21" s="679" t="s">
        <v>228</v>
      </c>
      <c r="G21" s="12">
        <f>G11+G18</f>
        <v>21562968</v>
      </c>
      <c r="H21" s="679">
        <f>(G21-E21)/E21</f>
        <v>2.3933313221642636</v>
      </c>
      <c r="I21" s="12">
        <f>I11+I18</f>
        <v>50925444</v>
      </c>
      <c r="J21" s="679">
        <f>(I21-G21)/G21</f>
        <v>1.3617084623971987</v>
      </c>
      <c r="K21" s="12">
        <f>K11+K18</f>
        <v>86677422</v>
      </c>
      <c r="L21" s="679">
        <f>(K21-I21)/I21</f>
        <v>0.70204548437515835</v>
      </c>
      <c r="M21" s="12">
        <f>M11+M18</f>
        <v>128481222</v>
      </c>
      <c r="N21" s="679">
        <f>(M21-K21)/K21</f>
        <v>0.48229168606329803</v>
      </c>
      <c r="O21" s="681">
        <f>O11+O18</f>
        <v>294001569</v>
      </c>
      <c r="P21" s="677">
        <f>O21/O21</f>
        <v>1</v>
      </c>
    </row>
    <row r="22" spans="1:24" ht="13.05" customHeight="1" x14ac:dyDescent="0.2">
      <c r="A22" s="712"/>
      <c r="B22" s="727"/>
      <c r="C22" s="728"/>
      <c r="D22" s="729"/>
      <c r="E22" s="298">
        <f>E21</f>
        <v>6354513</v>
      </c>
      <c r="F22" s="545"/>
      <c r="G22" s="298">
        <f>E22+G21</f>
        <v>27917481</v>
      </c>
      <c r="H22" s="680"/>
      <c r="I22" s="298">
        <f>G22+I21</f>
        <v>78842925</v>
      </c>
      <c r="J22" s="680"/>
      <c r="K22" s="298">
        <f>I22+K21</f>
        <v>165520347</v>
      </c>
      <c r="L22" s="680"/>
      <c r="M22" s="298">
        <f>K22+M21</f>
        <v>294001569</v>
      </c>
      <c r="N22" s="680"/>
      <c r="O22" s="682"/>
      <c r="P22" s="678"/>
    </row>
    <row r="23" spans="1:24" customFormat="1" ht="6" customHeight="1" x14ac:dyDescent="0.2"/>
    <row r="24" spans="1:24" ht="13.05" customHeight="1" x14ac:dyDescent="0.2">
      <c r="A24" s="671" t="s">
        <v>258</v>
      </c>
      <c r="B24" s="672"/>
      <c r="C24" s="683" t="s">
        <v>166</v>
      </c>
      <c r="D24" s="5" t="s">
        <v>483</v>
      </c>
      <c r="E24" s="133">
        <f>Calculations!$H79+Calculations!$H208</f>
        <v>348333.79200000002</v>
      </c>
      <c r="F24" s="135">
        <f t="shared" ref="F24:F31" si="0">E24/E$32</f>
        <v>7.0544047996199663E-2</v>
      </c>
      <c r="G24" s="133">
        <f>Calculations!$M79+Calculations!$M208</f>
        <v>1451824.5119999999</v>
      </c>
      <c r="H24" s="135">
        <f t="shared" ref="H24:H31" si="1">G24/G$32</f>
        <v>0.12240361019528627</v>
      </c>
      <c r="I24" s="133">
        <f>Calculations!$R79+Calculations!$R208</f>
        <v>3666115.2960000001</v>
      </c>
      <c r="J24" s="135">
        <f t="shared" ref="J24:J31" si="2">I24/I$32</f>
        <v>0.17110099933200504</v>
      </c>
      <c r="K24" s="133">
        <f>Calculations!$W79+Calculations!$W208</f>
        <v>6452060.4479999989</v>
      </c>
      <c r="L24" s="135">
        <f t="shared" ref="L24:L31" si="3">K24/K$32</f>
        <v>0.20660641022215509</v>
      </c>
      <c r="M24" s="133">
        <f>Calculations!$AB79+Calculations!$AB208</f>
        <v>9711279.6479999982</v>
      </c>
      <c r="N24" s="135">
        <f t="shared" ref="N24:N31" si="4">M24/M$32</f>
        <v>0.23494945350763749</v>
      </c>
      <c r="O24" s="125">
        <f t="shared" ref="O24:O31" si="5">E24+G24+I24+K24+M24</f>
        <v>21629613.695999995</v>
      </c>
      <c r="P24" s="135">
        <f t="shared" ref="P24:P31" si="6">O24/O$32</f>
        <v>0.19523490981149999</v>
      </c>
      <c r="R24"/>
      <c r="S24"/>
      <c r="T24"/>
      <c r="U24"/>
    </row>
    <row r="25" spans="1:24" ht="13.05" customHeight="1" x14ac:dyDescent="0.2">
      <c r="A25" s="673"/>
      <c r="B25" s="674"/>
      <c r="C25" s="683"/>
      <c r="D25" s="5" t="s">
        <v>310</v>
      </c>
      <c r="E25" s="133">
        <f>Calculations!$H93+Calculations!$H215</f>
        <v>3795200</v>
      </c>
      <c r="F25" s="135">
        <f t="shared" si="0"/>
        <v>0.76859833040595993</v>
      </c>
      <c r="G25" s="133">
        <f>Calculations!$M93+Calculations!$M215</f>
        <v>5408000</v>
      </c>
      <c r="H25" s="135">
        <f t="shared" si="1"/>
        <v>0.45594954380830033</v>
      </c>
      <c r="I25" s="133">
        <f>Calculations!$R93+Calculations!$R215</f>
        <v>5472000</v>
      </c>
      <c r="J25" s="135">
        <f t="shared" si="2"/>
        <v>0.25538331251236557</v>
      </c>
      <c r="K25" s="133">
        <f>Calculations!$W93+Calculations!$W215</f>
        <v>4033999.9999999991</v>
      </c>
      <c r="L25" s="135">
        <f t="shared" si="3"/>
        <v>0.12917582926466928</v>
      </c>
      <c r="M25" s="133">
        <f>Calculations!$AB93+Calculations!$AB215</f>
        <v>3025999.9999999991</v>
      </c>
      <c r="N25" s="135">
        <f t="shared" si="4"/>
        <v>7.3209409272909753E-2</v>
      </c>
      <c r="O25" s="125">
        <f t="shared" si="5"/>
        <v>21735200</v>
      </c>
      <c r="P25" s="135">
        <f t="shared" si="6"/>
        <v>0.19618796116176904</v>
      </c>
      <c r="R25"/>
      <c r="S25"/>
      <c r="T25"/>
      <c r="U25"/>
    </row>
    <row r="26" spans="1:24" ht="13.05" customHeight="1" x14ac:dyDescent="0.2">
      <c r="A26" s="673"/>
      <c r="B26" s="674"/>
      <c r="C26" s="683"/>
      <c r="D26" s="5" t="s">
        <v>425</v>
      </c>
      <c r="E26" s="133">
        <f>Calculations!$H98+Calculations!$H217</f>
        <v>172755.85884665578</v>
      </c>
      <c r="F26" s="135">
        <f t="shared" si="0"/>
        <v>3.4986262826040081E-2</v>
      </c>
      <c r="G26" s="133">
        <f>Calculations!$M98+Calculations!$M217</f>
        <v>1726559.0918040841</v>
      </c>
      <c r="H26" s="135">
        <f t="shared" si="1"/>
        <v>0.14556653666163932</v>
      </c>
      <c r="I26" s="133">
        <f>Calculations!$R98+Calculations!$R217</f>
        <v>4738328.1063114898</v>
      </c>
      <c r="J26" s="135">
        <f t="shared" si="2"/>
        <v>0.22114216512431881</v>
      </c>
      <c r="K26" s="133">
        <f>Calculations!$W98+Calculations!$W217</f>
        <v>8246647.0627356898</v>
      </c>
      <c r="L26" s="135">
        <f t="shared" si="3"/>
        <v>0.26407225408575413</v>
      </c>
      <c r="M26" s="133">
        <f>Calculations!$AB98+Calculations!$AB217</f>
        <v>10819337.193418521</v>
      </c>
      <c r="N26" s="135">
        <f t="shared" si="4"/>
        <v>0.26175719915882073</v>
      </c>
      <c r="O26" s="125">
        <f t="shared" si="5"/>
        <v>25703627.313116439</v>
      </c>
      <c r="P26" s="135">
        <f t="shared" si="6"/>
        <v>0.23200808996569039</v>
      </c>
      <c r="R26"/>
      <c r="S26"/>
      <c r="T26"/>
      <c r="U26"/>
    </row>
    <row r="27" spans="1:24" ht="13.05" customHeight="1" x14ac:dyDescent="0.2">
      <c r="A27" s="673"/>
      <c r="B27" s="674"/>
      <c r="C27" s="683"/>
      <c r="D27" s="5" t="s">
        <v>389</v>
      </c>
      <c r="E27" s="133">
        <f>Calculations!$H112+Calculations!$H231</f>
        <v>288000</v>
      </c>
      <c r="F27" s="135">
        <f t="shared" si="0"/>
        <v>5.8325337045983472E-2</v>
      </c>
      <c r="G27" s="133">
        <f>Calculations!$M112+Calculations!$M231</f>
        <v>756000</v>
      </c>
      <c r="H27" s="135">
        <f t="shared" si="1"/>
        <v>6.3738508712846711E-2</v>
      </c>
      <c r="I27" s="133">
        <f>Calculations!$R112+Calculations!$R231</f>
        <v>1020000</v>
      </c>
      <c r="J27" s="135">
        <f t="shared" si="2"/>
        <v>4.7604345534103226E-2</v>
      </c>
      <c r="K27" s="133">
        <f>Calculations!$W112+Calculations!$W231</f>
        <v>1068000</v>
      </c>
      <c r="L27" s="135">
        <f t="shared" si="3"/>
        <v>3.4199252765162821E-2</v>
      </c>
      <c r="M27" s="133">
        <f>Calculations!$AB112+Calculations!$AB231</f>
        <v>1068000</v>
      </c>
      <c r="N27" s="135">
        <f t="shared" si="4"/>
        <v>2.5838615037497566E-2</v>
      </c>
      <c r="O27" s="125">
        <f t="shared" si="5"/>
        <v>4200000</v>
      </c>
      <c r="P27" s="135">
        <f t="shared" si="6"/>
        <v>3.7910368291040802E-2</v>
      </c>
      <c r="R27"/>
      <c r="S27"/>
      <c r="T27"/>
      <c r="U27"/>
    </row>
    <row r="28" spans="1:24" ht="13.05" customHeight="1" x14ac:dyDescent="0.2">
      <c r="A28" s="673"/>
      <c r="B28" s="674"/>
      <c r="C28" s="683"/>
      <c r="D28" s="5" t="s">
        <v>447</v>
      </c>
      <c r="E28" s="133">
        <f>Calculations!$H119+Calculations!$H126+Calculations!$H133+Calculations!$H238+Calculations!$H245</f>
        <v>221192.30769230769</v>
      </c>
      <c r="F28" s="135">
        <f t="shared" si="0"/>
        <v>4.479554131296086E-2</v>
      </c>
      <c r="G28" s="133">
        <f>Calculations!$M119+Calculations!$M126+Calculations!$M133+Calculations!$M238+Calculations!$M245</f>
        <v>1708788.4615384615</v>
      </c>
      <c r="H28" s="135">
        <f t="shared" si="1"/>
        <v>0.14406829132828197</v>
      </c>
      <c r="I28" s="133">
        <f>Calculations!$R119+Calculations!$R126+Calculations!$R133+Calculations!$R238+Calculations!$R245</f>
        <v>4501211.538461538</v>
      </c>
      <c r="J28" s="135">
        <f t="shared" si="2"/>
        <v>0.21007571509707396</v>
      </c>
      <c r="K28" s="133">
        <f>Calculations!$W119+Calculations!$W126+Calculations!$W133+Calculations!$W238+Calculations!$W245</f>
        <v>7940076.9230769221</v>
      </c>
      <c r="L28" s="135">
        <f t="shared" si="3"/>
        <v>0.25425533489432955</v>
      </c>
      <c r="M28" s="133">
        <f>Calculations!$AB119+Calculations!$AB126+Calculations!$AB133+Calculations!$AB238+Calculations!$AB245</f>
        <v>11585076.923076924</v>
      </c>
      <c r="N28" s="135">
        <f t="shared" si="4"/>
        <v>0.28028309250485156</v>
      </c>
      <c r="O28" s="125">
        <f t="shared" si="5"/>
        <v>25956346.153846152</v>
      </c>
      <c r="P28" s="135">
        <f t="shared" si="6"/>
        <v>0.23428920051953522</v>
      </c>
      <c r="R28"/>
      <c r="S28"/>
      <c r="T28"/>
      <c r="U28"/>
    </row>
    <row r="29" spans="1:24" ht="13.05" customHeight="1" x14ac:dyDescent="0.2">
      <c r="A29" s="673"/>
      <c r="B29" s="674"/>
      <c r="C29" s="683"/>
      <c r="D29" s="5" t="s">
        <v>232</v>
      </c>
      <c r="E29" s="133">
        <f>Calculations!$H140+Calculations!$H252</f>
        <v>29642.77104</v>
      </c>
      <c r="F29" s="135">
        <f t="shared" si="0"/>
        <v>6.0032104579337432E-3</v>
      </c>
      <c r="G29" s="133">
        <f>Calculations!$M140+Calculations!$M252</f>
        <v>95189.467440000008</v>
      </c>
      <c r="H29" s="135">
        <f t="shared" si="1"/>
        <v>8.0254427245974591E-3</v>
      </c>
      <c r="I29" s="133">
        <f>Calculations!$R140+Calculations!$R252</f>
        <v>218960.39352000004</v>
      </c>
      <c r="J29" s="135">
        <f t="shared" si="2"/>
        <v>1.0219084540597353E-2</v>
      </c>
      <c r="K29" s="133">
        <f>Calculations!$W140+Calculations!$W252</f>
        <v>367568.05776</v>
      </c>
      <c r="L29" s="135">
        <f t="shared" si="3"/>
        <v>1.1770180632709933E-2</v>
      </c>
      <c r="M29" s="133">
        <f>Calculations!$AB140+Calculations!$AB252</f>
        <v>541390.96175999998</v>
      </c>
      <c r="N29" s="135">
        <f t="shared" si="4"/>
        <v>1.3098120454772665E-2</v>
      </c>
      <c r="O29" s="125">
        <f t="shared" si="5"/>
        <v>1252751.6515199998</v>
      </c>
      <c r="P29" s="135">
        <f t="shared" si="6"/>
        <v>1.1307684877698284E-2</v>
      </c>
      <c r="R29"/>
      <c r="S29"/>
      <c r="T29"/>
      <c r="U29"/>
    </row>
    <row r="30" spans="1:24" ht="13.05" customHeight="1" x14ac:dyDescent="0.2">
      <c r="A30" s="673"/>
      <c r="B30" s="674"/>
      <c r="C30" s="683"/>
      <c r="D30" s="5" t="s">
        <v>251</v>
      </c>
      <c r="E30" s="133">
        <f>Calculations!$H147</f>
        <v>82695</v>
      </c>
      <c r="F30" s="135">
        <f t="shared" si="0"/>
        <v>1.6747269954922234E-2</v>
      </c>
      <c r="G30" s="133">
        <f>Calculations!$M$147</f>
        <v>714600</v>
      </c>
      <c r="H30" s="135">
        <f t="shared" si="1"/>
        <v>6.0248066569047964E-2</v>
      </c>
      <c r="I30" s="133">
        <f>Calculations!$R$147</f>
        <v>1810000</v>
      </c>
      <c r="J30" s="135">
        <f t="shared" si="2"/>
        <v>8.4474377859536126E-2</v>
      </c>
      <c r="K30" s="133">
        <f>Calculations!$W$147</f>
        <v>3120400</v>
      </c>
      <c r="L30" s="135">
        <f t="shared" si="3"/>
        <v>9.9920738135219164E-2</v>
      </c>
      <c r="M30" s="133">
        <f>Calculations!$AB$147</f>
        <v>4582400</v>
      </c>
      <c r="N30" s="135">
        <f t="shared" si="4"/>
        <v>0.11086411006351016</v>
      </c>
      <c r="O30" s="125">
        <f t="shared" si="5"/>
        <v>10310095</v>
      </c>
      <c r="P30" s="135">
        <f t="shared" si="6"/>
        <v>9.3061785372766256E-2</v>
      </c>
      <c r="R30"/>
      <c r="S30"/>
      <c r="T30"/>
      <c r="U30"/>
    </row>
    <row r="31" spans="1:24" ht="13.05" customHeight="1" x14ac:dyDescent="0.2">
      <c r="A31" s="673"/>
      <c r="B31" s="674"/>
      <c r="C31" s="683"/>
      <c r="D31" s="5" t="s">
        <v>246</v>
      </c>
      <c r="E31" s="133">
        <f>Calculations!$H154+Calculations!$H259</f>
        <v>0</v>
      </c>
      <c r="F31" s="135">
        <f t="shared" si="0"/>
        <v>0</v>
      </c>
      <c r="G31" s="133">
        <f>Calculations!$M154+Calculations!$M259</f>
        <v>0</v>
      </c>
      <c r="H31" s="135">
        <f t="shared" si="1"/>
        <v>0</v>
      </c>
      <c r="I31" s="133">
        <f>Calculations!$R154+Calculations!$R259</f>
        <v>0</v>
      </c>
      <c r="J31" s="135">
        <f t="shared" si="2"/>
        <v>0</v>
      </c>
      <c r="K31" s="133">
        <f>Calculations!$W154+Calculations!$W259</f>
        <v>0</v>
      </c>
      <c r="L31" s="135">
        <f t="shared" si="3"/>
        <v>0</v>
      </c>
      <c r="M31" s="133">
        <f>Calculations!$AB154+Calculations!$AB259</f>
        <v>0</v>
      </c>
      <c r="N31" s="135">
        <f t="shared" si="4"/>
        <v>0</v>
      </c>
      <c r="O31" s="125">
        <f t="shared" si="5"/>
        <v>0</v>
      </c>
      <c r="P31" s="135">
        <f t="shared" si="6"/>
        <v>0</v>
      </c>
      <c r="R31"/>
      <c r="S31"/>
      <c r="T31"/>
      <c r="U31"/>
    </row>
    <row r="32" spans="1:24" ht="13.05" customHeight="1" x14ac:dyDescent="0.2">
      <c r="A32" s="673"/>
      <c r="B32" s="674"/>
      <c r="C32" s="683"/>
      <c r="D32" s="65" t="s">
        <v>139</v>
      </c>
      <c r="E32" s="152">
        <f>SUM(E24:E31)</f>
        <v>4937819.7295789635</v>
      </c>
      <c r="F32" s="172">
        <f>E32/E$39</f>
        <v>0.61085111745617815</v>
      </c>
      <c r="G32" s="152">
        <f>SUM(G24:G31)</f>
        <v>11860961.532782545</v>
      </c>
      <c r="H32" s="172">
        <f>G32/G$39</f>
        <v>0.81583241352905356</v>
      </c>
      <c r="I32" s="152">
        <f>SUM(I24:I31)</f>
        <v>21426615.334293026</v>
      </c>
      <c r="J32" s="172">
        <f>I32/I$39</f>
        <v>0.82481413894455902</v>
      </c>
      <c r="K32" s="152">
        <f>SUM(K24:K31)</f>
        <v>31228752.491572611</v>
      </c>
      <c r="L32" s="172">
        <f>K32/K$39</f>
        <v>0.86450333334356355</v>
      </c>
      <c r="M32" s="152">
        <f>SUM(M24:M31)</f>
        <v>41333484.726255447</v>
      </c>
      <c r="N32" s="172">
        <f>M32/M$39</f>
        <v>0.88915446910497065</v>
      </c>
      <c r="O32" s="152">
        <f>SUM(O24:O31)</f>
        <v>110787633.81448258</v>
      </c>
      <c r="P32" s="172">
        <f>O32/O$39</f>
        <v>0.84435924993769196</v>
      </c>
      <c r="R32"/>
      <c r="S32"/>
      <c r="T32"/>
      <c r="U32"/>
    </row>
    <row r="33" spans="1:28" ht="13.05" customHeight="1" x14ac:dyDescent="0.2">
      <c r="A33" s="673"/>
      <c r="B33" s="674"/>
      <c r="C33" s="683" t="s">
        <v>227</v>
      </c>
      <c r="D33" s="5" t="s">
        <v>252</v>
      </c>
      <c r="E33" s="133">
        <f>Calculations!$H282</f>
        <v>969940</v>
      </c>
      <c r="F33" s="135">
        <f>E33/E$35</f>
        <v>0.54577230996383053</v>
      </c>
      <c r="G33" s="133">
        <f>Calculations!$M282</f>
        <v>1034740</v>
      </c>
      <c r="H33" s="135">
        <f>G33/G$35</f>
        <v>0.44134474999340906</v>
      </c>
      <c r="I33" s="133">
        <f>Calculations!$R282</f>
        <v>1056718.2</v>
      </c>
      <c r="J33" s="135">
        <f>I33/I$35</f>
        <v>0.24276232969162639</v>
      </c>
      <c r="K33" s="133">
        <f>Calculations!$W282</f>
        <v>1104969.7860000005</v>
      </c>
      <c r="L33" s="135">
        <f>K33/K$35</f>
        <v>0.23041359263874858</v>
      </c>
      <c r="M33" s="133">
        <f>Calculations!$AB282</f>
        <v>1138118.8795800002</v>
      </c>
      <c r="N33" s="135">
        <f>M33/M$35</f>
        <v>0.22699742081659133</v>
      </c>
      <c r="O33" s="125">
        <f>E33+G33+I33+K33+M33</f>
        <v>5304486.8655800009</v>
      </c>
      <c r="P33" s="135">
        <f>O33/O$35</f>
        <v>0.29011654933537251</v>
      </c>
      <c r="R33"/>
      <c r="S33"/>
      <c r="T33"/>
    </row>
    <row r="34" spans="1:28" ht="13.05" customHeight="1" x14ac:dyDescent="0.2">
      <c r="A34" s="673"/>
      <c r="B34" s="674"/>
      <c r="C34" s="683"/>
      <c r="D34" s="5" t="s">
        <v>176</v>
      </c>
      <c r="E34" s="133">
        <f>Calculations!$H285</f>
        <v>807248</v>
      </c>
      <c r="F34" s="135">
        <f>E34/E$35</f>
        <v>0.45422769003616947</v>
      </c>
      <c r="G34" s="133">
        <f>Calculations!$M285</f>
        <v>1309776.3900000001</v>
      </c>
      <c r="H34" s="135">
        <f>G34/G$35</f>
        <v>0.55865525000659089</v>
      </c>
      <c r="I34" s="133">
        <f>Calculations!$R285</f>
        <v>3296173.7884000004</v>
      </c>
      <c r="J34" s="135">
        <f>I34/I$35</f>
        <v>0.75723767030837363</v>
      </c>
      <c r="K34" s="133">
        <f>Calculations!$W285</f>
        <v>3690623.1013190006</v>
      </c>
      <c r="L34" s="135">
        <f>K34/K$35</f>
        <v>0.76958640736125139</v>
      </c>
      <c r="M34" s="133">
        <f>Calculations!$AB285</f>
        <v>3875677.6450050697</v>
      </c>
      <c r="N34" s="135">
        <f>M34/M$35</f>
        <v>0.77300257918340864</v>
      </c>
      <c r="O34" s="125">
        <f>E34+G34+I34+K34+M34</f>
        <v>12979498.92472407</v>
      </c>
      <c r="P34" s="135">
        <f>O34/O$35</f>
        <v>0.70988345066462744</v>
      </c>
      <c r="R34"/>
      <c r="S34"/>
      <c r="T34"/>
      <c r="U34"/>
    </row>
    <row r="35" spans="1:28" ht="15" customHeight="1" x14ac:dyDescent="0.2">
      <c r="A35" s="673"/>
      <c r="B35" s="674"/>
      <c r="C35" s="683"/>
      <c r="D35" s="65" t="s">
        <v>139</v>
      </c>
      <c r="E35" s="134">
        <f>SUM(E33:E34)</f>
        <v>1777188</v>
      </c>
      <c r="F35" s="172">
        <f>E35/E$39</f>
        <v>0.21985356598311392</v>
      </c>
      <c r="G35" s="134">
        <f>SUM(G33:G34)</f>
        <v>2344516.39</v>
      </c>
      <c r="H35" s="172">
        <f>G35/G$39</f>
        <v>0.16126285037899477</v>
      </c>
      <c r="I35" s="134">
        <f>SUM(I33:I34)</f>
        <v>4352891.9884000001</v>
      </c>
      <c r="J35" s="172">
        <f>I35/I$39</f>
        <v>0.1675638826438697</v>
      </c>
      <c r="K35" s="134">
        <f>SUM(K33:K34)</f>
        <v>4795592.8873190014</v>
      </c>
      <c r="L35" s="172">
        <f>K35/K$39</f>
        <v>0.13275605670014351</v>
      </c>
      <c r="M35" s="134">
        <f>SUM(M33:M34)</f>
        <v>5013796.5245850701</v>
      </c>
      <c r="N35" s="172">
        <f>M35/M$39</f>
        <v>0.107855401414679</v>
      </c>
      <c r="O35" s="134">
        <f>SUM(O33:O34)</f>
        <v>18283985.790304072</v>
      </c>
      <c r="P35" s="172">
        <f>O35/O$39</f>
        <v>0.13934996168998798</v>
      </c>
    </row>
    <row r="36" spans="1:28" ht="15" customHeight="1" x14ac:dyDescent="0.2">
      <c r="A36" s="673"/>
      <c r="B36" s="674"/>
      <c r="C36" s="683" t="s">
        <v>53</v>
      </c>
      <c r="D36" s="5" t="s">
        <v>445</v>
      </c>
      <c r="E36" s="133">
        <f>Calculations!$H272</f>
        <v>1158500</v>
      </c>
      <c r="F36" s="135">
        <f>E36/E$38</f>
        <v>0.84654731457800514</v>
      </c>
      <c r="G36" s="133">
        <f>Calculations!$M272</f>
        <v>78000</v>
      </c>
      <c r="H36" s="135">
        <f>G36/G$38</f>
        <v>0.23423423423423423</v>
      </c>
      <c r="I36" s="133">
        <f>Calculations!$R272</f>
        <v>118000</v>
      </c>
      <c r="J36" s="135">
        <f>I36/I$38</f>
        <v>0.59595959595959591</v>
      </c>
      <c r="K36" s="133">
        <f>Calculations!$W272</f>
        <v>99000</v>
      </c>
      <c r="L36" s="135">
        <f>K36/K$38</f>
        <v>1</v>
      </c>
      <c r="M36" s="133">
        <f>Calculations!$AB272</f>
        <v>139000</v>
      </c>
      <c r="N36" s="135">
        <f>M36/M$38</f>
        <v>1</v>
      </c>
      <c r="O36" s="125">
        <f>E36+G36+I36+K36+M36</f>
        <v>1592500</v>
      </c>
      <c r="P36" s="135">
        <f>O36/O$38</f>
        <v>0.74502923976608182</v>
      </c>
    </row>
    <row r="37" spans="1:28" ht="15" customHeight="1" x14ac:dyDescent="0.2">
      <c r="A37" s="673"/>
      <c r="B37" s="674"/>
      <c r="C37" s="683"/>
      <c r="D37" s="5" t="s">
        <v>446</v>
      </c>
      <c r="E37" s="133">
        <f>Calculations!$H273</f>
        <v>210000</v>
      </c>
      <c r="F37" s="135">
        <f>E37/E$38</f>
        <v>0.15345268542199489</v>
      </c>
      <c r="G37" s="133">
        <f>Calculations!$M273</f>
        <v>255000</v>
      </c>
      <c r="H37" s="135">
        <f>G37/G$38</f>
        <v>0.76576576576576572</v>
      </c>
      <c r="I37" s="133">
        <f>Calculations!$R273</f>
        <v>80000</v>
      </c>
      <c r="J37" s="135">
        <f>I37/I$38</f>
        <v>0.40404040404040403</v>
      </c>
      <c r="K37" s="133">
        <f>Calculations!$W273</f>
        <v>0</v>
      </c>
      <c r="L37" s="135">
        <f>K37/K$38</f>
        <v>0</v>
      </c>
      <c r="M37" s="133">
        <f>Calculations!$AB273</f>
        <v>0</v>
      </c>
      <c r="N37" s="135">
        <f>M37/M$38</f>
        <v>0</v>
      </c>
      <c r="O37" s="125">
        <f>E37+G37+I37+K37+M37</f>
        <v>545000</v>
      </c>
      <c r="P37" s="135">
        <f>O37/O$38</f>
        <v>0.25497076023391813</v>
      </c>
    </row>
    <row r="38" spans="1:28" ht="15" customHeight="1" x14ac:dyDescent="0.2">
      <c r="A38" s="673"/>
      <c r="B38" s="674"/>
      <c r="C38" s="683"/>
      <c r="D38" s="65" t="s">
        <v>139</v>
      </c>
      <c r="E38" s="134">
        <f>SUM(E36:E37)</f>
        <v>1368500</v>
      </c>
      <c r="F38" s="172">
        <f>E38/E$39</f>
        <v>0.16929531656070793</v>
      </c>
      <c r="G38" s="134">
        <f>SUM(G36:G37)</f>
        <v>333000</v>
      </c>
      <c r="H38" s="172">
        <f>G38/G$39</f>
        <v>2.2904736091951674E-2</v>
      </c>
      <c r="I38" s="134">
        <f>SUM(I36:I37)</f>
        <v>198000</v>
      </c>
      <c r="J38" s="172">
        <f>I38/I$39</f>
        <v>7.6219784115712378E-3</v>
      </c>
      <c r="K38" s="134">
        <f>SUM(K36:K37)</f>
        <v>99000</v>
      </c>
      <c r="L38" s="172">
        <f>K38/K$39</f>
        <v>2.7406099562929703E-3</v>
      </c>
      <c r="M38" s="134">
        <f>SUM(M36:M37)</f>
        <v>139000</v>
      </c>
      <c r="N38" s="172">
        <f>M38/M$39</f>
        <v>2.9901294803504367E-3</v>
      </c>
      <c r="O38" s="134">
        <f>SUM(O36:O37)</f>
        <v>2137500</v>
      </c>
      <c r="P38" s="172">
        <f>O38/O$39</f>
        <v>1.6290788372319977E-2</v>
      </c>
    </row>
    <row r="39" spans="1:28" ht="18" customHeight="1" x14ac:dyDescent="0.2">
      <c r="A39" s="675"/>
      <c r="B39" s="676"/>
      <c r="C39" s="699" t="s">
        <v>157</v>
      </c>
      <c r="D39" s="699"/>
      <c r="E39" s="180">
        <f>E32+E35+E38</f>
        <v>8083507.7295789635</v>
      </c>
      <c r="F39" s="179" t="s">
        <v>228</v>
      </c>
      <c r="G39" s="180">
        <f>G32+G35+G38</f>
        <v>14538477.922782546</v>
      </c>
      <c r="H39" s="179">
        <f>(G39-E39)/E39</f>
        <v>0.79853578534770508</v>
      </c>
      <c r="I39" s="180">
        <f>I32+I35+I38</f>
        <v>25977507.322693028</v>
      </c>
      <c r="J39" s="179">
        <f>(I39-G39)/G39</f>
        <v>0.78681065931839611</v>
      </c>
      <c r="K39" s="180">
        <f>K32+K35+K38</f>
        <v>36123345.37889161</v>
      </c>
      <c r="L39" s="179">
        <f>(K39-I39)/I39</f>
        <v>0.39056241733153274</v>
      </c>
      <c r="M39" s="180">
        <f>M32+M35+M38</f>
        <v>46486281.250840515</v>
      </c>
      <c r="N39" s="179">
        <f>(M39-K39)/K39</f>
        <v>0.28687641643523981</v>
      </c>
      <c r="O39" s="181">
        <f>O32+O35+O38</f>
        <v>131209119.60478666</v>
      </c>
      <c r="P39" s="179">
        <f>(M39-E39)/E39</f>
        <v>4.7507560833694891</v>
      </c>
    </row>
    <row r="40" spans="1:28" ht="6" customHeight="1" x14ac:dyDescent="0.2">
      <c r="A40"/>
      <c r="B40"/>
      <c r="C40"/>
      <c r="D40"/>
      <c r="E40"/>
      <c r="F40"/>
      <c r="G40"/>
      <c r="H40"/>
      <c r="I40"/>
      <c r="J40"/>
      <c r="K40"/>
      <c r="L40"/>
      <c r="M40"/>
      <c r="N40"/>
      <c r="O40"/>
      <c r="P40"/>
      <c r="Q40"/>
    </row>
    <row r="41" spans="1:28" ht="27" customHeight="1" x14ac:dyDescent="0.2">
      <c r="A41" s="698" t="s">
        <v>195</v>
      </c>
      <c r="B41" s="698"/>
      <c r="C41" s="698"/>
      <c r="D41" s="698"/>
      <c r="E41" s="173">
        <f>E21-E39</f>
        <v>-1728994.7295789635</v>
      </c>
      <c r="F41" s="175">
        <f>E41/E21</f>
        <v>-0.27208925838675024</v>
      </c>
      <c r="G41" s="173">
        <f>G21-G39</f>
        <v>7024490.0772174541</v>
      </c>
      <c r="H41" s="175">
        <f>G41/G21</f>
        <v>0.32576638230958993</v>
      </c>
      <c r="I41" s="173">
        <f>I21-I39</f>
        <v>24947936.677306972</v>
      </c>
      <c r="J41" s="175">
        <f>I41/I21</f>
        <v>0.48989139254842773</v>
      </c>
      <c r="K41" s="173">
        <f>K21-K39</f>
        <v>50554076.62110839</v>
      </c>
      <c r="L41" s="175">
        <f>K41/K21</f>
        <v>0.58324388813857886</v>
      </c>
      <c r="M41" s="173">
        <f>M21-M39</f>
        <v>81994940.749159485</v>
      </c>
      <c r="N41" s="175">
        <f>M41/M21</f>
        <v>0.63818618373009783</v>
      </c>
      <c r="O41" s="174">
        <f>O21-O39</f>
        <v>162792449.39521334</v>
      </c>
      <c r="P41" s="176">
        <f>O41/O21</f>
        <v>0.55371285925080671</v>
      </c>
    </row>
    <row r="42" spans="1:28" ht="6" customHeight="1" x14ac:dyDescent="0.2">
      <c r="A42"/>
      <c r="B42"/>
      <c r="C42"/>
      <c r="D42"/>
      <c r="E42"/>
      <c r="F42"/>
      <c r="G42"/>
      <c r="H42"/>
      <c r="I42"/>
      <c r="J42"/>
      <c r="K42"/>
      <c r="L42"/>
      <c r="M42"/>
      <c r="N42"/>
      <c r="O42"/>
      <c r="P42"/>
      <c r="Q42"/>
    </row>
    <row r="43" spans="1:28" ht="13.95" customHeight="1" x14ac:dyDescent="0.2">
      <c r="A43" s="563" t="s">
        <v>165</v>
      </c>
      <c r="B43" s="564"/>
      <c r="C43" s="564"/>
      <c r="D43" s="565"/>
      <c r="E43" s="178">
        <f>-E41*F43</f>
        <v>518698.41887368902</v>
      </c>
      <c r="F43" s="177">
        <f>Parameters!$K$31</f>
        <v>0.3</v>
      </c>
      <c r="G43" s="178">
        <f>-G41*H43</f>
        <v>-2107347.0231652362</v>
      </c>
      <c r="H43" s="177">
        <f>Parameters!$K$31</f>
        <v>0.3</v>
      </c>
      <c r="I43" s="178">
        <f>-I41*J43</f>
        <v>-7484381.0031920914</v>
      </c>
      <c r="J43" s="177">
        <f>Parameters!$K$31</f>
        <v>0.3</v>
      </c>
      <c r="K43" s="178">
        <f>-K41*L43</f>
        <v>-15166222.986332517</v>
      </c>
      <c r="L43" s="177">
        <f>Parameters!$K$31</f>
        <v>0.3</v>
      </c>
      <c r="M43" s="178">
        <f>-M41*N43</f>
        <v>-24598482.224747844</v>
      </c>
      <c r="N43" s="177">
        <f>Parameters!$K$31</f>
        <v>0.3</v>
      </c>
      <c r="O43" s="178">
        <f>E43+G43+I43+K43+M43</f>
        <v>-48837734.818563998</v>
      </c>
      <c r="P43" s="177">
        <f>O43/O41</f>
        <v>-0.3</v>
      </c>
    </row>
    <row r="44" spans="1:28" ht="6" customHeight="1" x14ac:dyDescent="0.2">
      <c r="A44"/>
      <c r="B44"/>
      <c r="C44"/>
      <c r="D44"/>
      <c r="E44"/>
      <c r="F44"/>
      <c r="G44"/>
      <c r="H44"/>
      <c r="I44"/>
      <c r="J44"/>
      <c r="K44"/>
      <c r="L44"/>
      <c r="M44"/>
      <c r="N44"/>
      <c r="O44"/>
      <c r="P44"/>
      <c r="Q44"/>
      <c r="R44"/>
    </row>
    <row r="45" spans="1:28" ht="18" customHeight="1" x14ac:dyDescent="0.2">
      <c r="A45" s="692" t="s">
        <v>257</v>
      </c>
      <c r="B45" s="693"/>
      <c r="C45" s="693"/>
      <c r="D45" s="694"/>
      <c r="E45" s="258">
        <f>E41+E43</f>
        <v>-1210296.3107052743</v>
      </c>
      <c r="F45" s="689">
        <f>E45/E21</f>
        <v>-0.19046248087072515</v>
      </c>
      <c r="G45" s="258">
        <f>G41+G43</f>
        <v>4917143.0540522179</v>
      </c>
      <c r="H45" s="689">
        <f>G45/G21</f>
        <v>0.22803646761671295</v>
      </c>
      <c r="I45" s="258">
        <f>I41+I43</f>
        <v>17463555.674114883</v>
      </c>
      <c r="J45" s="689">
        <f>I45/I21</f>
        <v>0.34292397478389947</v>
      </c>
      <c r="K45" s="258">
        <f>K41+K43</f>
        <v>35387853.634775877</v>
      </c>
      <c r="L45" s="689">
        <f>K45/K21</f>
        <v>0.40827072169700523</v>
      </c>
      <c r="M45" s="258">
        <f>M41+M43</f>
        <v>57396458.524411641</v>
      </c>
      <c r="N45" s="689">
        <f>M45/M21</f>
        <v>0.44673032861106848</v>
      </c>
      <c r="O45" s="716">
        <f>O41+O43</f>
        <v>113954714.57664934</v>
      </c>
      <c r="P45" s="689">
        <f>O45/O21</f>
        <v>0.3875990014755647</v>
      </c>
    </row>
    <row r="46" spans="1:28" ht="13.05" customHeight="1" x14ac:dyDescent="0.2">
      <c r="A46" s="695"/>
      <c r="B46" s="696"/>
      <c r="C46" s="696"/>
      <c r="D46" s="697"/>
      <c r="E46" s="259">
        <f>E45</f>
        <v>-1210296.3107052743</v>
      </c>
      <c r="F46" s="690"/>
      <c r="G46" s="259">
        <f>G45+E46</f>
        <v>3706846.7433469435</v>
      </c>
      <c r="H46" s="690"/>
      <c r="I46" s="259">
        <f>G46+I45</f>
        <v>21170402.417461827</v>
      </c>
      <c r="J46" s="690"/>
      <c r="K46" s="259">
        <f>I46+K45</f>
        <v>56558256.052237704</v>
      </c>
      <c r="L46" s="690"/>
      <c r="M46" s="259">
        <f>K46+M45</f>
        <v>113954714.57664934</v>
      </c>
      <c r="N46" s="690"/>
      <c r="O46" s="717"/>
      <c r="P46" s="718"/>
      <c r="R46"/>
      <c r="S46"/>
      <c r="T46"/>
      <c r="U46"/>
      <c r="V46"/>
      <c r="W46"/>
      <c r="X46"/>
      <c r="Y46"/>
      <c r="Z46"/>
      <c r="AA46"/>
      <c r="AB46"/>
    </row>
    <row r="47" spans="1:28" ht="4.95" customHeight="1" x14ac:dyDescent="0.2">
      <c r="D47"/>
      <c r="E47" s="260"/>
      <c r="F47"/>
      <c r="G47" s="260"/>
      <c r="H47"/>
      <c r="I47" s="260"/>
      <c r="J47"/>
      <c r="K47" s="260"/>
      <c r="L47" s="7"/>
      <c r="M47" s="260"/>
      <c r="N47" s="7"/>
      <c r="O47"/>
      <c r="P47"/>
      <c r="R47"/>
      <c r="S47"/>
      <c r="T47"/>
      <c r="U47"/>
      <c r="V47"/>
      <c r="W47"/>
      <c r="X47"/>
      <c r="Y47"/>
      <c r="Z47"/>
      <c r="AA47"/>
      <c r="AB47"/>
    </row>
    <row r="48" spans="1:28" ht="16.05" customHeight="1" x14ac:dyDescent="0.2">
      <c r="A48" s="700" t="s">
        <v>130</v>
      </c>
      <c r="B48" s="701"/>
      <c r="C48" s="701"/>
      <c r="D48" s="702"/>
      <c r="E48" s="303">
        <f>'Cash Flow'!$C$22</f>
        <v>-2383319.9025389636</v>
      </c>
      <c r="F48" s="177">
        <f>E48/E48</f>
        <v>1</v>
      </c>
      <c r="G48" s="303">
        <f>'Cash Flow'!$H$22</f>
        <v>-2013119.9781259247</v>
      </c>
      <c r="H48" s="177">
        <f>G48/G48</f>
        <v>1</v>
      </c>
      <c r="I48" s="303">
        <f>'Cash Flow'!$M$22</f>
        <v>4669851.9933140194</v>
      </c>
      <c r="J48" s="177">
        <f>I48/I48</f>
        <v>1</v>
      </c>
      <c r="K48" s="303">
        <f>'Cash Flow'!$R$22</f>
        <v>30814908.426035382</v>
      </c>
      <c r="L48" s="177">
        <f>K48/K48</f>
        <v>1</v>
      </c>
      <c r="M48" s="303">
        <f>'Cash Flow'!$W$22</f>
        <v>83802806.875831306</v>
      </c>
      <c r="N48" s="177">
        <f>M48/M48</f>
        <v>1</v>
      </c>
      <c r="O48" s="269"/>
      <c r="P48"/>
      <c r="R48"/>
      <c r="S48"/>
      <c r="T48"/>
      <c r="U48"/>
      <c r="V48"/>
      <c r="W48"/>
      <c r="X48"/>
      <c r="Y48"/>
      <c r="Z48"/>
      <c r="AA48"/>
      <c r="AB48"/>
    </row>
    <row r="49" spans="4:28" ht="4.95" customHeight="1" x14ac:dyDescent="0.2">
      <c r="D49"/>
      <c r="E49" s="260"/>
      <c r="F49"/>
      <c r="G49" s="260"/>
      <c r="H49"/>
      <c r="I49" s="260"/>
      <c r="J49"/>
      <c r="K49" s="260"/>
      <c r="L49" s="7"/>
      <c r="M49" s="260"/>
      <c r="N49" s="7"/>
      <c r="O49"/>
      <c r="P49"/>
      <c r="R49"/>
      <c r="S49"/>
      <c r="T49"/>
      <c r="U49"/>
      <c r="V49"/>
      <c r="W49"/>
      <c r="X49"/>
      <c r="Y49"/>
      <c r="Z49"/>
      <c r="AA49"/>
      <c r="AB49"/>
    </row>
    <row r="50" spans="4:28" x14ac:dyDescent="0.2">
      <c r="D50" s="117"/>
      <c r="E50" s="7"/>
      <c r="F50" s="7"/>
      <c r="G50" s="7"/>
      <c r="H50" s="7"/>
      <c r="I50" s="7"/>
      <c r="J50" s="7"/>
      <c r="K50" s="7"/>
      <c r="L50" s="7"/>
      <c r="M50" s="7"/>
      <c r="N50" s="7"/>
      <c r="O50" s="7"/>
      <c r="P50" s="7"/>
      <c r="R50"/>
      <c r="S50"/>
      <c r="T50"/>
      <c r="U50"/>
      <c r="V50"/>
      <c r="W50"/>
      <c r="X50"/>
      <c r="Y50"/>
      <c r="Z50"/>
      <c r="AA50"/>
      <c r="AB50"/>
    </row>
    <row r="51" spans="4:28" x14ac:dyDescent="0.2">
      <c r="D51" s="117"/>
      <c r="E51" s="7"/>
      <c r="F51" s="7"/>
      <c r="G51" s="7"/>
      <c r="H51" s="7"/>
      <c r="I51" s="7"/>
      <c r="J51" s="7"/>
      <c r="K51" s="7"/>
      <c r="L51" s="7"/>
      <c r="M51" s="7"/>
      <c r="N51" s="7"/>
      <c r="O51" s="7"/>
      <c r="P51" s="7"/>
      <c r="R51"/>
      <c r="S51"/>
      <c r="T51"/>
      <c r="U51"/>
      <c r="V51"/>
      <c r="W51"/>
      <c r="X51"/>
      <c r="Y51"/>
      <c r="Z51"/>
      <c r="AA51"/>
      <c r="AB51"/>
    </row>
    <row r="52" spans="4:28" x14ac:dyDescent="0.2">
      <c r="D52" s="117"/>
      <c r="E52" s="7"/>
      <c r="F52" s="7"/>
      <c r="G52" s="7"/>
      <c r="H52" s="7"/>
      <c r="I52" s="7"/>
      <c r="J52" s="7"/>
      <c r="K52" s="7"/>
      <c r="L52" s="7"/>
      <c r="M52" s="7"/>
      <c r="N52" s="7"/>
      <c r="O52" s="7"/>
      <c r="P52" s="7"/>
      <c r="R52"/>
      <c r="S52"/>
      <c r="T52"/>
      <c r="U52"/>
      <c r="V52"/>
      <c r="W52"/>
      <c r="X52"/>
      <c r="Y52"/>
      <c r="Z52"/>
      <c r="AA52"/>
      <c r="AB52"/>
    </row>
    <row r="53" spans="4:28" x14ac:dyDescent="0.2">
      <c r="D53" s="82"/>
      <c r="E53"/>
      <c r="F53"/>
      <c r="G53"/>
      <c r="H53"/>
      <c r="I53"/>
      <c r="J53"/>
      <c r="K53"/>
      <c r="L53" s="7"/>
      <c r="M53" s="7"/>
      <c r="N53" s="7"/>
      <c r="O53" s="7"/>
      <c r="P53" s="7"/>
      <c r="R53"/>
      <c r="S53"/>
      <c r="T53"/>
      <c r="U53"/>
      <c r="V53"/>
      <c r="W53"/>
      <c r="X53"/>
      <c r="Y53"/>
      <c r="Z53"/>
      <c r="AA53"/>
      <c r="AB53"/>
    </row>
    <row r="54" spans="4:28" x14ac:dyDescent="0.2">
      <c r="D54"/>
      <c r="E54"/>
      <c r="F54"/>
      <c r="G54"/>
      <c r="H54"/>
      <c r="I54"/>
      <c r="J54"/>
      <c r="K54"/>
      <c r="L54" s="7"/>
      <c r="M54" s="7"/>
      <c r="N54" s="7"/>
      <c r="O54" s="7"/>
      <c r="P54" s="7"/>
      <c r="R54"/>
      <c r="S54"/>
      <c r="T54"/>
      <c r="U54"/>
      <c r="V54"/>
      <c r="W54"/>
      <c r="X54"/>
      <c r="Y54"/>
      <c r="Z54"/>
      <c r="AA54"/>
      <c r="AB54"/>
    </row>
    <row r="55" spans="4:28" x14ac:dyDescent="0.2">
      <c r="D55"/>
      <c r="E55"/>
      <c r="F55"/>
      <c r="G55"/>
      <c r="H55"/>
      <c r="I55"/>
      <c r="J55"/>
      <c r="K55"/>
      <c r="L55" s="7"/>
      <c r="M55" s="7"/>
      <c r="N55" s="7"/>
      <c r="O55" s="7"/>
      <c r="P55" s="7"/>
      <c r="R55"/>
      <c r="S55"/>
      <c r="T55"/>
      <c r="U55"/>
      <c r="V55"/>
      <c r="W55"/>
      <c r="X55"/>
      <c r="Y55"/>
      <c r="Z55"/>
      <c r="AA55"/>
      <c r="AB55"/>
    </row>
    <row r="56" spans="4:28" x14ac:dyDescent="0.2">
      <c r="D56"/>
      <c r="E56"/>
      <c r="F56"/>
      <c r="G56"/>
      <c r="H56"/>
      <c r="I56"/>
      <c r="J56"/>
      <c r="K56"/>
      <c r="L56" s="7"/>
      <c r="M56" s="7"/>
      <c r="N56" s="7"/>
      <c r="O56" s="7"/>
      <c r="P56" s="7"/>
      <c r="R56"/>
      <c r="S56"/>
      <c r="T56"/>
      <c r="U56"/>
      <c r="V56"/>
      <c r="W56"/>
      <c r="X56"/>
      <c r="Y56"/>
      <c r="Z56"/>
      <c r="AA56"/>
      <c r="AB56"/>
    </row>
    <row r="57" spans="4:28" x14ac:dyDescent="0.2">
      <c r="D57"/>
      <c r="E57"/>
      <c r="F57"/>
      <c r="G57"/>
      <c r="H57"/>
      <c r="I57"/>
      <c r="J57"/>
      <c r="K57"/>
      <c r="L57" s="7"/>
      <c r="M57" s="7"/>
      <c r="N57" s="7"/>
      <c r="O57" s="7"/>
      <c r="P57" s="7"/>
      <c r="R57"/>
      <c r="S57"/>
      <c r="T57"/>
      <c r="U57"/>
      <c r="V57"/>
      <c r="W57"/>
      <c r="X57"/>
      <c r="Y57"/>
      <c r="Z57"/>
      <c r="AA57"/>
      <c r="AB57"/>
    </row>
    <row r="58" spans="4:28" x14ac:dyDescent="0.2">
      <c r="D58"/>
      <c r="E58"/>
      <c r="F58"/>
      <c r="G58"/>
      <c r="H58"/>
      <c r="I58"/>
      <c r="J58"/>
      <c r="K58"/>
      <c r="L58" s="7"/>
      <c r="M58" s="7"/>
      <c r="N58" s="7"/>
      <c r="O58" s="7"/>
      <c r="P58" s="7"/>
      <c r="R58"/>
      <c r="S58"/>
      <c r="T58"/>
      <c r="U58"/>
      <c r="V58"/>
      <c r="W58"/>
      <c r="X58"/>
      <c r="Y58"/>
      <c r="Z58"/>
      <c r="AA58"/>
      <c r="AB58"/>
    </row>
    <row r="59" spans="4:28" x14ac:dyDescent="0.2">
      <c r="D59"/>
      <c r="E59"/>
      <c r="F59"/>
      <c r="G59"/>
      <c r="H59"/>
      <c r="I59"/>
      <c r="J59"/>
      <c r="K59"/>
      <c r="L59" s="7"/>
      <c r="M59" s="7"/>
      <c r="N59" s="7"/>
      <c r="O59" s="7"/>
      <c r="P59" s="7"/>
      <c r="R59"/>
      <c r="S59"/>
      <c r="T59"/>
      <c r="U59"/>
      <c r="V59"/>
      <c r="W59"/>
      <c r="X59"/>
      <c r="Y59"/>
      <c r="Z59"/>
      <c r="AA59"/>
      <c r="AB59"/>
    </row>
    <row r="60" spans="4:28" x14ac:dyDescent="0.2">
      <c r="D60"/>
      <c r="E60"/>
      <c r="F60"/>
      <c r="G60"/>
      <c r="H60"/>
      <c r="I60"/>
      <c r="J60"/>
      <c r="K60"/>
      <c r="L60" s="7"/>
      <c r="M60" s="7"/>
      <c r="N60" s="7"/>
      <c r="O60" s="7"/>
      <c r="P60" s="7"/>
      <c r="R60"/>
      <c r="S60"/>
      <c r="T60"/>
      <c r="U60"/>
      <c r="V60"/>
      <c r="W60"/>
      <c r="X60"/>
      <c r="Y60"/>
      <c r="Z60"/>
      <c r="AA60"/>
      <c r="AB60"/>
    </row>
    <row r="61" spans="4:28" x14ac:dyDescent="0.2">
      <c r="D61" s="117"/>
      <c r="E61" s="7"/>
      <c r="F61" s="7"/>
      <c r="G61" s="7"/>
      <c r="H61" s="7"/>
      <c r="I61" s="7"/>
      <c r="J61" s="7"/>
      <c r="K61" s="7"/>
      <c r="L61" s="7"/>
      <c r="M61" s="7"/>
      <c r="N61" s="7"/>
      <c r="O61" s="7"/>
      <c r="P61" s="7"/>
      <c r="R61"/>
      <c r="S61"/>
      <c r="T61"/>
      <c r="U61"/>
      <c r="V61"/>
      <c r="W61"/>
      <c r="X61"/>
      <c r="Y61"/>
      <c r="Z61"/>
      <c r="AA61"/>
      <c r="AB61"/>
    </row>
    <row r="62" spans="4:28" x14ac:dyDescent="0.2">
      <c r="D62" s="117"/>
      <c r="E62" s="7"/>
      <c r="F62" s="7"/>
      <c r="G62" s="7"/>
      <c r="H62" s="7"/>
      <c r="I62" s="7"/>
      <c r="J62" s="7"/>
      <c r="K62" s="7"/>
      <c r="L62" s="7"/>
      <c r="M62" s="7"/>
      <c r="N62" s="7"/>
      <c r="O62" s="7"/>
      <c r="P62" s="7"/>
      <c r="R62"/>
      <c r="S62"/>
      <c r="T62"/>
      <c r="U62"/>
      <c r="V62"/>
      <c r="W62"/>
      <c r="X62"/>
      <c r="Y62"/>
      <c r="Z62"/>
      <c r="AA62"/>
      <c r="AB62"/>
    </row>
    <row r="63" spans="4:28" x14ac:dyDescent="0.2">
      <c r="D63" s="117"/>
      <c r="E63" s="7"/>
      <c r="F63" s="7"/>
      <c r="G63" s="7"/>
      <c r="H63" s="7"/>
      <c r="I63" s="7"/>
      <c r="J63" s="7"/>
      <c r="K63" s="7"/>
      <c r="L63" s="7"/>
      <c r="M63" s="7"/>
      <c r="N63" s="7"/>
      <c r="O63" s="7"/>
      <c r="P63" s="7"/>
      <c r="R63"/>
      <c r="S63"/>
      <c r="T63"/>
      <c r="U63"/>
      <c r="V63"/>
      <c r="W63"/>
      <c r="X63"/>
      <c r="Y63"/>
      <c r="Z63"/>
      <c r="AA63"/>
      <c r="AB63"/>
    </row>
    <row r="64" spans="4:28" x14ac:dyDescent="0.2">
      <c r="D64" s="117"/>
      <c r="E64" s="7"/>
      <c r="F64" s="7"/>
      <c r="G64" s="7"/>
      <c r="H64" s="7"/>
      <c r="I64" s="7"/>
      <c r="J64" s="7"/>
      <c r="K64" s="7"/>
      <c r="L64" s="7"/>
      <c r="M64" s="7"/>
      <c r="N64" s="7"/>
      <c r="O64" s="7"/>
      <c r="P64" s="7"/>
      <c r="R64"/>
      <c r="S64"/>
      <c r="T64"/>
      <c r="U64"/>
      <c r="V64"/>
      <c r="W64"/>
      <c r="X64"/>
      <c r="Y64"/>
      <c r="Z64"/>
      <c r="AA64"/>
      <c r="AB64"/>
    </row>
    <row r="65" spans="4:28" x14ac:dyDescent="0.2">
      <c r="D65" s="117"/>
      <c r="E65" s="7"/>
      <c r="F65" s="7"/>
      <c r="G65" s="7"/>
      <c r="H65" s="7"/>
      <c r="I65" s="7"/>
      <c r="J65" s="7"/>
      <c r="K65" s="7"/>
      <c r="L65" s="7"/>
      <c r="M65" s="7"/>
      <c r="N65" s="7"/>
      <c r="O65" s="7"/>
      <c r="P65" s="7"/>
      <c r="R65"/>
      <c r="S65"/>
      <c r="T65"/>
      <c r="U65"/>
      <c r="V65"/>
      <c r="W65"/>
      <c r="X65"/>
      <c r="Y65"/>
      <c r="Z65"/>
      <c r="AA65"/>
      <c r="AB65"/>
    </row>
    <row r="66" spans="4:28" x14ac:dyDescent="0.2">
      <c r="D66" s="117"/>
      <c r="E66" s="7"/>
      <c r="F66" s="7"/>
      <c r="G66" s="7"/>
      <c r="H66" s="7"/>
      <c r="I66" s="7"/>
      <c r="J66" s="7"/>
      <c r="K66" s="7"/>
      <c r="L66" s="7"/>
      <c r="M66" s="7"/>
      <c r="N66" s="7"/>
      <c r="O66" s="7"/>
      <c r="P66" s="7"/>
      <c r="R66"/>
      <c r="S66"/>
      <c r="T66"/>
      <c r="U66"/>
      <c r="V66"/>
      <c r="W66"/>
      <c r="X66"/>
      <c r="Y66"/>
      <c r="Z66"/>
      <c r="AA66"/>
      <c r="AB66"/>
    </row>
    <row r="67" spans="4:28" x14ac:dyDescent="0.2">
      <c r="D67" s="117"/>
      <c r="E67" s="7"/>
      <c r="F67" s="7"/>
      <c r="G67" s="7"/>
      <c r="H67" s="7"/>
      <c r="I67" s="7"/>
      <c r="J67" s="7"/>
      <c r="K67" s="7"/>
      <c r="L67" s="7"/>
      <c r="M67" s="7"/>
      <c r="N67" s="7"/>
      <c r="O67" s="7"/>
      <c r="P67" s="7"/>
      <c r="R67"/>
      <c r="S67"/>
      <c r="T67"/>
      <c r="U67"/>
      <c r="V67"/>
      <c r="W67"/>
      <c r="X67"/>
      <c r="Y67"/>
      <c r="Z67"/>
      <c r="AA67"/>
      <c r="AB67"/>
    </row>
    <row r="68" spans="4:28" x14ac:dyDescent="0.2">
      <c r="D68" s="117"/>
      <c r="E68" s="7"/>
      <c r="F68" s="7"/>
      <c r="G68" s="7"/>
      <c r="H68" s="7"/>
      <c r="I68" s="7"/>
      <c r="J68" s="7"/>
      <c r="K68" s="7"/>
      <c r="L68" s="7"/>
      <c r="M68" s="7"/>
      <c r="N68" s="7"/>
      <c r="O68" s="7"/>
      <c r="P68" s="7"/>
      <c r="R68"/>
      <c r="S68"/>
      <c r="T68"/>
      <c r="U68"/>
      <c r="V68"/>
      <c r="W68"/>
      <c r="X68"/>
      <c r="Y68"/>
      <c r="Z68"/>
      <c r="AA68"/>
      <c r="AB68"/>
    </row>
    <row r="69" spans="4:28" x14ac:dyDescent="0.2">
      <c r="D69" s="117"/>
      <c r="E69" s="7"/>
      <c r="F69" s="7"/>
      <c r="G69" s="7"/>
      <c r="H69" s="7"/>
      <c r="I69" s="7"/>
      <c r="J69" s="7"/>
      <c r="K69" s="7"/>
      <c r="L69" s="7"/>
      <c r="M69" s="7"/>
      <c r="N69" s="7"/>
      <c r="O69" s="7"/>
      <c r="P69" s="7"/>
      <c r="R69"/>
      <c r="S69"/>
      <c r="T69"/>
      <c r="U69"/>
      <c r="V69"/>
      <c r="W69"/>
      <c r="X69"/>
      <c r="Y69"/>
      <c r="Z69"/>
      <c r="AA69"/>
      <c r="AB69"/>
    </row>
    <row r="70" spans="4:28" x14ac:dyDescent="0.2">
      <c r="D70" s="117"/>
      <c r="E70" s="7"/>
      <c r="F70" s="7"/>
      <c r="G70" s="7"/>
      <c r="H70" s="7"/>
      <c r="I70" s="7"/>
      <c r="J70" s="7"/>
      <c r="K70" s="7"/>
      <c r="L70" s="7"/>
      <c r="M70" s="7"/>
      <c r="N70" s="7"/>
      <c r="O70" s="7"/>
      <c r="P70" s="7"/>
      <c r="R70"/>
      <c r="S70"/>
      <c r="T70"/>
      <c r="U70"/>
      <c r="V70"/>
      <c r="W70"/>
      <c r="X70"/>
      <c r="Y70"/>
      <c r="Z70"/>
      <c r="AA70"/>
      <c r="AB70"/>
    </row>
    <row r="71" spans="4:28" x14ac:dyDescent="0.2">
      <c r="D71" s="117"/>
      <c r="E71" s="7"/>
      <c r="F71" s="7"/>
      <c r="G71" s="7"/>
      <c r="H71" s="7"/>
      <c r="I71" s="7"/>
      <c r="J71" s="7"/>
      <c r="K71" s="7"/>
      <c r="L71" s="7"/>
      <c r="M71" s="7"/>
      <c r="N71" s="7"/>
      <c r="O71" s="7"/>
      <c r="P71" s="7"/>
      <c r="R71"/>
      <c r="S71"/>
      <c r="T71"/>
      <c r="U71"/>
      <c r="V71"/>
      <c r="W71"/>
      <c r="X71"/>
      <c r="Y71"/>
      <c r="Z71"/>
      <c r="AA71"/>
      <c r="AB71"/>
    </row>
    <row r="72" spans="4:28" x14ac:dyDescent="0.2">
      <c r="D72" s="117"/>
      <c r="E72" s="7"/>
      <c r="F72" s="7"/>
      <c r="G72" s="7"/>
      <c r="H72" s="7"/>
      <c r="I72" s="7"/>
      <c r="J72" s="7"/>
      <c r="K72" s="7"/>
      <c r="L72" s="7"/>
      <c r="M72" s="7"/>
      <c r="N72" s="7"/>
      <c r="O72" s="7"/>
      <c r="P72" s="7"/>
      <c r="R72"/>
      <c r="S72"/>
      <c r="T72"/>
      <c r="U72"/>
      <c r="V72"/>
      <c r="W72"/>
      <c r="X72"/>
      <c r="Y72"/>
      <c r="Z72"/>
      <c r="AA72"/>
      <c r="AB72"/>
    </row>
    <row r="73" spans="4:28" x14ac:dyDescent="0.2">
      <c r="E73" s="7"/>
      <c r="F73" s="7"/>
      <c r="G73" s="7"/>
      <c r="H73" s="7"/>
      <c r="I73" s="7"/>
      <c r="J73" s="7"/>
      <c r="K73" s="7"/>
      <c r="L73" s="7"/>
      <c r="M73" s="7"/>
      <c r="N73" s="7"/>
      <c r="O73" s="7"/>
      <c r="P73" s="7"/>
      <c r="R73"/>
      <c r="S73"/>
      <c r="T73"/>
      <c r="U73"/>
      <c r="V73"/>
      <c r="W73"/>
      <c r="X73"/>
      <c r="Y73"/>
      <c r="Z73"/>
      <c r="AA73"/>
      <c r="AB73"/>
    </row>
    <row r="74" spans="4:28" x14ac:dyDescent="0.2">
      <c r="E74" s="7"/>
      <c r="F74" s="7"/>
      <c r="G74" s="7"/>
      <c r="H74" s="7"/>
      <c r="I74" s="7"/>
      <c r="J74" s="7"/>
      <c r="K74" s="7"/>
      <c r="L74" s="7"/>
      <c r="M74" s="7"/>
      <c r="N74" s="7"/>
      <c r="O74" s="7"/>
      <c r="P74" s="7"/>
      <c r="R74"/>
      <c r="S74"/>
      <c r="T74"/>
      <c r="U74"/>
      <c r="V74"/>
      <c r="W74"/>
      <c r="X74"/>
      <c r="Y74"/>
      <c r="Z74"/>
      <c r="AA74"/>
      <c r="AB74"/>
    </row>
    <row r="75" spans="4:28" x14ac:dyDescent="0.2">
      <c r="E75" s="7"/>
      <c r="F75" s="7"/>
      <c r="G75" s="7"/>
      <c r="H75" s="7"/>
      <c r="I75" s="7"/>
      <c r="J75" s="7"/>
      <c r="K75" s="7"/>
      <c r="L75" s="7"/>
      <c r="M75" s="7"/>
      <c r="N75" s="7"/>
      <c r="O75" s="7"/>
      <c r="P75" s="7"/>
      <c r="R75"/>
      <c r="S75"/>
      <c r="T75"/>
      <c r="U75"/>
      <c r="V75"/>
      <c r="W75"/>
      <c r="X75"/>
      <c r="Y75"/>
      <c r="Z75"/>
      <c r="AA75"/>
      <c r="AB75"/>
    </row>
    <row r="76" spans="4:28" x14ac:dyDescent="0.2">
      <c r="E76" s="7"/>
      <c r="F76" s="7"/>
      <c r="G76" s="7"/>
      <c r="H76" s="7"/>
      <c r="I76" s="7"/>
      <c r="J76" s="7"/>
      <c r="K76" s="7"/>
      <c r="L76" s="7"/>
      <c r="M76" s="7"/>
      <c r="N76" s="7"/>
      <c r="O76" s="7"/>
      <c r="P76" s="7"/>
      <c r="R76"/>
      <c r="S76"/>
      <c r="T76"/>
      <c r="U76"/>
      <c r="V76"/>
      <c r="W76"/>
      <c r="X76"/>
      <c r="Y76"/>
      <c r="Z76"/>
      <c r="AA76"/>
      <c r="AB76"/>
    </row>
    <row r="77" spans="4:28" x14ac:dyDescent="0.2">
      <c r="E77" s="7"/>
      <c r="F77" s="7"/>
      <c r="G77" s="7"/>
      <c r="H77" s="7"/>
      <c r="I77" s="7"/>
      <c r="J77" s="7"/>
      <c r="K77" s="7"/>
      <c r="L77" s="7"/>
      <c r="M77" s="7"/>
      <c r="N77" s="7"/>
      <c r="O77" s="7"/>
      <c r="P77" s="7"/>
      <c r="R77"/>
      <c r="S77"/>
      <c r="T77"/>
      <c r="U77"/>
      <c r="V77"/>
      <c r="W77"/>
      <c r="X77"/>
      <c r="Y77"/>
      <c r="Z77"/>
      <c r="AA77"/>
      <c r="AB77"/>
    </row>
    <row r="78" spans="4:28" x14ac:dyDescent="0.2">
      <c r="E78" s="7"/>
      <c r="F78" s="7"/>
      <c r="G78" s="7"/>
      <c r="H78" s="7"/>
      <c r="I78" s="7"/>
      <c r="J78" s="7"/>
      <c r="K78" s="7"/>
      <c r="L78" s="7"/>
      <c r="M78" s="7"/>
      <c r="N78" s="7"/>
      <c r="O78" s="7"/>
      <c r="P78" s="7"/>
      <c r="R78"/>
      <c r="S78"/>
      <c r="T78"/>
      <c r="U78"/>
      <c r="V78"/>
      <c r="W78"/>
      <c r="X78"/>
      <c r="Y78"/>
      <c r="Z78"/>
      <c r="AA78"/>
      <c r="AB78"/>
    </row>
    <row r="79" spans="4:28" x14ac:dyDescent="0.2">
      <c r="E79" s="7"/>
      <c r="F79" s="7"/>
      <c r="G79" s="7"/>
      <c r="H79" s="7"/>
      <c r="I79" s="7"/>
      <c r="J79" s="7"/>
      <c r="K79" s="7"/>
      <c r="L79" s="7"/>
      <c r="M79" s="7"/>
      <c r="N79" s="7"/>
      <c r="O79" s="7"/>
      <c r="P79" s="7"/>
      <c r="R79"/>
      <c r="S79"/>
      <c r="T79"/>
      <c r="U79"/>
      <c r="V79"/>
      <c r="W79"/>
      <c r="X79"/>
      <c r="Y79"/>
      <c r="Z79"/>
      <c r="AA79"/>
      <c r="AB79"/>
    </row>
    <row r="80" spans="4:28" x14ac:dyDescent="0.2">
      <c r="E80" s="7"/>
      <c r="F80" s="7"/>
      <c r="G80" s="7"/>
      <c r="H80" s="7"/>
      <c r="I80" s="7"/>
      <c r="J80" s="7"/>
      <c r="K80" s="7"/>
      <c r="L80" s="7"/>
      <c r="M80" s="7"/>
      <c r="N80" s="7"/>
      <c r="O80" s="7"/>
      <c r="P80" s="7"/>
      <c r="R80"/>
      <c r="S80"/>
      <c r="T80"/>
      <c r="U80"/>
      <c r="V80"/>
      <c r="W80"/>
      <c r="X80"/>
      <c r="Y80"/>
      <c r="Z80"/>
      <c r="AA80"/>
      <c r="AB80"/>
    </row>
    <row r="81" spans="5:28" x14ac:dyDescent="0.2">
      <c r="E81" s="8"/>
      <c r="F81" s="8"/>
      <c r="G81" s="8"/>
      <c r="H81" s="8"/>
      <c r="I81" s="8"/>
      <c r="J81" s="7"/>
      <c r="K81" s="7"/>
      <c r="L81" s="7"/>
      <c r="M81" s="7"/>
      <c r="N81" s="7"/>
      <c r="O81" s="7"/>
      <c r="P81" s="7"/>
      <c r="R81"/>
      <c r="S81"/>
      <c r="T81"/>
      <c r="U81"/>
      <c r="V81"/>
      <c r="W81"/>
      <c r="X81"/>
      <c r="Y81"/>
      <c r="Z81"/>
      <c r="AA81"/>
      <c r="AB81"/>
    </row>
    <row r="82" spans="5:28" x14ac:dyDescent="0.2">
      <c r="E82" s="8"/>
      <c r="F82" s="8"/>
      <c r="G82" s="8"/>
      <c r="H82" s="8"/>
      <c r="I82" s="8"/>
      <c r="J82" s="7"/>
      <c r="K82" s="7"/>
      <c r="L82" s="7"/>
      <c r="M82" s="7"/>
      <c r="N82" s="7"/>
      <c r="O82" s="7"/>
      <c r="P82" s="7"/>
      <c r="R82"/>
      <c r="S82"/>
      <c r="T82"/>
      <c r="U82"/>
      <c r="V82"/>
      <c r="W82"/>
      <c r="X82"/>
      <c r="Y82"/>
      <c r="Z82"/>
      <c r="AA82"/>
      <c r="AB82"/>
    </row>
    <row r="83" spans="5:28" x14ac:dyDescent="0.2">
      <c r="E83" s="8"/>
      <c r="F83" s="8"/>
      <c r="G83" s="8"/>
      <c r="H83" s="8"/>
      <c r="I83" s="8"/>
      <c r="J83" s="7"/>
      <c r="K83" s="7"/>
      <c r="L83" s="7"/>
      <c r="M83" s="7"/>
      <c r="N83" s="7"/>
      <c r="O83" s="7"/>
      <c r="P83" s="7"/>
      <c r="R83"/>
      <c r="S83"/>
      <c r="T83"/>
      <c r="U83"/>
      <c r="V83"/>
      <c r="W83"/>
      <c r="X83"/>
      <c r="Y83"/>
      <c r="Z83"/>
      <c r="AA83"/>
      <c r="AB83"/>
    </row>
    <row r="84" spans="5:28" x14ac:dyDescent="0.2">
      <c r="E84" s="8"/>
      <c r="F84" s="8"/>
      <c r="G84" s="8"/>
      <c r="H84" s="8"/>
      <c r="I84" s="8"/>
      <c r="J84" s="7"/>
      <c r="K84" s="7"/>
      <c r="L84" s="7"/>
      <c r="M84" s="7"/>
      <c r="N84" s="7"/>
      <c r="O84" s="7"/>
      <c r="P84" s="7"/>
      <c r="R84"/>
      <c r="S84"/>
      <c r="T84"/>
      <c r="U84"/>
      <c r="V84"/>
      <c r="W84"/>
      <c r="X84"/>
      <c r="Y84"/>
      <c r="Z84"/>
      <c r="AA84"/>
      <c r="AB84"/>
    </row>
    <row r="85" spans="5:28" x14ac:dyDescent="0.2">
      <c r="E85" s="8"/>
      <c r="F85" s="8"/>
      <c r="G85" s="8"/>
      <c r="H85" s="8"/>
      <c r="I85" s="8"/>
      <c r="J85" s="8"/>
      <c r="K85" s="8"/>
      <c r="L85" s="8"/>
      <c r="M85" s="8"/>
      <c r="N85" s="8"/>
      <c r="O85" s="8"/>
      <c r="P85" s="8"/>
      <c r="R85"/>
      <c r="S85"/>
      <c r="T85"/>
      <c r="U85"/>
      <c r="V85"/>
      <c r="W85"/>
      <c r="X85"/>
      <c r="Y85"/>
      <c r="Z85"/>
      <c r="AA85"/>
      <c r="AB85"/>
    </row>
    <row r="86" spans="5:28" x14ac:dyDescent="0.2">
      <c r="E86" s="8"/>
      <c r="F86" s="8"/>
      <c r="G86" s="8"/>
      <c r="H86" s="8"/>
      <c r="I86" s="8"/>
      <c r="J86" s="8"/>
      <c r="K86" s="8"/>
      <c r="L86" s="8"/>
      <c r="M86" s="8"/>
      <c r="N86" s="8"/>
      <c r="O86" s="8"/>
      <c r="P86" s="8"/>
      <c r="R86"/>
      <c r="S86"/>
      <c r="T86"/>
      <c r="U86"/>
      <c r="V86"/>
      <c r="W86"/>
      <c r="X86"/>
      <c r="Y86"/>
      <c r="Z86"/>
      <c r="AA86"/>
      <c r="AB86"/>
    </row>
    <row r="87" spans="5:28" x14ac:dyDescent="0.2">
      <c r="E87" s="691"/>
      <c r="F87" s="691"/>
      <c r="G87" s="691"/>
      <c r="H87" s="691"/>
      <c r="I87" s="691"/>
      <c r="J87" s="8"/>
      <c r="K87" s="8"/>
      <c r="L87" s="8"/>
      <c r="M87" s="8"/>
      <c r="N87" s="8"/>
      <c r="O87" s="8"/>
      <c r="P87" s="8"/>
      <c r="R87"/>
      <c r="S87"/>
      <c r="T87"/>
      <c r="U87"/>
      <c r="V87"/>
      <c r="W87"/>
      <c r="X87"/>
      <c r="Y87"/>
      <c r="Z87"/>
      <c r="AA87"/>
      <c r="AB87"/>
    </row>
    <row r="88" spans="5:28" x14ac:dyDescent="0.2">
      <c r="E88" s="8"/>
      <c r="F88" s="8"/>
      <c r="G88" s="8"/>
      <c r="H88" s="8"/>
      <c r="I88" s="8"/>
      <c r="J88" s="8"/>
      <c r="K88" s="8"/>
      <c r="L88" s="8"/>
      <c r="M88" s="8"/>
      <c r="N88" s="8"/>
      <c r="O88" s="8"/>
      <c r="P88" s="8"/>
      <c r="R88"/>
      <c r="S88"/>
      <c r="T88"/>
      <c r="U88"/>
      <c r="V88"/>
      <c r="W88"/>
      <c r="X88"/>
      <c r="Y88"/>
      <c r="Z88"/>
      <c r="AA88"/>
      <c r="AB88"/>
    </row>
    <row r="89" spans="5:28" x14ac:dyDescent="0.2">
      <c r="E89" s="8"/>
      <c r="F89" s="8"/>
      <c r="G89" s="8"/>
      <c r="H89" s="8"/>
      <c r="I89" s="8"/>
      <c r="J89" s="8"/>
      <c r="K89" s="8"/>
      <c r="L89" s="8"/>
      <c r="M89" s="8"/>
      <c r="N89" s="8"/>
      <c r="O89" s="8"/>
      <c r="P89" s="8"/>
      <c r="R89"/>
      <c r="S89"/>
      <c r="T89"/>
      <c r="U89"/>
      <c r="V89"/>
      <c r="W89"/>
      <c r="X89"/>
      <c r="Y89"/>
      <c r="Z89"/>
      <c r="AA89"/>
      <c r="AB89"/>
    </row>
    <row r="90" spans="5:28" x14ac:dyDescent="0.2">
      <c r="E90" s="8"/>
      <c r="F90" s="8"/>
      <c r="G90" s="8"/>
      <c r="H90" s="8"/>
      <c r="I90" s="8"/>
      <c r="J90" s="8"/>
      <c r="K90" s="8"/>
      <c r="L90" s="8"/>
      <c r="M90" s="8"/>
      <c r="N90" s="8"/>
      <c r="O90" s="8"/>
      <c r="P90" s="8"/>
      <c r="R90"/>
      <c r="S90"/>
      <c r="T90"/>
      <c r="U90"/>
      <c r="V90"/>
      <c r="W90"/>
      <c r="X90"/>
      <c r="Y90"/>
      <c r="Z90"/>
      <c r="AA90"/>
      <c r="AB90"/>
    </row>
    <row r="91" spans="5:28" x14ac:dyDescent="0.2">
      <c r="E91" s="8"/>
      <c r="F91" s="8"/>
      <c r="G91" s="8"/>
      <c r="H91" s="8"/>
      <c r="I91" s="8"/>
      <c r="J91" s="8"/>
      <c r="K91" s="8"/>
      <c r="L91" s="8"/>
      <c r="M91" s="8"/>
      <c r="N91" s="8"/>
      <c r="O91" s="8"/>
      <c r="P91" s="8"/>
      <c r="R91"/>
      <c r="S91"/>
      <c r="T91"/>
      <c r="U91"/>
      <c r="V91"/>
      <c r="W91"/>
      <c r="X91"/>
      <c r="Y91"/>
      <c r="Z91"/>
      <c r="AA91"/>
      <c r="AB91"/>
    </row>
    <row r="92" spans="5:28" x14ac:dyDescent="0.2">
      <c r="E92" s="8"/>
      <c r="F92" s="8"/>
      <c r="G92" s="8"/>
      <c r="H92" s="8"/>
      <c r="I92" s="8"/>
      <c r="J92" s="8"/>
      <c r="K92" s="8"/>
      <c r="L92" s="8"/>
      <c r="M92" s="8"/>
      <c r="N92" s="8"/>
      <c r="O92" s="8"/>
      <c r="P92" s="8"/>
      <c r="R92"/>
      <c r="S92"/>
      <c r="T92"/>
      <c r="U92"/>
      <c r="V92"/>
      <c r="W92"/>
      <c r="X92"/>
      <c r="Y92"/>
      <c r="Z92"/>
      <c r="AA92"/>
      <c r="AB92"/>
    </row>
    <row r="93" spans="5:28" x14ac:dyDescent="0.2">
      <c r="E93" s="8"/>
      <c r="F93" s="8"/>
      <c r="G93" s="8"/>
      <c r="H93" s="8"/>
      <c r="I93" s="8"/>
      <c r="J93" s="8"/>
      <c r="K93" s="8"/>
      <c r="L93" s="8"/>
      <c r="M93" s="8"/>
      <c r="N93" s="8"/>
      <c r="O93" s="8"/>
      <c r="P93" s="8"/>
      <c r="R93"/>
      <c r="S93"/>
      <c r="T93"/>
      <c r="U93"/>
      <c r="V93"/>
      <c r="W93"/>
      <c r="X93"/>
      <c r="Y93"/>
      <c r="Z93"/>
      <c r="AA93"/>
      <c r="AB93"/>
    </row>
    <row r="94" spans="5:28" x14ac:dyDescent="0.2">
      <c r="E94" s="8"/>
      <c r="F94" s="8"/>
      <c r="G94" s="8"/>
      <c r="H94" s="8"/>
      <c r="I94" s="8"/>
      <c r="J94" s="8"/>
      <c r="K94" s="8"/>
      <c r="L94" s="8"/>
      <c r="M94" s="8"/>
      <c r="N94" s="8"/>
      <c r="O94" s="8"/>
      <c r="P94" s="8"/>
      <c r="R94"/>
      <c r="S94"/>
      <c r="T94"/>
      <c r="U94"/>
      <c r="V94"/>
      <c r="W94"/>
      <c r="X94"/>
      <c r="Y94"/>
      <c r="Z94"/>
      <c r="AA94"/>
      <c r="AB94"/>
    </row>
    <row r="95" spans="5:28" x14ac:dyDescent="0.2">
      <c r="E95" s="8"/>
      <c r="F95" s="8"/>
      <c r="G95" s="8"/>
      <c r="H95" s="8"/>
      <c r="I95" s="8"/>
      <c r="J95" s="8"/>
      <c r="K95" s="8"/>
      <c r="L95" s="8"/>
      <c r="M95" s="8"/>
      <c r="N95" s="8"/>
      <c r="O95" s="8"/>
      <c r="P95" s="8"/>
      <c r="R95"/>
      <c r="S95"/>
      <c r="T95"/>
      <c r="U95"/>
      <c r="V95"/>
      <c r="W95"/>
      <c r="X95"/>
      <c r="Y95"/>
      <c r="Z95"/>
      <c r="AA95"/>
      <c r="AB95"/>
    </row>
    <row r="96" spans="5:28" x14ac:dyDescent="0.2">
      <c r="E96" s="8"/>
      <c r="F96" s="8"/>
      <c r="G96" s="8"/>
      <c r="H96" s="8"/>
      <c r="I96" s="8"/>
      <c r="J96" s="8"/>
      <c r="K96" s="8"/>
      <c r="L96" s="8"/>
      <c r="M96" s="8"/>
      <c r="N96" s="8"/>
      <c r="O96" s="8"/>
      <c r="P96" s="8"/>
      <c r="R96"/>
      <c r="S96"/>
      <c r="T96"/>
      <c r="U96"/>
      <c r="V96"/>
      <c r="W96"/>
      <c r="X96"/>
      <c r="Y96"/>
      <c r="Z96"/>
      <c r="AA96"/>
      <c r="AB96"/>
    </row>
    <row r="97" spans="5:28" x14ac:dyDescent="0.2">
      <c r="E97" s="8"/>
      <c r="F97" s="8"/>
      <c r="G97" s="8"/>
      <c r="H97" s="8"/>
      <c r="I97" s="8"/>
      <c r="J97" s="8"/>
      <c r="K97" s="8"/>
      <c r="L97" s="8"/>
      <c r="M97" s="8"/>
      <c r="N97" s="8"/>
      <c r="O97" s="8"/>
      <c r="P97" s="8"/>
      <c r="R97"/>
      <c r="S97"/>
      <c r="T97"/>
      <c r="U97"/>
      <c r="V97"/>
      <c r="W97"/>
      <c r="X97"/>
      <c r="Y97"/>
      <c r="Z97"/>
      <c r="AA97"/>
      <c r="AB97"/>
    </row>
    <row r="98" spans="5:28" x14ac:dyDescent="0.2">
      <c r="E98" s="8"/>
      <c r="F98" s="8"/>
      <c r="G98" s="8"/>
      <c r="H98" s="8"/>
      <c r="I98" s="8"/>
      <c r="J98" s="8"/>
      <c r="K98" s="8"/>
      <c r="L98" s="8"/>
      <c r="M98" s="8"/>
      <c r="N98" s="8"/>
      <c r="O98" s="8"/>
      <c r="P98" s="8"/>
    </row>
    <row r="99" spans="5:28" x14ac:dyDescent="0.2">
      <c r="E99" s="8"/>
      <c r="F99" s="8"/>
      <c r="G99" s="8"/>
      <c r="H99" s="8"/>
      <c r="I99" s="8"/>
      <c r="J99" s="8"/>
      <c r="K99" s="8"/>
      <c r="L99" s="8"/>
      <c r="M99" s="8"/>
      <c r="N99" s="8"/>
      <c r="O99" s="8"/>
      <c r="P99" s="8"/>
    </row>
    <row r="100" spans="5:28" x14ac:dyDescent="0.2">
      <c r="E100" s="8"/>
      <c r="F100" s="8"/>
      <c r="G100" s="8"/>
      <c r="H100" s="8"/>
      <c r="I100" s="8"/>
      <c r="J100" s="8"/>
      <c r="K100" s="8"/>
      <c r="L100" s="8"/>
      <c r="M100" s="8"/>
      <c r="N100" s="8"/>
      <c r="O100" s="8"/>
      <c r="P100" s="8"/>
    </row>
    <row r="101" spans="5:28" x14ac:dyDescent="0.2">
      <c r="E101" s="8"/>
      <c r="F101" s="8"/>
      <c r="G101" s="8"/>
      <c r="H101" s="8"/>
      <c r="I101" s="8"/>
      <c r="J101" s="8"/>
      <c r="K101" s="8"/>
      <c r="L101" s="8"/>
      <c r="M101" s="8"/>
      <c r="N101" s="8"/>
      <c r="O101" s="8"/>
      <c r="P101" s="8"/>
    </row>
    <row r="102" spans="5:28" x14ac:dyDescent="0.2">
      <c r="E102" s="8"/>
      <c r="F102" s="8"/>
      <c r="G102" s="8"/>
      <c r="H102" s="8"/>
      <c r="I102" s="8"/>
      <c r="J102" s="8"/>
      <c r="K102" s="8"/>
      <c r="L102" s="8"/>
      <c r="M102" s="8"/>
      <c r="N102" s="8"/>
      <c r="O102" s="8"/>
      <c r="P102" s="8"/>
    </row>
    <row r="103" spans="5:28" x14ac:dyDescent="0.2">
      <c r="E103" s="8"/>
      <c r="F103" s="8"/>
      <c r="G103" s="8"/>
      <c r="H103" s="8"/>
      <c r="I103" s="8"/>
      <c r="J103" s="8"/>
      <c r="K103" s="8"/>
      <c r="L103" s="8"/>
      <c r="M103" s="8"/>
      <c r="N103" s="8"/>
      <c r="O103" s="8"/>
      <c r="P103" s="8"/>
    </row>
    <row r="104" spans="5:28" x14ac:dyDescent="0.2">
      <c r="E104" s="8"/>
      <c r="F104" s="8"/>
      <c r="G104" s="8"/>
      <c r="H104" s="8"/>
      <c r="I104" s="8"/>
      <c r="J104" s="8"/>
      <c r="K104" s="8"/>
      <c r="L104" s="8"/>
      <c r="M104" s="8"/>
      <c r="N104" s="8"/>
      <c r="O104" s="8"/>
      <c r="P104" s="8"/>
    </row>
    <row r="105" spans="5:28" x14ac:dyDescent="0.2">
      <c r="E105" s="8"/>
      <c r="F105" s="8"/>
      <c r="G105" s="8"/>
      <c r="H105" s="8"/>
      <c r="I105" s="8"/>
      <c r="J105" s="8"/>
      <c r="K105" s="8"/>
      <c r="L105" s="8"/>
      <c r="M105" s="8"/>
      <c r="N105" s="8"/>
      <c r="O105" s="8"/>
      <c r="P105" s="8"/>
    </row>
    <row r="106" spans="5:28" x14ac:dyDescent="0.2">
      <c r="E106" s="8"/>
      <c r="F106" s="8"/>
      <c r="G106" s="8"/>
      <c r="H106" s="8"/>
      <c r="I106" s="8"/>
      <c r="J106" s="8"/>
      <c r="K106" s="8"/>
      <c r="L106" s="8"/>
      <c r="M106" s="8"/>
      <c r="N106" s="8"/>
      <c r="O106" s="8"/>
      <c r="P106" s="8"/>
    </row>
    <row r="107" spans="5:28" x14ac:dyDescent="0.2">
      <c r="E107" s="8"/>
      <c r="F107" s="8"/>
      <c r="G107" s="8"/>
      <c r="H107" s="8"/>
      <c r="I107" s="8"/>
      <c r="J107" s="8"/>
      <c r="K107" s="8"/>
      <c r="L107" s="8"/>
      <c r="M107" s="8"/>
      <c r="N107" s="8"/>
      <c r="O107" s="8"/>
      <c r="P107" s="8"/>
    </row>
    <row r="108" spans="5:28" x14ac:dyDescent="0.2">
      <c r="E108" s="8"/>
      <c r="F108" s="8"/>
      <c r="G108" s="8"/>
      <c r="H108" s="8"/>
      <c r="I108" s="8"/>
      <c r="J108" s="8"/>
      <c r="K108" s="8"/>
      <c r="L108" s="8"/>
      <c r="M108" s="8"/>
      <c r="N108" s="8"/>
      <c r="O108" s="8"/>
      <c r="P108" s="8"/>
    </row>
    <row r="109" spans="5:28" x14ac:dyDescent="0.2">
      <c r="E109" s="8"/>
      <c r="F109" s="8"/>
      <c r="G109" s="8"/>
      <c r="H109" s="8"/>
      <c r="I109" s="8"/>
      <c r="J109" s="8"/>
      <c r="K109" s="8"/>
      <c r="L109" s="8"/>
      <c r="M109" s="8"/>
      <c r="N109" s="8"/>
      <c r="O109" s="8"/>
      <c r="P109" s="8"/>
    </row>
    <row r="110" spans="5:28" x14ac:dyDescent="0.2">
      <c r="E110" s="8"/>
      <c r="F110" s="8"/>
      <c r="G110" s="8"/>
      <c r="H110" s="8"/>
      <c r="I110" s="8"/>
      <c r="J110" s="8"/>
      <c r="K110" s="8"/>
      <c r="L110" s="8"/>
      <c r="M110" s="8"/>
      <c r="N110" s="8"/>
      <c r="O110" s="8"/>
      <c r="P110" s="8"/>
    </row>
    <row r="111" spans="5:28" x14ac:dyDescent="0.2">
      <c r="E111" s="8"/>
      <c r="F111" s="8"/>
      <c r="G111" s="8"/>
      <c r="H111" s="8"/>
      <c r="I111" s="8"/>
      <c r="J111" s="8"/>
      <c r="K111" s="8"/>
      <c r="L111" s="8"/>
      <c r="M111" s="8"/>
      <c r="N111" s="8"/>
      <c r="O111" s="8"/>
      <c r="P111" s="8"/>
    </row>
    <row r="112" spans="5:28" x14ac:dyDescent="0.2">
      <c r="E112" s="8"/>
      <c r="F112" s="8"/>
      <c r="G112" s="8"/>
      <c r="H112" s="8"/>
      <c r="I112" s="8"/>
      <c r="J112" s="8"/>
      <c r="K112" s="8"/>
      <c r="L112" s="8"/>
      <c r="M112" s="8"/>
      <c r="N112" s="8"/>
      <c r="O112" s="8"/>
      <c r="P112" s="8"/>
    </row>
    <row r="113" spans="5:16" x14ac:dyDescent="0.2">
      <c r="E113" s="8"/>
      <c r="F113" s="8"/>
      <c r="G113" s="8"/>
      <c r="H113" s="8"/>
      <c r="I113" s="8"/>
      <c r="J113" s="8"/>
      <c r="K113" s="8"/>
      <c r="L113" s="8"/>
      <c r="M113" s="8"/>
      <c r="N113" s="8"/>
      <c r="O113" s="8"/>
      <c r="P113" s="8"/>
    </row>
    <row r="114" spans="5:16" x14ac:dyDescent="0.2">
      <c r="E114" s="8"/>
      <c r="F114" s="8"/>
      <c r="G114" s="8"/>
      <c r="H114" s="8"/>
      <c r="I114" s="8"/>
      <c r="J114" s="8"/>
      <c r="K114" s="8"/>
      <c r="L114" s="8"/>
      <c r="M114" s="8"/>
      <c r="N114" s="8"/>
      <c r="O114" s="8"/>
      <c r="P114" s="8"/>
    </row>
    <row r="115" spans="5:16" x14ac:dyDescent="0.2">
      <c r="E115" s="8"/>
      <c r="F115" s="8"/>
      <c r="G115" s="8"/>
      <c r="H115" s="8"/>
      <c r="I115" s="8"/>
      <c r="J115" s="8"/>
      <c r="K115" s="8"/>
      <c r="L115" s="8"/>
      <c r="M115" s="8"/>
      <c r="N115" s="8"/>
      <c r="O115" s="8"/>
      <c r="P115" s="8"/>
    </row>
    <row r="116" spans="5:16" x14ac:dyDescent="0.2">
      <c r="E116" s="8"/>
      <c r="F116" s="8"/>
      <c r="G116" s="8"/>
      <c r="H116" s="8"/>
      <c r="I116" s="8"/>
      <c r="J116" s="8"/>
      <c r="K116" s="8"/>
      <c r="L116" s="8"/>
      <c r="M116" s="8"/>
      <c r="N116" s="8"/>
      <c r="O116" s="8"/>
      <c r="P116" s="8"/>
    </row>
    <row r="117" spans="5:16" x14ac:dyDescent="0.2">
      <c r="E117" s="8"/>
      <c r="F117" s="8"/>
      <c r="G117" s="8"/>
      <c r="H117" s="8"/>
      <c r="I117" s="8"/>
      <c r="J117" s="8"/>
      <c r="K117" s="8"/>
      <c r="L117" s="8"/>
      <c r="M117" s="8"/>
      <c r="N117" s="8"/>
      <c r="O117" s="8"/>
      <c r="P117" s="8"/>
    </row>
    <row r="118" spans="5:16" x14ac:dyDescent="0.2">
      <c r="E118" s="8"/>
      <c r="F118" s="8"/>
      <c r="G118" s="8"/>
      <c r="H118" s="8"/>
      <c r="I118" s="8"/>
      <c r="J118" s="8"/>
      <c r="K118" s="8"/>
      <c r="L118" s="8"/>
      <c r="M118" s="8"/>
      <c r="N118" s="8"/>
      <c r="O118" s="8"/>
      <c r="P118" s="8"/>
    </row>
    <row r="119" spans="5:16" x14ac:dyDescent="0.2">
      <c r="E119" s="8"/>
      <c r="F119" s="8"/>
      <c r="G119" s="8"/>
      <c r="H119" s="8"/>
      <c r="I119" s="8"/>
      <c r="J119" s="8"/>
      <c r="K119" s="8"/>
      <c r="L119" s="8"/>
      <c r="M119" s="8"/>
      <c r="N119" s="8"/>
      <c r="O119" s="8"/>
      <c r="P119" s="8"/>
    </row>
    <row r="120" spans="5:16" x14ac:dyDescent="0.2">
      <c r="E120" s="8"/>
      <c r="F120" s="8"/>
      <c r="G120" s="8"/>
      <c r="H120" s="8"/>
      <c r="I120" s="8"/>
      <c r="J120" s="8"/>
      <c r="K120" s="8"/>
      <c r="L120" s="8"/>
      <c r="M120" s="8"/>
      <c r="N120" s="8"/>
      <c r="O120" s="8"/>
      <c r="P120" s="8"/>
    </row>
    <row r="121" spans="5:16" x14ac:dyDescent="0.2">
      <c r="E121" s="8"/>
      <c r="F121" s="8"/>
      <c r="G121" s="8"/>
      <c r="H121" s="8"/>
      <c r="I121" s="8"/>
      <c r="J121" s="8"/>
      <c r="K121" s="8"/>
      <c r="L121" s="8"/>
      <c r="M121" s="8"/>
      <c r="N121" s="8"/>
      <c r="O121" s="8"/>
      <c r="P121" s="8"/>
    </row>
    <row r="122" spans="5:16" x14ac:dyDescent="0.2">
      <c r="E122" s="8"/>
      <c r="F122" s="8"/>
      <c r="G122" s="8"/>
      <c r="H122" s="8"/>
      <c r="I122" s="8"/>
      <c r="J122" s="8"/>
      <c r="K122" s="8"/>
      <c r="L122" s="8"/>
      <c r="M122" s="8"/>
      <c r="N122" s="8"/>
      <c r="O122" s="8"/>
      <c r="P122" s="8"/>
    </row>
    <row r="123" spans="5:16" x14ac:dyDescent="0.2">
      <c r="E123" s="8"/>
      <c r="F123" s="8"/>
      <c r="G123" s="8"/>
      <c r="H123" s="8"/>
      <c r="I123" s="8"/>
      <c r="J123" s="8"/>
      <c r="K123" s="8"/>
      <c r="L123" s="8"/>
      <c r="M123" s="8"/>
      <c r="N123" s="8"/>
      <c r="O123" s="8"/>
      <c r="P123" s="8"/>
    </row>
    <row r="124" spans="5:16" x14ac:dyDescent="0.2">
      <c r="E124" s="8"/>
      <c r="F124" s="8"/>
      <c r="G124" s="8"/>
      <c r="H124" s="8"/>
      <c r="I124" s="8"/>
      <c r="J124" s="8"/>
      <c r="K124" s="8"/>
      <c r="L124" s="8"/>
      <c r="M124" s="8"/>
      <c r="N124" s="8"/>
      <c r="O124" s="8"/>
      <c r="P124" s="8"/>
    </row>
    <row r="125" spans="5:16" x14ac:dyDescent="0.2">
      <c r="E125" s="8"/>
      <c r="F125" s="8"/>
      <c r="G125" s="8"/>
      <c r="H125" s="8"/>
      <c r="I125" s="8"/>
      <c r="J125" s="8"/>
      <c r="K125" s="8"/>
      <c r="L125" s="8"/>
      <c r="M125" s="8"/>
      <c r="N125" s="8"/>
      <c r="O125" s="8"/>
      <c r="P125" s="8"/>
    </row>
    <row r="126" spans="5:16" x14ac:dyDescent="0.2">
      <c r="E126" s="8"/>
      <c r="F126" s="8"/>
      <c r="G126" s="8"/>
      <c r="H126" s="8"/>
      <c r="I126" s="8"/>
      <c r="J126" s="8"/>
      <c r="K126" s="8"/>
      <c r="L126" s="8"/>
      <c r="M126" s="8"/>
      <c r="N126" s="8"/>
      <c r="O126" s="8"/>
      <c r="P126" s="8"/>
    </row>
    <row r="127" spans="5:16" x14ac:dyDescent="0.2">
      <c r="E127" s="8"/>
      <c r="F127" s="8"/>
      <c r="G127" s="8"/>
      <c r="H127" s="8"/>
      <c r="I127" s="8"/>
      <c r="J127" s="8"/>
      <c r="K127" s="8"/>
      <c r="L127" s="8"/>
      <c r="M127" s="8"/>
      <c r="N127" s="8"/>
      <c r="O127" s="8"/>
      <c r="P127" s="8"/>
    </row>
    <row r="128" spans="5:16" x14ac:dyDescent="0.2">
      <c r="E128" s="8"/>
      <c r="F128" s="8"/>
      <c r="G128" s="8"/>
      <c r="H128" s="8"/>
      <c r="I128" s="8"/>
      <c r="J128" s="8"/>
      <c r="K128" s="8"/>
      <c r="L128" s="8"/>
      <c r="M128" s="8"/>
      <c r="N128" s="8"/>
      <c r="O128" s="8"/>
      <c r="P128" s="8"/>
    </row>
    <row r="129" spans="5:16" x14ac:dyDescent="0.2">
      <c r="E129" s="8"/>
      <c r="F129" s="8"/>
      <c r="G129" s="8"/>
      <c r="H129" s="8"/>
      <c r="I129" s="8"/>
      <c r="J129" s="8"/>
      <c r="K129" s="8"/>
      <c r="L129" s="8"/>
      <c r="M129" s="8"/>
      <c r="N129" s="8"/>
      <c r="O129" s="8"/>
      <c r="P129" s="8"/>
    </row>
    <row r="130" spans="5:16" x14ac:dyDescent="0.2">
      <c r="E130" s="8"/>
      <c r="F130" s="8"/>
      <c r="G130" s="8"/>
      <c r="H130" s="8"/>
      <c r="I130" s="8"/>
      <c r="J130" s="8"/>
      <c r="K130" s="8"/>
      <c r="L130" s="8"/>
      <c r="M130" s="8"/>
      <c r="N130" s="8"/>
      <c r="O130" s="8"/>
      <c r="P130" s="8"/>
    </row>
    <row r="131" spans="5:16" x14ac:dyDescent="0.2">
      <c r="E131" s="8"/>
      <c r="F131" s="8"/>
      <c r="G131" s="8"/>
      <c r="H131" s="8"/>
      <c r="I131" s="8"/>
      <c r="J131" s="8"/>
      <c r="K131" s="8"/>
      <c r="L131" s="8"/>
      <c r="M131" s="8"/>
      <c r="N131" s="8"/>
      <c r="O131" s="8"/>
      <c r="P131" s="8"/>
    </row>
    <row r="132" spans="5:16" x14ac:dyDescent="0.2">
      <c r="E132" s="8"/>
      <c r="F132" s="8"/>
      <c r="G132" s="8"/>
      <c r="H132" s="8"/>
      <c r="I132" s="8"/>
      <c r="J132" s="8"/>
      <c r="K132" s="8"/>
      <c r="L132" s="8"/>
      <c r="M132" s="8"/>
      <c r="N132" s="8"/>
      <c r="O132" s="8"/>
      <c r="P132" s="8"/>
    </row>
    <row r="133" spans="5:16" x14ac:dyDescent="0.2">
      <c r="E133" s="8"/>
      <c r="F133" s="8"/>
      <c r="G133" s="8"/>
      <c r="H133" s="8"/>
      <c r="I133" s="8"/>
      <c r="J133" s="8"/>
      <c r="K133" s="8"/>
      <c r="L133" s="8"/>
      <c r="M133" s="8"/>
      <c r="N133" s="8"/>
      <c r="O133" s="8"/>
      <c r="P133" s="8"/>
    </row>
    <row r="134" spans="5:16" x14ac:dyDescent="0.2">
      <c r="E134" s="8"/>
      <c r="F134" s="8"/>
      <c r="G134" s="8"/>
      <c r="H134" s="8"/>
      <c r="I134" s="8"/>
      <c r="J134" s="8"/>
      <c r="K134" s="8"/>
      <c r="L134" s="8"/>
      <c r="M134" s="8"/>
      <c r="N134" s="8"/>
      <c r="O134" s="8"/>
      <c r="P134" s="8"/>
    </row>
    <row r="135" spans="5:16" x14ac:dyDescent="0.2">
      <c r="E135" s="8"/>
      <c r="F135" s="8"/>
      <c r="G135" s="8"/>
      <c r="H135" s="8"/>
      <c r="I135" s="8"/>
      <c r="J135" s="8"/>
      <c r="K135" s="8"/>
      <c r="L135" s="8"/>
      <c r="M135" s="8"/>
      <c r="N135" s="8"/>
      <c r="O135" s="8"/>
      <c r="P135" s="8"/>
    </row>
    <row r="136" spans="5:16" x14ac:dyDescent="0.2">
      <c r="E136" s="8"/>
      <c r="F136" s="8"/>
      <c r="G136" s="8"/>
      <c r="H136" s="8"/>
      <c r="I136" s="8"/>
      <c r="J136" s="8"/>
      <c r="K136" s="8"/>
      <c r="L136" s="8"/>
      <c r="M136" s="8"/>
      <c r="N136" s="8"/>
      <c r="O136" s="8"/>
      <c r="P136" s="8"/>
    </row>
    <row r="137" spans="5:16" x14ac:dyDescent="0.2">
      <c r="E137" s="8"/>
      <c r="F137" s="8"/>
      <c r="G137" s="8"/>
      <c r="H137" s="8"/>
      <c r="I137" s="8"/>
      <c r="J137" s="8"/>
      <c r="K137" s="8"/>
      <c r="L137" s="8"/>
      <c r="M137" s="8"/>
      <c r="N137" s="8"/>
      <c r="O137" s="8"/>
      <c r="P137" s="8"/>
    </row>
    <row r="138" spans="5:16" x14ac:dyDescent="0.2">
      <c r="E138" s="8"/>
      <c r="F138" s="8"/>
      <c r="G138" s="8"/>
      <c r="H138" s="8"/>
      <c r="I138" s="8"/>
      <c r="J138" s="8"/>
      <c r="K138" s="8"/>
      <c r="L138" s="8"/>
      <c r="M138" s="8"/>
      <c r="N138" s="8"/>
      <c r="O138" s="8"/>
      <c r="P138" s="8"/>
    </row>
    <row r="139" spans="5:16" x14ac:dyDescent="0.2">
      <c r="E139" s="8"/>
      <c r="F139" s="8"/>
      <c r="G139" s="8"/>
      <c r="H139" s="8"/>
      <c r="I139" s="8"/>
      <c r="J139" s="8"/>
      <c r="K139" s="8"/>
      <c r="L139" s="8"/>
      <c r="M139" s="8"/>
      <c r="N139" s="8"/>
      <c r="O139" s="8"/>
      <c r="P139" s="8"/>
    </row>
    <row r="140" spans="5:16" x14ac:dyDescent="0.2">
      <c r="E140" s="8"/>
      <c r="F140" s="8"/>
      <c r="G140" s="8"/>
      <c r="H140" s="8"/>
      <c r="I140" s="8"/>
      <c r="J140" s="8"/>
      <c r="K140" s="8"/>
      <c r="L140" s="8"/>
      <c r="M140" s="8"/>
      <c r="N140" s="8"/>
      <c r="O140" s="8"/>
      <c r="P140" s="8"/>
    </row>
    <row r="141" spans="5:16" x14ac:dyDescent="0.2">
      <c r="E141" s="8"/>
      <c r="F141" s="8"/>
      <c r="G141" s="8"/>
      <c r="H141" s="8"/>
      <c r="I141" s="8"/>
      <c r="J141" s="8"/>
      <c r="K141" s="8"/>
      <c r="L141" s="8"/>
      <c r="M141" s="8"/>
      <c r="N141" s="8"/>
      <c r="O141" s="8"/>
      <c r="P141" s="8"/>
    </row>
    <row r="142" spans="5:16" x14ac:dyDescent="0.2">
      <c r="E142" s="8"/>
      <c r="F142" s="8"/>
      <c r="G142" s="8"/>
      <c r="H142" s="8"/>
      <c r="I142" s="8"/>
      <c r="J142" s="8"/>
      <c r="K142" s="8"/>
      <c r="L142" s="8"/>
      <c r="M142" s="8"/>
      <c r="N142" s="8"/>
      <c r="O142" s="8"/>
      <c r="P142" s="8"/>
    </row>
    <row r="143" spans="5:16" x14ac:dyDescent="0.2">
      <c r="E143" s="8"/>
      <c r="F143" s="8"/>
      <c r="G143" s="8"/>
      <c r="H143" s="8"/>
      <c r="I143" s="8"/>
      <c r="J143" s="8"/>
      <c r="K143" s="8"/>
      <c r="L143" s="8"/>
      <c r="M143" s="8"/>
      <c r="N143" s="8"/>
      <c r="O143" s="8"/>
      <c r="P143" s="8"/>
    </row>
    <row r="144" spans="5:16" x14ac:dyDescent="0.2">
      <c r="E144" s="8"/>
      <c r="F144" s="8"/>
      <c r="G144" s="8"/>
      <c r="H144" s="8"/>
      <c r="I144" s="8"/>
      <c r="J144" s="8"/>
      <c r="K144" s="8"/>
      <c r="L144" s="8"/>
      <c r="M144" s="8"/>
      <c r="N144" s="8"/>
      <c r="O144" s="8"/>
      <c r="P144" s="8"/>
    </row>
    <row r="145" spans="5:16" x14ac:dyDescent="0.2">
      <c r="E145" s="8"/>
      <c r="F145" s="8"/>
      <c r="G145" s="8"/>
      <c r="H145" s="8"/>
      <c r="I145" s="8"/>
      <c r="J145" s="8"/>
      <c r="K145" s="8"/>
      <c r="L145" s="8"/>
      <c r="M145" s="8"/>
      <c r="N145" s="8"/>
      <c r="O145" s="8"/>
      <c r="P145" s="8"/>
    </row>
    <row r="146" spans="5:16" x14ac:dyDescent="0.2">
      <c r="E146" s="8"/>
      <c r="F146" s="8"/>
      <c r="G146" s="8"/>
      <c r="H146" s="8"/>
      <c r="I146" s="8"/>
      <c r="J146" s="8"/>
      <c r="K146" s="8"/>
      <c r="L146" s="8"/>
      <c r="M146" s="8"/>
      <c r="N146" s="8"/>
      <c r="O146" s="8"/>
      <c r="P146" s="8"/>
    </row>
    <row r="147" spans="5:16" x14ac:dyDescent="0.2">
      <c r="E147" s="8"/>
      <c r="F147" s="8"/>
      <c r="G147" s="8"/>
      <c r="H147" s="8"/>
      <c r="I147" s="8"/>
      <c r="J147" s="8"/>
      <c r="K147" s="8"/>
      <c r="L147" s="8"/>
      <c r="M147" s="8"/>
      <c r="N147" s="8"/>
      <c r="O147" s="8"/>
      <c r="P147" s="8"/>
    </row>
    <row r="148" spans="5:16" x14ac:dyDescent="0.2">
      <c r="E148" s="8"/>
      <c r="F148" s="8"/>
      <c r="G148" s="8"/>
      <c r="H148" s="8"/>
      <c r="I148" s="8"/>
      <c r="J148" s="8"/>
      <c r="K148" s="8"/>
      <c r="L148" s="8"/>
      <c r="M148" s="8"/>
      <c r="N148" s="8"/>
      <c r="O148" s="8"/>
      <c r="P148" s="8"/>
    </row>
    <row r="149" spans="5:16" x14ac:dyDescent="0.2">
      <c r="E149" s="8"/>
      <c r="F149" s="8"/>
      <c r="G149" s="8"/>
      <c r="H149" s="8"/>
      <c r="I149" s="8"/>
      <c r="J149" s="8"/>
      <c r="K149" s="8"/>
      <c r="L149" s="8"/>
      <c r="M149" s="8"/>
      <c r="N149" s="8"/>
      <c r="O149" s="8"/>
      <c r="P149" s="8"/>
    </row>
    <row r="150" spans="5:16" x14ac:dyDescent="0.2">
      <c r="E150" s="8"/>
      <c r="F150" s="8"/>
      <c r="G150" s="8"/>
      <c r="H150" s="8"/>
      <c r="I150" s="8"/>
      <c r="J150" s="8"/>
      <c r="K150" s="8"/>
      <c r="L150" s="8"/>
      <c r="M150" s="8"/>
      <c r="N150" s="8"/>
      <c r="O150" s="8"/>
      <c r="P150" s="8"/>
    </row>
    <row r="151" spans="5:16" x14ac:dyDescent="0.2">
      <c r="E151" s="8"/>
      <c r="F151" s="8"/>
      <c r="G151" s="8"/>
      <c r="H151" s="8"/>
      <c r="I151" s="8"/>
      <c r="J151" s="8"/>
      <c r="K151" s="8"/>
      <c r="L151" s="8"/>
      <c r="M151" s="8"/>
      <c r="N151" s="8"/>
      <c r="O151" s="8"/>
      <c r="P151" s="8"/>
    </row>
    <row r="152" spans="5:16" x14ac:dyDescent="0.2">
      <c r="E152" s="8"/>
      <c r="F152" s="8"/>
      <c r="G152" s="8"/>
      <c r="H152" s="8"/>
      <c r="I152" s="8"/>
      <c r="J152" s="8"/>
      <c r="K152" s="8"/>
      <c r="L152" s="8"/>
      <c r="M152" s="8"/>
      <c r="N152" s="8"/>
      <c r="O152" s="8"/>
      <c r="P152" s="8"/>
    </row>
    <row r="153" spans="5:16" x14ac:dyDescent="0.2">
      <c r="E153" s="8"/>
      <c r="F153" s="8"/>
      <c r="G153" s="8"/>
      <c r="H153" s="8"/>
      <c r="I153" s="8"/>
      <c r="J153" s="8"/>
      <c r="K153" s="8"/>
      <c r="L153" s="8"/>
      <c r="M153" s="8"/>
      <c r="N153" s="8"/>
      <c r="O153" s="8"/>
      <c r="P153" s="8"/>
    </row>
    <row r="154" spans="5:16" x14ac:dyDescent="0.2">
      <c r="E154" s="8"/>
      <c r="F154" s="8"/>
      <c r="G154" s="8"/>
      <c r="H154" s="8"/>
      <c r="I154" s="8"/>
      <c r="J154" s="8"/>
      <c r="K154" s="8"/>
      <c r="L154" s="8"/>
      <c r="M154" s="8"/>
      <c r="N154" s="8"/>
      <c r="O154" s="8"/>
      <c r="P154" s="8"/>
    </row>
    <row r="155" spans="5:16" x14ac:dyDescent="0.2">
      <c r="E155" s="8"/>
      <c r="F155" s="8"/>
      <c r="G155" s="8"/>
      <c r="H155" s="8"/>
      <c r="I155" s="8"/>
      <c r="J155" s="8"/>
      <c r="K155" s="8"/>
      <c r="L155" s="8"/>
      <c r="M155" s="8"/>
      <c r="N155" s="8"/>
      <c r="O155" s="8"/>
      <c r="P155" s="8"/>
    </row>
    <row r="156" spans="5:16" x14ac:dyDescent="0.2">
      <c r="E156" s="8"/>
      <c r="F156" s="8"/>
      <c r="G156" s="8"/>
      <c r="H156" s="8"/>
      <c r="I156" s="8"/>
      <c r="J156" s="8"/>
      <c r="K156" s="8"/>
      <c r="L156" s="8"/>
      <c r="M156" s="8"/>
      <c r="N156" s="8"/>
      <c r="O156" s="8"/>
      <c r="P156" s="8"/>
    </row>
    <row r="157" spans="5:16" x14ac:dyDescent="0.2">
      <c r="E157" s="8"/>
      <c r="F157" s="8"/>
      <c r="G157" s="8"/>
      <c r="H157" s="8"/>
      <c r="I157" s="8"/>
      <c r="J157" s="8"/>
      <c r="K157" s="8"/>
      <c r="L157" s="8"/>
      <c r="M157" s="8"/>
      <c r="N157" s="8"/>
      <c r="O157" s="8"/>
      <c r="P157" s="8"/>
    </row>
    <row r="158" spans="5:16" x14ac:dyDescent="0.2">
      <c r="E158" s="8"/>
      <c r="F158" s="8"/>
      <c r="G158" s="8"/>
      <c r="H158" s="8"/>
      <c r="I158" s="8"/>
      <c r="J158" s="8"/>
      <c r="K158" s="8"/>
      <c r="L158" s="8"/>
      <c r="M158" s="8"/>
      <c r="N158" s="8"/>
      <c r="O158" s="8"/>
      <c r="P158" s="8"/>
    </row>
    <row r="159" spans="5:16" x14ac:dyDescent="0.2">
      <c r="E159" s="8"/>
      <c r="F159" s="8"/>
      <c r="G159" s="8"/>
      <c r="H159" s="8"/>
      <c r="I159" s="8"/>
      <c r="J159" s="8"/>
      <c r="K159" s="8"/>
      <c r="L159" s="8"/>
      <c r="M159" s="8"/>
      <c r="N159" s="8"/>
      <c r="O159" s="8"/>
      <c r="P159" s="8"/>
    </row>
    <row r="160" spans="5:16" x14ac:dyDescent="0.2">
      <c r="E160" s="8"/>
      <c r="F160" s="8"/>
      <c r="G160" s="8"/>
      <c r="H160" s="8"/>
      <c r="I160" s="8"/>
      <c r="J160" s="8"/>
      <c r="K160" s="8"/>
      <c r="L160" s="8"/>
      <c r="M160" s="8"/>
      <c r="N160" s="8"/>
      <c r="O160" s="8"/>
      <c r="P160" s="8"/>
    </row>
    <row r="161" spans="5:16" x14ac:dyDescent="0.2">
      <c r="E161" s="8"/>
      <c r="F161" s="8"/>
      <c r="G161" s="8"/>
      <c r="H161" s="8"/>
      <c r="I161" s="8"/>
      <c r="J161" s="8"/>
      <c r="K161" s="8"/>
      <c r="L161" s="8"/>
      <c r="M161" s="8"/>
      <c r="N161" s="8"/>
      <c r="O161" s="8"/>
      <c r="P161" s="8"/>
    </row>
    <row r="162" spans="5:16" x14ac:dyDescent="0.2">
      <c r="E162" s="8"/>
      <c r="F162" s="8"/>
      <c r="G162" s="8"/>
      <c r="H162" s="8"/>
      <c r="I162" s="8"/>
      <c r="J162" s="8"/>
      <c r="K162" s="8"/>
      <c r="L162" s="8"/>
      <c r="M162" s="8"/>
      <c r="N162" s="8"/>
      <c r="O162" s="8"/>
      <c r="P162" s="8"/>
    </row>
    <row r="163" spans="5:16" x14ac:dyDescent="0.2">
      <c r="E163" s="8"/>
      <c r="F163" s="8"/>
      <c r="G163" s="8"/>
      <c r="H163" s="8"/>
      <c r="I163" s="8"/>
      <c r="J163" s="8"/>
      <c r="K163" s="8"/>
      <c r="L163" s="8"/>
      <c r="M163" s="8"/>
      <c r="N163" s="8"/>
      <c r="O163" s="8"/>
      <c r="P163" s="8"/>
    </row>
    <row r="164" spans="5:16" x14ac:dyDescent="0.2">
      <c r="E164" s="8"/>
      <c r="F164" s="8"/>
      <c r="G164" s="8"/>
      <c r="H164" s="8"/>
      <c r="I164" s="8"/>
      <c r="J164" s="8"/>
      <c r="K164" s="8"/>
      <c r="L164" s="8"/>
      <c r="M164" s="8"/>
      <c r="N164" s="8"/>
      <c r="O164" s="8"/>
      <c r="P164" s="8"/>
    </row>
    <row r="165" spans="5:16" x14ac:dyDescent="0.2">
      <c r="E165" s="8"/>
      <c r="F165" s="8"/>
      <c r="G165" s="8"/>
      <c r="H165" s="8"/>
      <c r="I165" s="8"/>
      <c r="J165" s="8"/>
      <c r="K165" s="8"/>
      <c r="L165" s="8"/>
      <c r="M165" s="8"/>
      <c r="N165" s="8"/>
      <c r="O165" s="8"/>
      <c r="P165" s="8"/>
    </row>
    <row r="166" spans="5:16" x14ac:dyDescent="0.2">
      <c r="E166" s="8"/>
      <c r="F166" s="8"/>
      <c r="G166" s="8"/>
      <c r="H166" s="8"/>
      <c r="I166" s="8"/>
      <c r="J166" s="8"/>
      <c r="K166" s="8"/>
      <c r="L166" s="8"/>
      <c r="M166" s="8"/>
      <c r="N166" s="8"/>
      <c r="O166" s="8"/>
      <c r="P166" s="8"/>
    </row>
    <row r="167" spans="5:16" x14ac:dyDescent="0.2">
      <c r="E167" s="8"/>
      <c r="F167" s="8"/>
      <c r="G167" s="8"/>
      <c r="H167" s="8"/>
      <c r="I167" s="8"/>
      <c r="J167" s="8"/>
      <c r="K167" s="8"/>
      <c r="L167" s="8"/>
      <c r="M167" s="8"/>
      <c r="N167" s="8"/>
      <c r="O167" s="8"/>
      <c r="P167" s="8"/>
    </row>
    <row r="168" spans="5:16" x14ac:dyDescent="0.2">
      <c r="E168" s="8"/>
      <c r="F168" s="8"/>
      <c r="G168" s="8"/>
      <c r="H168" s="8"/>
      <c r="I168" s="8"/>
      <c r="J168" s="8"/>
      <c r="K168" s="8"/>
      <c r="L168" s="8"/>
      <c r="M168" s="8"/>
      <c r="N168" s="8"/>
      <c r="O168" s="8"/>
      <c r="P168" s="8"/>
    </row>
    <row r="169" spans="5:16" x14ac:dyDescent="0.2">
      <c r="E169" s="8"/>
      <c r="F169" s="8"/>
      <c r="G169" s="8"/>
      <c r="H169" s="8"/>
      <c r="I169" s="8"/>
      <c r="J169" s="8"/>
      <c r="K169" s="8"/>
      <c r="L169" s="8"/>
      <c r="M169" s="8"/>
      <c r="N169" s="8"/>
      <c r="O169" s="8"/>
      <c r="P169" s="8"/>
    </row>
    <row r="170" spans="5:16" x14ac:dyDescent="0.2">
      <c r="E170" s="8"/>
      <c r="F170" s="8"/>
      <c r="G170" s="8"/>
      <c r="H170" s="8"/>
      <c r="I170" s="8"/>
      <c r="J170" s="8"/>
      <c r="K170" s="8"/>
      <c r="L170" s="8"/>
      <c r="M170" s="8"/>
      <c r="N170" s="8"/>
      <c r="O170" s="8"/>
      <c r="P170" s="8"/>
    </row>
    <row r="171" spans="5:16" x14ac:dyDescent="0.2">
      <c r="E171" s="8"/>
      <c r="F171" s="8"/>
      <c r="G171" s="8"/>
      <c r="H171" s="8"/>
      <c r="I171" s="8"/>
      <c r="J171" s="8"/>
      <c r="K171" s="8"/>
      <c r="L171" s="8"/>
      <c r="M171" s="8"/>
      <c r="N171" s="8"/>
      <c r="O171" s="8"/>
      <c r="P171" s="8"/>
    </row>
    <row r="172" spans="5:16" x14ac:dyDescent="0.2">
      <c r="E172" s="8"/>
      <c r="F172" s="8"/>
      <c r="G172" s="8"/>
      <c r="H172" s="8"/>
      <c r="I172" s="8"/>
      <c r="J172" s="8"/>
      <c r="K172" s="8"/>
      <c r="L172" s="8"/>
      <c r="M172" s="8"/>
      <c r="N172" s="8"/>
      <c r="O172" s="8"/>
      <c r="P172" s="8"/>
    </row>
    <row r="173" spans="5:16" x14ac:dyDescent="0.2">
      <c r="E173" s="8"/>
      <c r="F173" s="8"/>
      <c r="G173" s="8"/>
      <c r="H173" s="8"/>
      <c r="I173" s="8"/>
      <c r="J173" s="8"/>
      <c r="K173" s="8"/>
      <c r="L173" s="8"/>
      <c r="M173" s="8"/>
      <c r="N173" s="8"/>
      <c r="O173" s="8"/>
      <c r="P173" s="8"/>
    </row>
    <row r="174" spans="5:16" x14ac:dyDescent="0.2">
      <c r="E174" s="8"/>
      <c r="F174" s="8"/>
      <c r="G174" s="8"/>
      <c r="H174" s="8"/>
      <c r="I174" s="8"/>
      <c r="J174" s="8"/>
      <c r="K174" s="8"/>
      <c r="L174" s="8"/>
      <c r="M174" s="8"/>
      <c r="N174" s="8"/>
      <c r="O174" s="8"/>
      <c r="P174" s="8"/>
    </row>
    <row r="175" spans="5:16" x14ac:dyDescent="0.2">
      <c r="E175" s="8"/>
      <c r="F175" s="8"/>
      <c r="G175" s="8"/>
      <c r="H175" s="8"/>
      <c r="I175" s="8"/>
      <c r="J175" s="8"/>
      <c r="K175" s="8"/>
      <c r="L175" s="8"/>
      <c r="M175" s="8"/>
      <c r="N175" s="8"/>
      <c r="O175" s="8"/>
      <c r="P175" s="8"/>
    </row>
    <row r="176" spans="5:16" x14ac:dyDescent="0.2">
      <c r="E176" s="8"/>
      <c r="F176" s="8"/>
      <c r="G176" s="8"/>
      <c r="H176" s="8"/>
      <c r="I176" s="8"/>
      <c r="J176" s="8"/>
      <c r="K176" s="8"/>
      <c r="L176" s="8"/>
      <c r="M176" s="8"/>
      <c r="N176" s="8"/>
      <c r="O176" s="8"/>
      <c r="P176" s="8"/>
    </row>
    <row r="177" spans="5:16" x14ac:dyDescent="0.2">
      <c r="E177" s="8"/>
      <c r="F177" s="8"/>
      <c r="G177" s="8"/>
      <c r="H177" s="8"/>
      <c r="I177" s="8"/>
      <c r="J177" s="8"/>
      <c r="K177" s="8"/>
      <c r="L177" s="8"/>
      <c r="M177" s="8"/>
      <c r="N177" s="8"/>
      <c r="O177" s="8"/>
      <c r="P177" s="8"/>
    </row>
    <row r="178" spans="5:16" x14ac:dyDescent="0.2">
      <c r="E178" s="8"/>
      <c r="F178" s="8"/>
      <c r="G178" s="8"/>
      <c r="H178" s="8"/>
      <c r="I178" s="8"/>
      <c r="J178" s="8"/>
      <c r="K178" s="8"/>
      <c r="L178" s="8"/>
      <c r="M178" s="8"/>
      <c r="N178" s="8"/>
      <c r="O178" s="8"/>
      <c r="P178" s="8"/>
    </row>
    <row r="179" spans="5:16" x14ac:dyDescent="0.2">
      <c r="E179" s="8"/>
      <c r="F179" s="8"/>
      <c r="G179" s="8"/>
      <c r="H179" s="8"/>
      <c r="I179" s="8"/>
      <c r="J179" s="8"/>
      <c r="K179" s="8"/>
      <c r="L179" s="8"/>
      <c r="M179" s="8"/>
      <c r="N179" s="8"/>
      <c r="O179" s="8"/>
      <c r="P179" s="8"/>
    </row>
    <row r="180" spans="5:16" x14ac:dyDescent="0.2">
      <c r="E180" s="8"/>
      <c r="F180" s="8"/>
      <c r="G180" s="8"/>
      <c r="H180" s="8"/>
      <c r="I180" s="8"/>
      <c r="J180" s="8"/>
      <c r="K180" s="8"/>
      <c r="L180" s="8"/>
      <c r="M180" s="8"/>
      <c r="N180" s="8"/>
      <c r="O180" s="8"/>
      <c r="P180" s="8"/>
    </row>
    <row r="181" spans="5:16" x14ac:dyDescent="0.2">
      <c r="E181" s="8"/>
      <c r="F181" s="8"/>
      <c r="G181" s="8"/>
      <c r="H181" s="8"/>
      <c r="I181" s="8"/>
      <c r="J181" s="8"/>
      <c r="K181" s="8"/>
      <c r="L181" s="8"/>
      <c r="M181" s="8"/>
      <c r="N181" s="8"/>
      <c r="O181" s="8"/>
      <c r="P181" s="8"/>
    </row>
    <row r="182" spans="5:16" x14ac:dyDescent="0.2">
      <c r="E182" s="8"/>
      <c r="F182" s="8"/>
      <c r="G182" s="8"/>
      <c r="H182" s="8"/>
      <c r="I182" s="8"/>
      <c r="J182" s="8"/>
      <c r="K182" s="8"/>
      <c r="L182" s="8"/>
      <c r="M182" s="8"/>
      <c r="N182" s="8"/>
      <c r="O182" s="8"/>
      <c r="P182" s="8"/>
    </row>
    <row r="183" spans="5:16" x14ac:dyDescent="0.2">
      <c r="E183" s="8"/>
      <c r="F183" s="8"/>
      <c r="G183" s="8"/>
      <c r="H183" s="8"/>
      <c r="I183" s="8"/>
      <c r="J183" s="8"/>
      <c r="K183" s="8"/>
      <c r="L183" s="8"/>
      <c r="M183" s="8"/>
      <c r="N183" s="8"/>
      <c r="O183" s="8"/>
      <c r="P183" s="8"/>
    </row>
    <row r="184" spans="5:16" x14ac:dyDescent="0.2">
      <c r="E184" s="8"/>
      <c r="F184" s="8"/>
      <c r="G184" s="8"/>
      <c r="H184" s="8"/>
      <c r="I184" s="8"/>
      <c r="J184" s="8"/>
      <c r="K184" s="8"/>
      <c r="L184" s="8"/>
      <c r="M184" s="8"/>
      <c r="N184" s="8"/>
      <c r="O184" s="8"/>
      <c r="P184" s="8"/>
    </row>
    <row r="185" spans="5:16" x14ac:dyDescent="0.2">
      <c r="E185" s="8"/>
      <c r="F185" s="8"/>
      <c r="G185" s="8"/>
      <c r="H185" s="8"/>
      <c r="I185" s="8"/>
      <c r="J185" s="8"/>
      <c r="K185" s="8"/>
      <c r="L185" s="8"/>
      <c r="M185" s="8"/>
      <c r="N185" s="8"/>
      <c r="O185" s="8"/>
      <c r="P185" s="8"/>
    </row>
    <row r="186" spans="5:16" x14ac:dyDescent="0.2">
      <c r="E186" s="8"/>
      <c r="F186" s="8"/>
      <c r="G186" s="8"/>
      <c r="H186" s="8"/>
      <c r="I186" s="8"/>
      <c r="J186" s="8"/>
      <c r="K186" s="8"/>
      <c r="L186" s="8"/>
      <c r="M186" s="8"/>
      <c r="N186" s="8"/>
      <c r="O186" s="8"/>
      <c r="P186" s="8"/>
    </row>
    <row r="187" spans="5:16" x14ac:dyDescent="0.2">
      <c r="E187" s="8"/>
      <c r="F187" s="8"/>
      <c r="G187" s="8"/>
      <c r="H187" s="8"/>
      <c r="I187" s="8"/>
      <c r="J187" s="8"/>
      <c r="K187" s="8"/>
      <c r="L187" s="8"/>
      <c r="M187" s="8"/>
      <c r="N187" s="8"/>
      <c r="O187" s="8"/>
      <c r="P187" s="8"/>
    </row>
    <row r="188" spans="5:16" x14ac:dyDescent="0.2">
      <c r="E188" s="8"/>
      <c r="F188" s="8"/>
      <c r="G188" s="8"/>
      <c r="H188" s="8"/>
      <c r="I188" s="8"/>
      <c r="J188" s="8"/>
      <c r="K188" s="8"/>
      <c r="L188" s="8"/>
      <c r="M188" s="8"/>
      <c r="N188" s="8"/>
      <c r="O188" s="8"/>
      <c r="P188" s="8"/>
    </row>
    <row r="189" spans="5:16" x14ac:dyDescent="0.2">
      <c r="E189" s="8"/>
      <c r="F189" s="8"/>
      <c r="G189" s="8"/>
      <c r="H189" s="8"/>
      <c r="I189" s="8"/>
      <c r="J189" s="8"/>
      <c r="K189" s="8"/>
      <c r="L189" s="8"/>
      <c r="M189" s="8"/>
      <c r="N189" s="8"/>
      <c r="O189" s="8"/>
      <c r="P189" s="8"/>
    </row>
    <row r="190" spans="5:16" x14ac:dyDescent="0.2">
      <c r="E190" s="8"/>
      <c r="F190" s="8"/>
      <c r="G190" s="8"/>
      <c r="H190" s="8"/>
      <c r="I190" s="8"/>
      <c r="J190" s="8"/>
      <c r="K190" s="8"/>
      <c r="L190" s="8"/>
      <c r="M190" s="8"/>
      <c r="N190" s="8"/>
      <c r="O190" s="8"/>
      <c r="P190" s="8"/>
    </row>
    <row r="191" spans="5:16" x14ac:dyDescent="0.2">
      <c r="E191" s="8"/>
      <c r="F191" s="8"/>
      <c r="G191" s="8"/>
      <c r="H191" s="8"/>
      <c r="I191" s="8"/>
      <c r="J191" s="8"/>
      <c r="K191" s="8"/>
      <c r="L191" s="8"/>
      <c r="M191" s="8"/>
      <c r="N191" s="8"/>
      <c r="O191" s="8"/>
      <c r="P191" s="8"/>
    </row>
    <row r="192" spans="5:16" x14ac:dyDescent="0.2">
      <c r="E192" s="8"/>
      <c r="F192" s="8"/>
      <c r="G192" s="8"/>
      <c r="H192" s="8"/>
      <c r="I192" s="8"/>
      <c r="J192" s="8"/>
      <c r="K192" s="8"/>
      <c r="L192" s="8"/>
      <c r="M192" s="8"/>
      <c r="N192" s="8"/>
      <c r="O192" s="8"/>
      <c r="P192" s="8"/>
    </row>
    <row r="193" spans="5:16" x14ac:dyDescent="0.2">
      <c r="E193" s="8"/>
      <c r="F193" s="8"/>
      <c r="G193" s="8"/>
      <c r="H193" s="8"/>
      <c r="I193" s="8"/>
      <c r="J193" s="8"/>
      <c r="K193" s="8"/>
      <c r="L193" s="8"/>
      <c r="M193" s="8"/>
      <c r="N193" s="8"/>
      <c r="O193" s="8"/>
      <c r="P193" s="8"/>
    </row>
    <row r="194" spans="5:16" x14ac:dyDescent="0.2">
      <c r="E194" s="8"/>
      <c r="F194" s="8"/>
      <c r="G194" s="8"/>
      <c r="H194" s="8"/>
      <c r="I194" s="8"/>
      <c r="J194" s="8"/>
      <c r="K194" s="8"/>
      <c r="L194" s="8"/>
      <c r="M194" s="8"/>
      <c r="N194" s="8"/>
      <c r="O194" s="8"/>
      <c r="P194" s="8"/>
    </row>
    <row r="195" spans="5:16" x14ac:dyDescent="0.2">
      <c r="E195" s="8"/>
      <c r="F195" s="8"/>
      <c r="G195" s="8"/>
      <c r="H195" s="8"/>
      <c r="I195" s="8"/>
      <c r="J195" s="8"/>
      <c r="K195" s="8"/>
      <c r="L195" s="8"/>
      <c r="M195" s="8"/>
      <c r="N195" s="8"/>
      <c r="O195" s="8"/>
      <c r="P195" s="8"/>
    </row>
    <row r="196" spans="5:16" x14ac:dyDescent="0.2">
      <c r="E196" s="8"/>
      <c r="F196" s="8"/>
      <c r="G196" s="8"/>
      <c r="H196" s="8"/>
      <c r="I196" s="8"/>
      <c r="J196" s="8"/>
      <c r="K196" s="8"/>
      <c r="L196" s="8"/>
      <c r="M196" s="8"/>
      <c r="N196" s="8"/>
      <c r="O196" s="8"/>
      <c r="P196" s="8"/>
    </row>
    <row r="197" spans="5:16" x14ac:dyDescent="0.2">
      <c r="E197" s="8"/>
      <c r="F197" s="8"/>
      <c r="G197" s="8"/>
      <c r="H197" s="8"/>
      <c r="I197" s="8"/>
      <c r="J197" s="8"/>
      <c r="K197" s="8"/>
      <c r="L197" s="8"/>
      <c r="M197" s="8"/>
      <c r="N197" s="8"/>
      <c r="O197" s="8"/>
      <c r="P197" s="8"/>
    </row>
    <row r="198" spans="5:16" x14ac:dyDescent="0.2">
      <c r="E198" s="8"/>
      <c r="F198" s="8"/>
      <c r="G198" s="8"/>
      <c r="H198" s="8"/>
      <c r="I198" s="8"/>
      <c r="J198" s="8"/>
      <c r="K198" s="8"/>
      <c r="L198" s="8"/>
      <c r="M198" s="8"/>
      <c r="N198" s="8"/>
      <c r="O198" s="8"/>
      <c r="P198" s="8"/>
    </row>
    <row r="199" spans="5:16" x14ac:dyDescent="0.2">
      <c r="E199" s="8"/>
      <c r="F199" s="8"/>
      <c r="G199" s="8"/>
      <c r="H199" s="8"/>
      <c r="I199" s="8"/>
      <c r="J199" s="8"/>
      <c r="K199" s="8"/>
      <c r="L199" s="8"/>
      <c r="M199" s="8"/>
      <c r="N199" s="8"/>
      <c r="O199" s="8"/>
      <c r="P199" s="8"/>
    </row>
    <row r="200" spans="5:16" x14ac:dyDescent="0.2">
      <c r="E200" s="8"/>
      <c r="F200" s="8"/>
      <c r="G200" s="8"/>
      <c r="H200" s="8"/>
      <c r="I200" s="8"/>
      <c r="J200" s="8"/>
      <c r="K200" s="8"/>
      <c r="L200" s="8"/>
      <c r="M200" s="8"/>
      <c r="N200" s="8"/>
      <c r="O200" s="8"/>
      <c r="P200" s="8"/>
    </row>
    <row r="201" spans="5:16" x14ac:dyDescent="0.2">
      <c r="E201" s="8"/>
      <c r="F201" s="8"/>
      <c r="G201" s="8"/>
      <c r="H201" s="8"/>
      <c r="I201" s="8"/>
      <c r="J201" s="8"/>
      <c r="K201" s="8"/>
      <c r="L201" s="8"/>
      <c r="M201" s="8"/>
      <c r="N201" s="8"/>
      <c r="O201" s="8"/>
      <c r="P201" s="8"/>
    </row>
    <row r="202" spans="5:16" x14ac:dyDescent="0.2">
      <c r="E202" s="8"/>
      <c r="F202" s="8"/>
      <c r="G202" s="8"/>
      <c r="H202" s="8"/>
      <c r="I202" s="8"/>
      <c r="J202" s="8"/>
      <c r="K202" s="8"/>
      <c r="L202" s="8"/>
      <c r="M202" s="8"/>
      <c r="N202" s="8"/>
      <c r="O202" s="8"/>
      <c r="P202" s="8"/>
    </row>
    <row r="203" spans="5:16" x14ac:dyDescent="0.2">
      <c r="E203" s="8"/>
      <c r="F203" s="8"/>
      <c r="G203" s="8"/>
      <c r="H203" s="8"/>
      <c r="I203" s="8"/>
      <c r="J203" s="8"/>
      <c r="K203" s="8"/>
      <c r="L203" s="8"/>
      <c r="M203" s="8"/>
      <c r="N203" s="8"/>
      <c r="O203" s="8"/>
      <c r="P203" s="8"/>
    </row>
    <row r="204" spans="5:16" x14ac:dyDescent="0.2">
      <c r="E204" s="8"/>
      <c r="F204" s="8"/>
      <c r="G204" s="8"/>
      <c r="H204" s="8"/>
      <c r="I204" s="8"/>
      <c r="J204" s="8"/>
      <c r="K204" s="8"/>
      <c r="L204" s="8"/>
      <c r="M204" s="8"/>
      <c r="N204" s="8"/>
      <c r="O204" s="8"/>
      <c r="P204" s="8"/>
    </row>
    <row r="205" spans="5:16" x14ac:dyDescent="0.2">
      <c r="E205" s="8"/>
      <c r="F205" s="8"/>
      <c r="G205" s="8"/>
      <c r="H205" s="8"/>
      <c r="I205" s="8"/>
      <c r="J205" s="8"/>
      <c r="K205" s="8"/>
      <c r="L205" s="8"/>
      <c r="M205" s="8"/>
      <c r="N205" s="8"/>
      <c r="O205" s="8"/>
      <c r="P205" s="8"/>
    </row>
    <row r="206" spans="5:16" x14ac:dyDescent="0.2">
      <c r="E206" s="8"/>
      <c r="F206" s="8"/>
      <c r="G206" s="8"/>
      <c r="H206" s="8"/>
      <c r="I206" s="8"/>
      <c r="J206" s="8"/>
      <c r="K206" s="8"/>
      <c r="L206" s="8"/>
      <c r="M206" s="8"/>
      <c r="N206" s="8"/>
      <c r="O206" s="8"/>
      <c r="P206" s="8"/>
    </row>
    <row r="207" spans="5:16" x14ac:dyDescent="0.2">
      <c r="E207" s="8"/>
      <c r="F207" s="8"/>
      <c r="G207" s="8"/>
      <c r="H207" s="8"/>
      <c r="I207" s="8"/>
      <c r="J207" s="8"/>
      <c r="K207" s="8"/>
      <c r="L207" s="8"/>
      <c r="M207" s="8"/>
      <c r="N207" s="8"/>
      <c r="O207" s="8"/>
      <c r="P207" s="8"/>
    </row>
    <row r="208" spans="5:16" x14ac:dyDescent="0.2">
      <c r="E208" s="8"/>
      <c r="F208" s="8"/>
      <c r="G208" s="8"/>
      <c r="H208" s="8"/>
      <c r="I208" s="8"/>
      <c r="J208" s="8"/>
      <c r="K208" s="8"/>
      <c r="L208" s="8"/>
      <c r="M208" s="8"/>
      <c r="N208" s="8"/>
      <c r="O208" s="8"/>
      <c r="P208" s="8"/>
    </row>
    <row r="209" spans="5:16" x14ac:dyDescent="0.2">
      <c r="E209" s="8"/>
      <c r="F209" s="8"/>
      <c r="G209" s="8"/>
      <c r="H209" s="8"/>
      <c r="I209" s="8"/>
      <c r="J209" s="8"/>
      <c r="K209" s="8"/>
      <c r="L209" s="8"/>
      <c r="M209" s="8"/>
      <c r="N209" s="8"/>
      <c r="O209" s="8"/>
      <c r="P209" s="8"/>
    </row>
    <row r="210" spans="5:16" x14ac:dyDescent="0.2">
      <c r="E210" s="8"/>
      <c r="F210" s="8"/>
      <c r="G210" s="8"/>
      <c r="H210" s="8"/>
      <c r="I210" s="8"/>
      <c r="J210" s="8"/>
      <c r="K210" s="8"/>
      <c r="L210" s="8"/>
      <c r="M210" s="8"/>
      <c r="N210" s="8"/>
      <c r="O210" s="8"/>
      <c r="P210" s="8"/>
    </row>
    <row r="211" spans="5:16" x14ac:dyDescent="0.2">
      <c r="E211" s="8"/>
      <c r="F211" s="8"/>
      <c r="G211" s="8"/>
      <c r="H211" s="8"/>
      <c r="I211" s="8"/>
      <c r="J211" s="8"/>
      <c r="K211" s="8"/>
      <c r="L211" s="8"/>
      <c r="M211" s="8"/>
      <c r="N211" s="8"/>
      <c r="O211" s="8"/>
      <c r="P211" s="8"/>
    </row>
    <row r="212" spans="5:16" x14ac:dyDescent="0.2">
      <c r="E212" s="8"/>
      <c r="F212" s="8"/>
      <c r="G212" s="8"/>
      <c r="H212" s="8"/>
      <c r="I212" s="8"/>
      <c r="J212" s="8"/>
      <c r="K212" s="8"/>
      <c r="L212" s="8"/>
      <c r="M212" s="8"/>
      <c r="N212" s="8"/>
      <c r="O212" s="8"/>
      <c r="P212" s="8"/>
    </row>
    <row r="213" spans="5:16" x14ac:dyDescent="0.2">
      <c r="E213" s="8"/>
      <c r="F213" s="8"/>
      <c r="G213" s="8"/>
      <c r="H213" s="8"/>
      <c r="I213" s="8"/>
      <c r="J213" s="8"/>
      <c r="K213" s="8"/>
      <c r="L213" s="8"/>
      <c r="M213" s="8"/>
      <c r="N213" s="8"/>
      <c r="O213" s="8"/>
      <c r="P213" s="8"/>
    </row>
    <row r="214" spans="5:16" x14ac:dyDescent="0.2">
      <c r="E214" s="8"/>
      <c r="F214" s="8"/>
      <c r="G214" s="8"/>
      <c r="H214" s="8"/>
      <c r="I214" s="8"/>
      <c r="J214" s="8"/>
      <c r="K214" s="8"/>
      <c r="L214" s="8"/>
      <c r="M214" s="8"/>
      <c r="N214" s="8"/>
      <c r="O214" s="8"/>
      <c r="P214" s="8"/>
    </row>
    <row r="215" spans="5:16" x14ac:dyDescent="0.2">
      <c r="E215" s="8"/>
      <c r="F215" s="8"/>
      <c r="G215" s="8"/>
      <c r="H215" s="8"/>
      <c r="I215" s="8"/>
      <c r="J215" s="8"/>
      <c r="K215" s="8"/>
      <c r="L215" s="8"/>
      <c r="M215" s="8"/>
      <c r="N215" s="8"/>
      <c r="O215" s="8"/>
      <c r="P215" s="8"/>
    </row>
    <row r="216" spans="5:16" x14ac:dyDescent="0.2">
      <c r="E216" s="8"/>
      <c r="F216" s="8"/>
      <c r="G216" s="8"/>
      <c r="H216" s="8"/>
      <c r="I216" s="8"/>
      <c r="J216" s="8"/>
      <c r="K216" s="8"/>
      <c r="L216" s="8"/>
      <c r="M216" s="8"/>
      <c r="N216" s="8"/>
      <c r="O216" s="8"/>
      <c r="P216" s="8"/>
    </row>
    <row r="217" spans="5:16" x14ac:dyDescent="0.2">
      <c r="E217" s="8"/>
      <c r="F217" s="8"/>
      <c r="G217" s="8"/>
      <c r="H217" s="8"/>
      <c r="I217" s="8"/>
      <c r="J217" s="8"/>
      <c r="K217" s="8"/>
      <c r="L217" s="8"/>
      <c r="M217" s="8"/>
      <c r="N217" s="8"/>
      <c r="O217" s="8"/>
      <c r="P217" s="8"/>
    </row>
    <row r="218" spans="5:16" x14ac:dyDescent="0.2">
      <c r="E218" s="8"/>
      <c r="F218" s="8"/>
      <c r="G218" s="8"/>
      <c r="H218" s="8"/>
      <c r="I218" s="8"/>
      <c r="J218" s="8"/>
      <c r="K218" s="8"/>
      <c r="L218" s="8"/>
      <c r="M218" s="8"/>
      <c r="N218" s="8"/>
      <c r="O218" s="8"/>
      <c r="P218" s="8"/>
    </row>
    <row r="219" spans="5:16" x14ac:dyDescent="0.2">
      <c r="E219" s="8"/>
      <c r="F219" s="8"/>
      <c r="G219" s="8"/>
      <c r="H219" s="8"/>
      <c r="I219" s="8"/>
      <c r="J219" s="8"/>
      <c r="K219" s="8"/>
      <c r="L219" s="8"/>
      <c r="M219" s="8"/>
      <c r="N219" s="8"/>
      <c r="O219" s="8"/>
      <c r="P219" s="8"/>
    </row>
    <row r="220" spans="5:16" x14ac:dyDescent="0.2">
      <c r="E220" s="8"/>
      <c r="F220" s="8"/>
      <c r="G220" s="8"/>
      <c r="H220" s="8"/>
      <c r="I220" s="8"/>
      <c r="J220" s="8"/>
      <c r="K220" s="8"/>
      <c r="L220" s="8"/>
      <c r="M220" s="8"/>
      <c r="N220" s="8"/>
      <c r="O220" s="8"/>
      <c r="P220" s="8"/>
    </row>
    <row r="221" spans="5:16" x14ac:dyDescent="0.2">
      <c r="E221" s="8"/>
      <c r="F221" s="8"/>
      <c r="G221" s="8"/>
      <c r="H221" s="8"/>
      <c r="I221" s="8"/>
      <c r="J221" s="8"/>
      <c r="K221" s="8"/>
      <c r="L221" s="8"/>
      <c r="M221" s="8"/>
      <c r="N221" s="8"/>
      <c r="O221" s="8"/>
      <c r="P221" s="8"/>
    </row>
    <row r="222" spans="5:16" x14ac:dyDescent="0.2">
      <c r="E222" s="8"/>
      <c r="F222" s="8"/>
      <c r="G222" s="8"/>
      <c r="H222" s="8"/>
      <c r="I222" s="8"/>
      <c r="J222" s="8"/>
      <c r="K222" s="8"/>
      <c r="L222" s="8"/>
      <c r="M222" s="8"/>
      <c r="N222" s="8"/>
      <c r="O222" s="8"/>
      <c r="P222" s="8"/>
    </row>
    <row r="223" spans="5:16" x14ac:dyDescent="0.2">
      <c r="E223" s="8"/>
      <c r="F223" s="8"/>
      <c r="G223" s="8"/>
      <c r="H223" s="8"/>
      <c r="I223" s="8"/>
      <c r="J223" s="8"/>
      <c r="K223" s="8"/>
      <c r="L223" s="8"/>
      <c r="M223" s="8"/>
      <c r="N223" s="8"/>
      <c r="O223" s="8"/>
      <c r="P223" s="8"/>
    </row>
    <row r="224" spans="5:16" x14ac:dyDescent="0.2">
      <c r="E224" s="8"/>
      <c r="F224" s="8"/>
      <c r="G224" s="8"/>
      <c r="H224" s="8"/>
      <c r="I224" s="8"/>
      <c r="J224" s="8"/>
      <c r="K224" s="8"/>
      <c r="L224" s="8"/>
      <c r="M224" s="8"/>
      <c r="N224" s="8"/>
      <c r="O224" s="8"/>
      <c r="P224" s="8"/>
    </row>
    <row r="225" spans="5:16" x14ac:dyDescent="0.2">
      <c r="E225" s="8"/>
      <c r="F225" s="8"/>
      <c r="G225" s="8"/>
      <c r="H225" s="8"/>
      <c r="I225" s="8"/>
      <c r="J225" s="8"/>
      <c r="K225" s="8"/>
      <c r="L225" s="8"/>
      <c r="M225" s="8"/>
      <c r="N225" s="8"/>
      <c r="O225" s="8"/>
      <c r="P225" s="8"/>
    </row>
    <row r="226" spans="5:16" x14ac:dyDescent="0.2">
      <c r="E226" s="8"/>
      <c r="F226" s="8"/>
      <c r="G226" s="8"/>
      <c r="H226" s="8"/>
      <c r="I226" s="8"/>
      <c r="J226" s="8"/>
      <c r="K226" s="8"/>
      <c r="L226" s="8"/>
      <c r="M226" s="8"/>
      <c r="N226" s="8"/>
      <c r="O226" s="8"/>
      <c r="P226" s="8"/>
    </row>
    <row r="227" spans="5:16" x14ac:dyDescent="0.2">
      <c r="E227" s="8"/>
      <c r="F227" s="8"/>
      <c r="G227" s="8"/>
      <c r="H227" s="8"/>
      <c r="I227" s="8"/>
      <c r="J227" s="8"/>
      <c r="K227" s="8"/>
      <c r="L227" s="8"/>
      <c r="M227" s="8"/>
      <c r="N227" s="8"/>
      <c r="O227" s="8"/>
      <c r="P227" s="8"/>
    </row>
    <row r="228" spans="5:16" x14ac:dyDescent="0.2">
      <c r="E228" s="8"/>
      <c r="F228" s="8"/>
      <c r="G228" s="8"/>
      <c r="H228" s="8"/>
      <c r="I228" s="8"/>
      <c r="J228" s="8"/>
      <c r="K228" s="8"/>
      <c r="L228" s="8"/>
      <c r="M228" s="8"/>
      <c r="N228" s="8"/>
      <c r="O228" s="8"/>
      <c r="P228" s="8"/>
    </row>
    <row r="229" spans="5:16" x14ac:dyDescent="0.2">
      <c r="E229" s="8"/>
      <c r="F229" s="8"/>
      <c r="G229" s="8"/>
      <c r="H229" s="8"/>
      <c r="I229" s="8"/>
      <c r="J229" s="8"/>
      <c r="K229" s="8"/>
      <c r="L229" s="8"/>
      <c r="M229" s="8"/>
      <c r="N229" s="8"/>
      <c r="O229" s="8"/>
      <c r="P229" s="8"/>
    </row>
    <row r="230" spans="5:16" x14ac:dyDescent="0.2">
      <c r="E230" s="8"/>
      <c r="F230" s="8"/>
      <c r="G230" s="8"/>
      <c r="H230" s="8"/>
      <c r="I230" s="8"/>
      <c r="J230" s="8"/>
      <c r="K230" s="8"/>
      <c r="L230" s="8"/>
      <c r="M230" s="8"/>
      <c r="N230" s="8"/>
      <c r="O230" s="8"/>
      <c r="P230" s="8"/>
    </row>
    <row r="231" spans="5:16" x14ac:dyDescent="0.2">
      <c r="E231" s="8"/>
      <c r="F231" s="8"/>
      <c r="G231" s="8"/>
      <c r="H231" s="8"/>
      <c r="I231" s="8"/>
      <c r="J231" s="8"/>
      <c r="K231" s="8"/>
      <c r="L231" s="8"/>
      <c r="M231" s="8"/>
      <c r="N231" s="8"/>
      <c r="O231" s="8"/>
      <c r="P231" s="8"/>
    </row>
    <row r="232" spans="5:16" x14ac:dyDescent="0.2">
      <c r="E232" s="8"/>
      <c r="F232" s="8"/>
      <c r="G232" s="8"/>
      <c r="H232" s="8"/>
      <c r="I232" s="8"/>
      <c r="J232" s="8"/>
      <c r="K232" s="8"/>
      <c r="L232" s="8"/>
      <c r="M232" s="8"/>
      <c r="N232" s="8"/>
      <c r="O232" s="8"/>
      <c r="P232" s="8"/>
    </row>
    <row r="233" spans="5:16" x14ac:dyDescent="0.2">
      <c r="E233" s="8"/>
      <c r="F233" s="8"/>
      <c r="G233" s="8"/>
      <c r="H233" s="8"/>
      <c r="I233" s="8"/>
      <c r="J233" s="8"/>
      <c r="K233" s="8"/>
      <c r="L233" s="8"/>
      <c r="M233" s="8"/>
      <c r="N233" s="8"/>
      <c r="O233" s="8"/>
      <c r="P233" s="8"/>
    </row>
    <row r="234" spans="5:16" x14ac:dyDescent="0.2">
      <c r="E234" s="8"/>
      <c r="F234" s="8"/>
      <c r="G234" s="8"/>
      <c r="H234" s="8"/>
      <c r="I234" s="8"/>
      <c r="J234" s="8"/>
      <c r="K234" s="8"/>
      <c r="L234" s="8"/>
      <c r="M234" s="8"/>
      <c r="N234" s="8"/>
      <c r="O234" s="8"/>
      <c r="P234" s="8"/>
    </row>
    <row r="235" spans="5:16" x14ac:dyDescent="0.2">
      <c r="E235" s="8"/>
      <c r="F235" s="8"/>
      <c r="G235" s="8"/>
      <c r="H235" s="8"/>
      <c r="I235" s="8"/>
      <c r="J235" s="8"/>
      <c r="K235" s="8"/>
      <c r="L235" s="8"/>
      <c r="M235" s="8"/>
      <c r="N235" s="8"/>
      <c r="O235" s="8"/>
      <c r="P235" s="8"/>
    </row>
    <row r="236" spans="5:16" x14ac:dyDescent="0.2">
      <c r="E236" s="8"/>
      <c r="F236" s="8"/>
      <c r="G236" s="8"/>
      <c r="H236" s="8"/>
      <c r="I236" s="8"/>
      <c r="J236" s="8"/>
      <c r="K236" s="8"/>
      <c r="L236" s="8"/>
      <c r="M236" s="8"/>
      <c r="N236" s="8"/>
      <c r="O236" s="8"/>
      <c r="P236" s="8"/>
    </row>
    <row r="237" spans="5:16" x14ac:dyDescent="0.2">
      <c r="E237" s="8"/>
      <c r="F237" s="8"/>
      <c r="G237" s="8"/>
      <c r="H237" s="8"/>
      <c r="I237" s="8"/>
      <c r="J237" s="8"/>
      <c r="K237" s="8"/>
      <c r="L237" s="8"/>
      <c r="M237" s="8"/>
      <c r="N237" s="8"/>
      <c r="O237" s="8"/>
      <c r="P237" s="8"/>
    </row>
    <row r="238" spans="5:16" x14ac:dyDescent="0.2">
      <c r="E238" s="8"/>
      <c r="F238" s="8"/>
      <c r="G238" s="8"/>
      <c r="H238" s="8"/>
      <c r="I238" s="8"/>
      <c r="J238" s="8"/>
      <c r="K238" s="8"/>
      <c r="L238" s="8"/>
      <c r="M238" s="8"/>
      <c r="N238" s="8"/>
      <c r="O238" s="8"/>
      <c r="P238" s="8"/>
    </row>
    <row r="239" spans="5:16" x14ac:dyDescent="0.2">
      <c r="E239" s="8"/>
      <c r="F239" s="8"/>
      <c r="G239" s="8"/>
      <c r="H239" s="8"/>
      <c r="I239" s="8"/>
      <c r="J239" s="8"/>
      <c r="K239" s="8"/>
      <c r="L239" s="8"/>
      <c r="M239" s="8"/>
      <c r="N239" s="8"/>
      <c r="O239" s="8"/>
      <c r="P239" s="8"/>
    </row>
    <row r="240" spans="5:16" x14ac:dyDescent="0.2">
      <c r="E240" s="8"/>
      <c r="F240" s="8"/>
      <c r="G240" s="8"/>
      <c r="H240" s="8"/>
      <c r="I240" s="8"/>
      <c r="J240" s="8"/>
      <c r="K240" s="8"/>
      <c r="L240" s="8"/>
      <c r="M240" s="8"/>
      <c r="N240" s="8"/>
      <c r="O240" s="8"/>
      <c r="P240" s="8"/>
    </row>
    <row r="241" spans="10:16" x14ac:dyDescent="0.2">
      <c r="J241" s="8"/>
      <c r="K241" s="8"/>
      <c r="L241" s="8"/>
      <c r="M241" s="8"/>
      <c r="N241" s="8"/>
      <c r="O241" s="8"/>
      <c r="P241" s="8"/>
    </row>
    <row r="242" spans="10:16" x14ac:dyDescent="0.2">
      <c r="J242" s="8"/>
      <c r="K242" s="8"/>
      <c r="L242" s="8"/>
      <c r="M242" s="8"/>
      <c r="N242" s="8"/>
      <c r="O242" s="8"/>
      <c r="P242" s="8"/>
    </row>
    <row r="243" spans="10:16" x14ac:dyDescent="0.2">
      <c r="J243" s="8"/>
      <c r="K243" s="8"/>
      <c r="L243" s="8"/>
      <c r="M243" s="8"/>
      <c r="N243" s="8"/>
      <c r="O243" s="8"/>
      <c r="P243" s="8"/>
    </row>
    <row r="244" spans="10:16" x14ac:dyDescent="0.2">
      <c r="J244" s="8"/>
      <c r="K244" s="8"/>
      <c r="L244" s="8"/>
      <c r="M244" s="8"/>
      <c r="N244" s="8"/>
      <c r="O244" s="8"/>
      <c r="P244" s="8"/>
    </row>
  </sheetData>
  <mergeCells count="46">
    <mergeCell ref="O45:O46"/>
    <mergeCell ref="P45:P46"/>
    <mergeCell ref="K3:L3"/>
    <mergeCell ref="O3:P3"/>
    <mergeCell ref="M3:N3"/>
    <mergeCell ref="A1:P1"/>
    <mergeCell ref="C24:C32"/>
    <mergeCell ref="P11:P12"/>
    <mergeCell ref="B20:D22"/>
    <mergeCell ref="N45:N46"/>
    <mergeCell ref="A3:D4"/>
    <mergeCell ref="C6:C8"/>
    <mergeCell ref="E3:F3"/>
    <mergeCell ref="G3:H3"/>
    <mergeCell ref="I3:J3"/>
    <mergeCell ref="H45:H46"/>
    <mergeCell ref="J45:J46"/>
    <mergeCell ref="A6:A22"/>
    <mergeCell ref="B6:B12"/>
    <mergeCell ref="B13:B19"/>
    <mergeCell ref="L45:L46"/>
    <mergeCell ref="F21:F22"/>
    <mergeCell ref="E87:I87"/>
    <mergeCell ref="A43:D43"/>
    <mergeCell ref="A45:D46"/>
    <mergeCell ref="F45:F46"/>
    <mergeCell ref="C33:C35"/>
    <mergeCell ref="A41:D41"/>
    <mergeCell ref="C39:D39"/>
    <mergeCell ref="A48:D48"/>
    <mergeCell ref="D11:D12"/>
    <mergeCell ref="O11:O12"/>
    <mergeCell ref="C9:C12"/>
    <mergeCell ref="D18:D19"/>
    <mergeCell ref="C16:C19"/>
    <mergeCell ref="O18:O19"/>
    <mergeCell ref="C13:C15"/>
    <mergeCell ref="A24:B39"/>
    <mergeCell ref="P21:P22"/>
    <mergeCell ref="P18:P19"/>
    <mergeCell ref="H21:H22"/>
    <mergeCell ref="J21:J22"/>
    <mergeCell ref="L21:L22"/>
    <mergeCell ref="N21:N22"/>
    <mergeCell ref="O21:O22"/>
    <mergeCell ref="C36:C38"/>
  </mergeCells>
  <phoneticPr fontId="10"/>
  <printOptions horizontalCentered="1"/>
  <pageMargins left="0.38976377952755908" right="0.55118110236220474" top="0.6889763779527559" bottom="0.31102362204724415" header="0.24015748031496062" footer="0.51181102362204722"/>
  <pageSetup paperSize="0" scale="61" orientation="landscape"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8"/>
  <sheetViews>
    <sheetView zoomScaleNormal="85" workbookViewId="0">
      <selection activeCell="D38" sqref="D38"/>
    </sheetView>
  </sheetViews>
  <sheetFormatPr defaultColWidth="10.6328125" defaultRowHeight="12.6" x14ac:dyDescent="0.2"/>
  <cols>
    <col min="1" max="1" width="14.36328125" style="2" customWidth="1"/>
    <col min="2" max="2" width="2.453125" style="2" customWidth="1"/>
    <col min="3" max="3" width="27.36328125" style="2" customWidth="1"/>
    <col min="4" max="4" width="15.453125" style="2" customWidth="1"/>
    <col min="5" max="5" width="6.6328125" style="2" customWidth="1"/>
    <col min="6" max="6" width="15.453125" style="2" customWidth="1"/>
    <col min="7" max="7" width="6.6328125" style="2" customWidth="1"/>
    <col min="8" max="8" width="15.453125" style="2" customWidth="1"/>
    <col min="9" max="9" width="6.6328125" style="2" customWidth="1"/>
    <col min="10" max="10" width="15.453125" style="2" customWidth="1"/>
    <col min="11" max="11" width="6.6328125" style="2" customWidth="1"/>
    <col min="12" max="12" width="15.453125" style="2" customWidth="1"/>
    <col min="13" max="13" width="6.6328125" style="2" customWidth="1"/>
    <col min="14" max="14" width="16.453125" style="2" customWidth="1"/>
    <col min="15" max="15" width="7" style="2" customWidth="1"/>
    <col min="16" max="16" width="5.6328125" style="2" customWidth="1"/>
    <col min="17" max="17" width="14.453125" style="2" customWidth="1"/>
    <col min="18" max="19" width="11.453125" style="2" customWidth="1"/>
    <col min="20" max="22" width="11.1796875" style="2" customWidth="1"/>
    <col min="23" max="23" width="12.1796875" style="2" customWidth="1"/>
    <col min="24" max="16384" width="10.6328125" style="2"/>
  </cols>
  <sheetData>
    <row r="1" spans="1:23" ht="29.4" x14ac:dyDescent="0.2">
      <c r="A1" s="719" t="s">
        <v>453</v>
      </c>
      <c r="B1" s="719"/>
      <c r="C1" s="720"/>
      <c r="D1" s="720"/>
      <c r="E1" s="720"/>
      <c r="F1" s="720"/>
      <c r="G1" s="720"/>
      <c r="H1" s="720"/>
      <c r="I1" s="720"/>
      <c r="J1" s="720"/>
      <c r="K1" s="720"/>
      <c r="L1" s="720"/>
      <c r="M1" s="720"/>
      <c r="N1" s="720"/>
      <c r="O1" s="720"/>
    </row>
    <row r="3" spans="1:23" ht="19.05" customHeight="1" x14ac:dyDescent="0.2">
      <c r="A3" s="739" t="s">
        <v>421</v>
      </c>
      <c r="B3" s="739"/>
      <c r="C3" s="566"/>
      <c r="D3" s="709">
        <v>2012</v>
      </c>
      <c r="E3" s="565"/>
      <c r="F3" s="709">
        <f>D3+1</f>
        <v>2013</v>
      </c>
      <c r="G3" s="565"/>
      <c r="H3" s="709">
        <f>F3+1</f>
        <v>2014</v>
      </c>
      <c r="I3" s="565"/>
      <c r="J3" s="709">
        <f>H3+1</f>
        <v>2015</v>
      </c>
      <c r="K3" s="565"/>
      <c r="L3" s="709">
        <f>J3+1</f>
        <v>2016</v>
      </c>
      <c r="M3" s="565"/>
      <c r="N3" s="709" t="s">
        <v>498</v>
      </c>
      <c r="O3" s="730"/>
      <c r="Q3"/>
      <c r="R3"/>
      <c r="S3"/>
      <c r="T3" s="82"/>
      <c r="U3" s="82"/>
      <c r="V3" s="82"/>
      <c r="W3" s="82"/>
    </row>
    <row r="4" spans="1:23" ht="19.05" customHeight="1" x14ac:dyDescent="0.2">
      <c r="A4" s="566"/>
      <c r="B4" s="566"/>
      <c r="C4" s="566"/>
      <c r="D4" s="114" t="s">
        <v>412</v>
      </c>
      <c r="E4" s="114" t="s">
        <v>193</v>
      </c>
      <c r="F4" s="114" t="s">
        <v>412</v>
      </c>
      <c r="G4" s="114" t="s">
        <v>193</v>
      </c>
      <c r="H4" s="114" t="s">
        <v>412</v>
      </c>
      <c r="I4" s="114" t="s">
        <v>193</v>
      </c>
      <c r="J4" s="114" t="s">
        <v>412</v>
      </c>
      <c r="K4" s="114" t="s">
        <v>193</v>
      </c>
      <c r="L4" s="114" t="s">
        <v>412</v>
      </c>
      <c r="M4" s="114" t="s">
        <v>193</v>
      </c>
      <c r="N4" s="114" t="s">
        <v>412</v>
      </c>
      <c r="O4" s="114" t="s">
        <v>193</v>
      </c>
      <c r="Q4"/>
      <c r="R4"/>
      <c r="S4"/>
      <c r="T4" s="82"/>
      <c r="U4" s="82"/>
      <c r="V4" s="82"/>
      <c r="W4" s="82"/>
    </row>
    <row r="5" spans="1:23" x14ac:dyDescent="0.2">
      <c r="A5" s="1"/>
      <c r="B5" s="1"/>
      <c r="C5" s="1"/>
      <c r="D5" s="4"/>
      <c r="E5" s="4"/>
      <c r="F5" s="4"/>
      <c r="G5" s="4"/>
      <c r="H5" s="4"/>
      <c r="I5" s="4"/>
      <c r="J5" s="4"/>
      <c r="K5" s="4"/>
      <c r="L5" s="4"/>
      <c r="M5" s="4"/>
      <c r="N5" s="4"/>
      <c r="O5" s="4"/>
      <c r="Q5"/>
      <c r="R5"/>
      <c r="S5"/>
      <c r="T5" s="82"/>
      <c r="U5" s="82"/>
      <c r="V5" s="82"/>
      <c r="W5" s="82"/>
    </row>
    <row r="6" spans="1:23" ht="16.2" x14ac:dyDescent="0.2">
      <c r="A6" s="742" t="s">
        <v>415</v>
      </c>
      <c r="B6" s="731" t="s">
        <v>337</v>
      </c>
      <c r="C6" s="65" t="s">
        <v>161</v>
      </c>
      <c r="D6" s="101">
        <f>Calculations!$H$160</f>
        <v>160</v>
      </c>
      <c r="E6" s="172">
        <f>IF(D16&lt;&gt;0,D6/D16,)</f>
        <v>0.76190476190476186</v>
      </c>
      <c r="F6" s="101">
        <f>Calculations!$M$160</f>
        <v>190</v>
      </c>
      <c r="G6" s="172">
        <f>IF(F16&lt;&gt;0,F6/F16,)</f>
        <v>0.48717948717948717</v>
      </c>
      <c r="H6" s="101">
        <f>Calculations!$R$160</f>
        <v>180</v>
      </c>
      <c r="I6" s="172">
        <f>IF(H16&lt;&gt;0,H6/H16,)</f>
        <v>0.40909090909090912</v>
      </c>
      <c r="J6" s="101">
        <f>Calculations!$W$160</f>
        <v>80</v>
      </c>
      <c r="K6" s="172">
        <f>IF(J16&lt;&gt;0,J6/J16,)</f>
        <v>0.22857142857142856</v>
      </c>
      <c r="L6" s="101">
        <f>Calculations!$AB$160</f>
        <v>0</v>
      </c>
      <c r="M6" s="172">
        <f>IF(L16&lt;&gt;0,L6/L16,)</f>
        <v>0</v>
      </c>
      <c r="N6" s="393">
        <f t="shared" ref="N6:N17" si="0">D6+F6+H6+J6+L6</f>
        <v>610</v>
      </c>
      <c r="O6" s="172">
        <f>IF(N16&lt;&gt;0,N6/N16,)</f>
        <v>0.35465116279069769</v>
      </c>
      <c r="Q6"/>
      <c r="R6"/>
      <c r="S6"/>
      <c r="T6" s="82"/>
      <c r="U6" s="82"/>
      <c r="V6" s="82"/>
      <c r="W6" s="82"/>
    </row>
    <row r="7" spans="1:23" x14ac:dyDescent="0.2">
      <c r="A7" s="743"/>
      <c r="B7" s="732"/>
      <c r="C7" s="5" t="s">
        <v>98</v>
      </c>
      <c r="D7" s="399">
        <f>Calculations!$H$174</f>
        <v>4800000</v>
      </c>
      <c r="E7" s="135">
        <f>IF(D17&lt;&gt;0,D7/D17,)</f>
        <v>0.79202431514647498</v>
      </c>
      <c r="F7" s="399">
        <f>Calculations!$M$174</f>
        <v>5700000</v>
      </c>
      <c r="G7" s="135">
        <f>IF(F17&lt;&gt;0,F7/F17,)</f>
        <v>0.39970127588854648</v>
      </c>
      <c r="H7" s="399">
        <f>Calculations!$R$174</f>
        <v>5400000</v>
      </c>
      <c r="I7" s="135">
        <f>IF(H17&lt;&gt;0,H7/H17,)</f>
        <v>0.20318595578673601</v>
      </c>
      <c r="J7" s="399">
        <f>Calculations!$W$174</f>
        <v>2400000</v>
      </c>
      <c r="K7" s="135">
        <f>IF(J17&lt;&gt;0,J7/J17,)</f>
        <v>6.3454605130717281E-2</v>
      </c>
      <c r="L7" s="399">
        <f>Calculations!$AB$174</f>
        <v>0</v>
      </c>
      <c r="M7" s="135">
        <f>IF(L17&lt;&gt;0,L7/L17,)</f>
        <v>0</v>
      </c>
      <c r="N7" s="408">
        <f t="shared" si="0"/>
        <v>18300000</v>
      </c>
      <c r="O7" s="135">
        <f>IF(N17&lt;&gt;0,N7/N17,)</f>
        <v>0.13470542661473603</v>
      </c>
      <c r="Q7"/>
      <c r="R7"/>
      <c r="S7"/>
      <c r="T7" s="82"/>
    </row>
    <row r="8" spans="1:23" x14ac:dyDescent="0.2">
      <c r="A8" s="743"/>
      <c r="B8" s="732"/>
      <c r="C8" s="5" t="s">
        <v>99</v>
      </c>
      <c r="D8" s="399">
        <f>Calculations!$H$181</f>
        <v>100800</v>
      </c>
      <c r="E8" s="135">
        <f>IF(D17&lt;&gt;0,D8/D17,)</f>
        <v>1.6632510618075975E-2</v>
      </c>
      <c r="F8" s="399">
        <f>Calculations!$M$181</f>
        <v>484050</v>
      </c>
      <c r="G8" s="135">
        <f>IF(F17&lt;&gt;0,F8/F17,)</f>
        <v>3.3943053086640508E-2</v>
      </c>
      <c r="H8" s="399">
        <f>Calculations!$R$181</f>
        <v>876750</v>
      </c>
      <c r="I8" s="135">
        <f>IF(H17&lt;&gt;0,H8/H17,)</f>
        <v>3.2989497543707558E-2</v>
      </c>
      <c r="J8" s="399">
        <f>Calculations!$W$181</f>
        <v>1176000</v>
      </c>
      <c r="K8" s="135">
        <f>IF(J17&lt;&gt;0,J8/J17,)</f>
        <v>3.1092756514051467E-2</v>
      </c>
      <c r="L8" s="399">
        <f>Calculations!$AB$181</f>
        <v>1281000</v>
      </c>
      <c r="M8" s="135">
        <f>IF(L17&lt;&gt;0,L8/L17,)</f>
        <v>2.5052822144676468E-2</v>
      </c>
      <c r="N8" s="408">
        <f t="shared" si="0"/>
        <v>3918600</v>
      </c>
      <c r="O8" s="135">
        <f>IF(N17&lt;&gt;0,N8/N17,)</f>
        <v>2.8844627581011181E-2</v>
      </c>
      <c r="Q8"/>
      <c r="R8"/>
      <c r="S8"/>
      <c r="T8" s="82"/>
    </row>
    <row r="9" spans="1:23" x14ac:dyDescent="0.2">
      <c r="A9" s="743"/>
      <c r="B9" s="732"/>
      <c r="C9" s="5" t="s">
        <v>449</v>
      </c>
      <c r="D9" s="399">
        <f>Calculations!$H$188</f>
        <v>86400</v>
      </c>
      <c r="E9" s="135">
        <f>IF(D17&lt;&gt;0,D9/D17,)</f>
        <v>1.4256437672636549E-2</v>
      </c>
      <c r="F9" s="399">
        <f>Calculations!$M$188</f>
        <v>414900</v>
      </c>
      <c r="G9" s="135">
        <f>IF(F17&lt;&gt;0,F9/F17,)</f>
        <v>2.9094045502834724E-2</v>
      </c>
      <c r="H9" s="399">
        <f>Calculations!$R$188</f>
        <v>751500</v>
      </c>
      <c r="I9" s="135">
        <f>IF(H17&lt;&gt;0,H9/H17,)</f>
        <v>2.8276712180320764E-2</v>
      </c>
      <c r="J9" s="399">
        <f>Calculations!$W$188</f>
        <v>1008000</v>
      </c>
      <c r="K9" s="135">
        <f>IF(J17&lt;&gt;0,J9/J17,)</f>
        <v>2.6650934154901256E-2</v>
      </c>
      <c r="L9" s="399">
        <f>Calculations!$AB$188</f>
        <v>1098000</v>
      </c>
      <c r="M9" s="135">
        <f>IF(L17&lt;&gt;0,L9/L17,)</f>
        <v>2.147384755257983E-2</v>
      </c>
      <c r="N9" s="408">
        <f t="shared" si="0"/>
        <v>3358800</v>
      </c>
      <c r="O9" s="135">
        <f>IF(N17&lt;&gt;0,N9/N17,)</f>
        <v>2.4723966498009585E-2</v>
      </c>
      <c r="Q9"/>
      <c r="R9"/>
      <c r="S9"/>
      <c r="T9" s="82"/>
    </row>
    <row r="10" spans="1:23" x14ac:dyDescent="0.2">
      <c r="A10" s="743"/>
      <c r="B10" s="732"/>
      <c r="C10" s="65" t="s">
        <v>160</v>
      </c>
      <c r="D10" s="400">
        <f>SUM(D7:D9)</f>
        <v>4987200</v>
      </c>
      <c r="E10" s="172">
        <f>IF(D17&lt;&gt;0,D10/D17,)</f>
        <v>0.82291326343718751</v>
      </c>
      <c r="F10" s="400">
        <f>SUM(F7:F9)</f>
        <v>6598950</v>
      </c>
      <c r="G10" s="172">
        <f>IF(F17&lt;&gt;0,F10/F17,)</f>
        <v>0.46273837447802169</v>
      </c>
      <c r="H10" s="400">
        <f>SUM(H7:H9)</f>
        <v>7028250</v>
      </c>
      <c r="I10" s="172">
        <f>IF(H17&lt;&gt;0,H10/H17,)</f>
        <v>0.26445216551076434</v>
      </c>
      <c r="J10" s="400">
        <f>SUM(J7:J9)</f>
        <v>4584000</v>
      </c>
      <c r="K10" s="172">
        <f>IF(J17&lt;&gt;0,J10/J17,)</f>
        <v>0.12119829579967001</v>
      </c>
      <c r="L10" s="400">
        <f>SUM(L7:L9)</f>
        <v>2379000</v>
      </c>
      <c r="M10" s="172">
        <f>IF(L17&lt;&gt;0,L10/L17,)</f>
        <v>4.6526669697256301E-2</v>
      </c>
      <c r="N10" s="409">
        <f t="shared" si="0"/>
        <v>25577400</v>
      </c>
      <c r="O10" s="172">
        <f>IF(N17&lt;&gt;0,N10/N17,)</f>
        <v>0.18827402069375679</v>
      </c>
      <c r="Q10"/>
      <c r="R10"/>
      <c r="S10"/>
      <c r="T10" s="82"/>
    </row>
    <row r="11" spans="1:23" ht="16.2" x14ac:dyDescent="0.2">
      <c r="A11" s="743"/>
      <c r="B11" s="733" t="s">
        <v>126</v>
      </c>
      <c r="C11" s="387" t="s">
        <v>182</v>
      </c>
      <c r="D11" s="101">
        <f>Calculations!$H$3</f>
        <v>50</v>
      </c>
      <c r="E11" s="135">
        <f>IF(D16&lt;&gt;0,D11/D16,)</f>
        <v>0.23809523809523808</v>
      </c>
      <c r="F11" s="101">
        <f>Calculations!$M$3</f>
        <v>200</v>
      </c>
      <c r="G11" s="135">
        <f>IF(F16&lt;&gt;0,F11/F16,)</f>
        <v>0.51282051282051277</v>
      </c>
      <c r="H11" s="101">
        <f>Calculations!$R$3</f>
        <v>260</v>
      </c>
      <c r="I11" s="135">
        <f>IF(H16&lt;&gt;0,H11/H16,)</f>
        <v>0.59090909090909094</v>
      </c>
      <c r="J11" s="101">
        <f>Calculations!$W$3</f>
        <v>270</v>
      </c>
      <c r="K11" s="135">
        <f>IF(J16&lt;&gt;0,J11/J16,)</f>
        <v>0.77142857142857146</v>
      </c>
      <c r="L11" s="101">
        <f>Calculations!$AB$3</f>
        <v>330</v>
      </c>
      <c r="M11" s="135">
        <f>IF(L16&lt;&gt;0,L11/L16,)</f>
        <v>1</v>
      </c>
      <c r="N11" s="393">
        <f t="shared" si="0"/>
        <v>1110</v>
      </c>
      <c r="O11" s="135">
        <f>IF(N16&lt;&gt;0,N11/N16,)</f>
        <v>0.64534883720930236</v>
      </c>
      <c r="Q11"/>
      <c r="R11"/>
      <c r="S11"/>
      <c r="T11" s="82"/>
    </row>
    <row r="12" spans="1:23" x14ac:dyDescent="0.2">
      <c r="A12" s="743"/>
      <c r="B12" s="734"/>
      <c r="C12" s="5" t="s">
        <v>213</v>
      </c>
      <c r="D12" s="399">
        <f>Calculations!$H$45</f>
        <v>1005720</v>
      </c>
      <c r="E12" s="135">
        <f>IF(D17&lt;&gt;0,D12/D17,)</f>
        <v>0.16594889463106519</v>
      </c>
      <c r="F12" s="399">
        <f>Calculations!$M$45</f>
        <v>7099200</v>
      </c>
      <c r="G12" s="135">
        <f>IF(F17&lt;&gt;0,F12/F17,)</f>
        <v>0.49781742066455598</v>
      </c>
      <c r="H12" s="399">
        <f>Calculations!$R$45</f>
        <v>17984640</v>
      </c>
      <c r="I12" s="135">
        <f>IF(H17&lt;&gt;0,H12/H17,)</f>
        <v>0.67670856812599334</v>
      </c>
      <c r="J12" s="399">
        <f>Calculations!$W$45</f>
        <v>30491064</v>
      </c>
      <c r="K12" s="135">
        <f>IF(J17&lt;&gt;0,J12/J17,)</f>
        <v>0.80616601088976203</v>
      </c>
      <c r="L12" s="399">
        <f>Calculations!$AB$45</f>
        <v>44689464</v>
      </c>
      <c r="M12" s="135">
        <f>IF(L17&lt;&gt;0,L12/L17,)</f>
        <v>0.87400249284381093</v>
      </c>
      <c r="N12" s="408">
        <f>D12+F12+H12+J12+L12</f>
        <v>101270088</v>
      </c>
      <c r="O12" s="135">
        <f>IF(N17&lt;&gt;0,N12/N17,)</f>
        <v>0.74544428455474643</v>
      </c>
      <c r="Q12"/>
      <c r="R12"/>
      <c r="S12"/>
      <c r="T12" s="82"/>
    </row>
    <row r="13" spans="1:23" x14ac:dyDescent="0.2">
      <c r="A13" s="743"/>
      <c r="B13" s="734"/>
      <c r="C13" s="5" t="s">
        <v>99</v>
      </c>
      <c r="D13" s="399">
        <f>Calculations!$H$52</f>
        <v>22500</v>
      </c>
      <c r="E13" s="135">
        <f>IF(D17&lt;&gt;0,D13/D17,)</f>
        <v>3.7126139772491015E-3</v>
      </c>
      <c r="F13" s="399">
        <f>Calculations!$M$52</f>
        <v>187500</v>
      </c>
      <c r="G13" s="135">
        <f>IF(F17&lt;&gt;0,F13/F17,)</f>
        <v>1.3148068285807449E-2</v>
      </c>
      <c r="H13" s="399">
        <f>Calculations!$R$52</f>
        <v>521250</v>
      </c>
      <c r="I13" s="135">
        <f>IF(H17&lt;&gt;0,H13/H17,)</f>
        <v>1.9613088787747434E-2</v>
      </c>
      <c r="J13" s="399">
        <f>Calculations!$W$52</f>
        <v>915750</v>
      </c>
      <c r="K13" s="135">
        <f>IF(J17&lt;&gt;0,J13/J17,)</f>
        <v>2.4211897770189311E-2</v>
      </c>
      <c r="L13" s="399">
        <f>Calculations!$AB$52</f>
        <v>1354500</v>
      </c>
      <c r="M13" s="135">
        <f>IF(L17&lt;&gt;0,L13/L17,)</f>
        <v>2.6490279152977577E-2</v>
      </c>
      <c r="N13" s="408">
        <f>D13+F13+H13+J13+L13</f>
        <v>3001500</v>
      </c>
      <c r="O13" s="135">
        <f>IF(N17&lt;&gt;0,N13/N17,)</f>
        <v>2.2093898250498917E-2</v>
      </c>
      <c r="Q13"/>
      <c r="R13"/>
      <c r="S13"/>
      <c r="T13" s="82"/>
    </row>
    <row r="14" spans="1:23" x14ac:dyDescent="0.2">
      <c r="A14" s="743"/>
      <c r="B14" s="734"/>
      <c r="C14" s="5" t="s">
        <v>449</v>
      </c>
      <c r="D14" s="399">
        <f>Calculations!$H$59</f>
        <v>45000</v>
      </c>
      <c r="E14" s="135">
        <f>IF(D17&lt;&gt;0,D14/D17,)</f>
        <v>7.4252279544982031E-3</v>
      </c>
      <c r="F14" s="399">
        <f>Calculations!$M$59</f>
        <v>375000</v>
      </c>
      <c r="G14" s="135">
        <f>IF(F17&lt;&gt;0,F14/F17,)</f>
        <v>2.6296136571614899E-2</v>
      </c>
      <c r="H14" s="399">
        <f>Calculations!$R$59</f>
        <v>1042500</v>
      </c>
      <c r="I14" s="135">
        <f>IF(H17&lt;&gt;0,H14/H17,)</f>
        <v>3.9226177575494868E-2</v>
      </c>
      <c r="J14" s="399">
        <f>Calculations!$W$59</f>
        <v>1831500</v>
      </c>
      <c r="K14" s="135">
        <f>IF(J17&lt;&gt;0,J14/J17,)</f>
        <v>4.8423795540378622E-2</v>
      </c>
      <c r="L14" s="399">
        <f>Calculations!$AB$59</f>
        <v>2709000</v>
      </c>
      <c r="M14" s="135">
        <f>IF(L17&lt;&gt;0,L14/L17,)</f>
        <v>5.2980558305955154E-2</v>
      </c>
      <c r="N14" s="408">
        <f>D14+F14+H14+J14+L14</f>
        <v>6003000</v>
      </c>
      <c r="O14" s="135">
        <f>IF(N17&lt;&gt;0,N14/N17,)</f>
        <v>4.4187796500997835E-2</v>
      </c>
      <c r="Q14"/>
      <c r="R14"/>
      <c r="S14"/>
      <c r="T14" s="82"/>
    </row>
    <row r="15" spans="1:23" x14ac:dyDescent="0.2">
      <c r="A15" s="743"/>
      <c r="B15" s="735"/>
      <c r="C15" s="65"/>
      <c r="D15" s="400">
        <f>SUM(D12:D14)</f>
        <v>1073220</v>
      </c>
      <c r="E15" s="172">
        <f>IF(D17&lt;&gt;0,D15/D17,)</f>
        <v>0.17708673656281249</v>
      </c>
      <c r="F15" s="400">
        <f>SUM(F12:F14)</f>
        <v>7661700</v>
      </c>
      <c r="G15" s="172">
        <f>IF(F17&lt;&gt;0,F15/F17,)</f>
        <v>0.53726162552197831</v>
      </c>
      <c r="H15" s="400">
        <f>SUM(H12:H14)</f>
        <v>19548390</v>
      </c>
      <c r="I15" s="172">
        <f>IF(H17&lt;&gt;0,H15/H17,)</f>
        <v>0.73554783448923566</v>
      </c>
      <c r="J15" s="400">
        <f>SUM(J12:J14)</f>
        <v>33238314</v>
      </c>
      <c r="K15" s="172">
        <f>IF(J17&lt;&gt;0,J15/J17,)</f>
        <v>0.87880170420032999</v>
      </c>
      <c r="L15" s="400">
        <f>SUM(L12:L14)</f>
        <v>48752964</v>
      </c>
      <c r="M15" s="172">
        <f>IF(L17&lt;&gt;0,L15/L17,)</f>
        <v>0.95347333030274373</v>
      </c>
      <c r="N15" s="409">
        <f t="shared" si="0"/>
        <v>110274588</v>
      </c>
      <c r="O15" s="172">
        <f>IF(N17&lt;&gt;0,N15/N17,)</f>
        <v>0.81172597930624324</v>
      </c>
      <c r="Q15"/>
      <c r="R15"/>
      <c r="S15"/>
      <c r="T15" s="82"/>
    </row>
    <row r="16" spans="1:23" ht="16.2" x14ac:dyDescent="0.2">
      <c r="A16" s="743"/>
      <c r="B16" s="736" t="s">
        <v>24</v>
      </c>
      <c r="C16" s="557"/>
      <c r="D16" s="393">
        <f>D6+D11</f>
        <v>210</v>
      </c>
      <c r="E16" s="737">
        <f>IF(D17&lt;&gt;0,D17/D17,)</f>
        <v>1</v>
      </c>
      <c r="F16" s="393">
        <f>F6+F11</f>
        <v>390</v>
      </c>
      <c r="G16" s="737">
        <f>IF(F17&lt;&gt;0,F17/F17,)</f>
        <v>1</v>
      </c>
      <c r="H16" s="393">
        <f>H6+H11</f>
        <v>440</v>
      </c>
      <c r="I16" s="737">
        <f>IF(H17&lt;&gt;0,H17/H17,)</f>
        <v>1</v>
      </c>
      <c r="J16" s="393">
        <f>J6+J11</f>
        <v>350</v>
      </c>
      <c r="K16" s="737">
        <f>IF(J17&lt;&gt;0,J17/J17,)</f>
        <v>1</v>
      </c>
      <c r="L16" s="393">
        <f>L6+L11</f>
        <v>330</v>
      </c>
      <c r="M16" s="737">
        <f>IF(L17&lt;&gt;0,L17/L17,)</f>
        <v>1</v>
      </c>
      <c r="N16" s="393">
        <f t="shared" si="0"/>
        <v>1720</v>
      </c>
      <c r="O16" s="392">
        <f>N16/N16</f>
        <v>1</v>
      </c>
      <c r="Q16"/>
      <c r="R16"/>
      <c r="S16"/>
      <c r="T16" s="82"/>
    </row>
    <row r="17" spans="1:20" ht="28.05" customHeight="1" x14ac:dyDescent="0.2">
      <c r="A17" s="744"/>
      <c r="B17" s="740" t="s">
        <v>269</v>
      </c>
      <c r="C17" s="741"/>
      <c r="D17" s="401">
        <f>D10+D15</f>
        <v>6060420</v>
      </c>
      <c r="E17" s="545"/>
      <c r="F17" s="401">
        <f>F10+F15</f>
        <v>14260650</v>
      </c>
      <c r="G17" s="545"/>
      <c r="H17" s="401">
        <f>H10+H15</f>
        <v>26576640</v>
      </c>
      <c r="I17" s="545"/>
      <c r="J17" s="401">
        <f>J10+J15</f>
        <v>37822314</v>
      </c>
      <c r="K17" s="545"/>
      <c r="L17" s="401">
        <f>L10+L15</f>
        <v>51131964</v>
      </c>
      <c r="M17" s="545"/>
      <c r="N17" s="414">
        <f t="shared" si="0"/>
        <v>135851988</v>
      </c>
      <c r="O17" s="391">
        <f>N17/N17</f>
        <v>1</v>
      </c>
      <c r="Q17"/>
      <c r="R17"/>
      <c r="S17"/>
      <c r="T17" s="116"/>
    </row>
    <row r="18" spans="1:20" s="82" customFormat="1" ht="6" customHeight="1" x14ac:dyDescent="0.2">
      <c r="D18" s="372"/>
      <c r="F18" s="372"/>
      <c r="H18" s="372"/>
      <c r="J18" s="372"/>
      <c r="L18" s="372"/>
      <c r="N18" s="402"/>
      <c r="Q18"/>
      <c r="R18"/>
      <c r="S18"/>
    </row>
    <row r="19" spans="1:20" x14ac:dyDescent="0.2">
      <c r="A19" s="742" t="s">
        <v>416</v>
      </c>
      <c r="B19" s="547" t="s">
        <v>298</v>
      </c>
      <c r="C19" s="547"/>
      <c r="D19" s="399">
        <f>(Calculations!$H$89+Calculations!$H$209)</f>
        <v>3662000</v>
      </c>
      <c r="E19" s="135">
        <f>IF(D28&lt;&gt;0,D19/D28,)</f>
        <v>0.64878731393639677</v>
      </c>
      <c r="F19" s="399">
        <f>(Calculations!$M$89+Calculations!$M$209)</f>
        <v>4448000</v>
      </c>
      <c r="G19" s="135">
        <f>IF(F28&lt;&gt;0,F19/F28,)</f>
        <v>0.47406861786117188</v>
      </c>
      <c r="H19" s="399">
        <f>(Calculations!$R$89+Calculations!$R$209)</f>
        <v>3996000</v>
      </c>
      <c r="I19" s="135">
        <f>IF(H28&lt;&gt;0,H19/H28,)</f>
        <v>0.3038154033541644</v>
      </c>
      <c r="J19" s="399">
        <f>(Calculations!$W$89+Calculations!$W$209)</f>
        <v>2198000</v>
      </c>
      <c r="K19" s="135">
        <f>IF(J28&lt;&gt;0,J19/J28,)</f>
        <v>0.14250438299313375</v>
      </c>
      <c r="L19" s="399">
        <f>(Calculations!$AB$89+Calculations!$AB$209)</f>
        <v>1121999.9999999998</v>
      </c>
      <c r="M19" s="135">
        <f>IF(L28&lt;&gt;0,L19/L28,)</f>
        <v>6.2053994845194194E-2</v>
      </c>
      <c r="N19" s="408">
        <f t="shared" ref="N19:N27" si="1">D19+F19+H19+J19+L19</f>
        <v>15426000</v>
      </c>
      <c r="O19" s="135">
        <f>IF(N28&lt;&gt;0,N19/N28,)</f>
        <v>0.2500777221110288</v>
      </c>
      <c r="Q19"/>
      <c r="R19"/>
      <c r="S19"/>
      <c r="T19" s="82"/>
    </row>
    <row r="20" spans="1:20" ht="13.05" customHeight="1" x14ac:dyDescent="0.2">
      <c r="A20" s="743"/>
      <c r="B20" s="547" t="s">
        <v>211</v>
      </c>
      <c r="C20" s="547"/>
      <c r="D20" s="399">
        <f>Calculations!$H$94</f>
        <v>134717.87157766736</v>
      </c>
      <c r="E20" s="135">
        <f>IF(D28&lt;&gt;0,D20/D28,)</f>
        <v>2.3867625898444364E-2</v>
      </c>
      <c r="F20" s="399">
        <f>Calculations!$M$94</f>
        <v>888124.17722638138</v>
      </c>
      <c r="G20" s="135">
        <f>IF(F28&lt;&gt;0,F20/F28,)</f>
        <v>9.4656430122931901E-2</v>
      </c>
      <c r="H20" s="399">
        <f>Calculations!$R$94</f>
        <v>2127500.0386934215</v>
      </c>
      <c r="I20" s="135">
        <f>IF(H28&lt;&gt;0,H20/H28,)</f>
        <v>0.16175357417208264</v>
      </c>
      <c r="J20" s="399">
        <f>Calculations!$W$94</f>
        <v>3312760.2951494008</v>
      </c>
      <c r="K20" s="135">
        <f>IF(J28&lt;&gt;0,J20/J28,)</f>
        <v>0.2147783720948212</v>
      </c>
      <c r="L20" s="399">
        <f>Calculations!$AB$94</f>
        <v>4015763.4119619546</v>
      </c>
      <c r="M20" s="135">
        <f>IF(L28&lt;&gt;0,L20/L28,)</f>
        <v>0.22209818365900769</v>
      </c>
      <c r="N20" s="408">
        <f>D20+F20+H20+J20+L20</f>
        <v>10478865.794608826</v>
      </c>
      <c r="O20" s="135">
        <f>IF(N28&lt;&gt;0,N20/N28,)</f>
        <v>0.16987753715953266</v>
      </c>
      <c r="Q20"/>
      <c r="R20"/>
      <c r="S20"/>
      <c r="T20" s="82"/>
    </row>
    <row r="21" spans="1:20" x14ac:dyDescent="0.2">
      <c r="A21" s="743"/>
      <c r="B21" s="547" t="s">
        <v>316</v>
      </c>
      <c r="C21" s="547"/>
      <c r="D21" s="399">
        <f>(Calculations!$H$202+Calculations!$H$73)</f>
        <v>324480.48</v>
      </c>
      <c r="E21" s="135">
        <f>IF(D28&lt;&gt;0,D21/D28,)</f>
        <v>5.748738914363536E-2</v>
      </c>
      <c r="F21" s="399">
        <f>(Calculations!$M$202+Calculations!$M$73)</f>
        <v>881332.79999999993</v>
      </c>
      <c r="G21" s="135">
        <f>IF(F28&lt;&gt;0,F21/F28,)</f>
        <v>9.3932603950475854E-2</v>
      </c>
      <c r="H21" s="399">
        <f>(Calculations!$R$202+Calculations!$R$73)</f>
        <v>1780709.7599999998</v>
      </c>
      <c r="I21" s="135">
        <f>IF(H28&lt;&gt;0,H21/H28,)</f>
        <v>0.13538715064842272</v>
      </c>
      <c r="J21" s="399">
        <f>(Calculations!$W$202+Calculations!$W$73)</f>
        <v>2681249.3759999997</v>
      </c>
      <c r="K21" s="135">
        <f>IF(J28&lt;&gt;0,J21/J28,)</f>
        <v>0.1738352083610577</v>
      </c>
      <c r="L21" s="399">
        <f>(Calculations!$AB$202+Calculations!$AB$73)</f>
        <v>3753914.9759999998</v>
      </c>
      <c r="M21" s="135">
        <f>IF(L28&lt;&gt;0,L21/L28,)</f>
        <v>0.20761623936720261</v>
      </c>
      <c r="N21" s="408">
        <f t="shared" si="1"/>
        <v>9421687.3919999991</v>
      </c>
      <c r="O21" s="135">
        <f>IF(N28&lt;&gt;0,N21/N28,)</f>
        <v>0.15273914958080897</v>
      </c>
      <c r="Q21"/>
      <c r="R21"/>
      <c r="S21"/>
      <c r="T21" s="82"/>
    </row>
    <row r="22" spans="1:20" x14ac:dyDescent="0.2">
      <c r="A22" s="743"/>
      <c r="B22" s="547" t="s">
        <v>230</v>
      </c>
      <c r="C22" s="547"/>
      <c r="D22" s="399">
        <f>(Calculations!$H$106+Calculations!$H$225)</f>
        <v>252000</v>
      </c>
      <c r="E22" s="135">
        <f>IF(D28&lt;&gt;0,D22/D28,)</f>
        <v>4.4646205109768432E-2</v>
      </c>
      <c r="F22" s="399">
        <f>(Calculations!$M$106+Calculations!$M$225)</f>
        <v>468000</v>
      </c>
      <c r="G22" s="135">
        <f>IF(F28&lt;&gt;0,F22/F28,)</f>
        <v>4.9879521843306754E-2</v>
      </c>
      <c r="H22" s="399">
        <f>(Calculations!$R$106+Calculations!$R$225)</f>
        <v>528000</v>
      </c>
      <c r="I22" s="135">
        <f>IF(H28&lt;&gt;0,H22/H28,)</f>
        <v>4.0143777019769469E-2</v>
      </c>
      <c r="J22" s="399">
        <f>(Calculations!$W$106+Calculations!$W$225)</f>
        <v>420000</v>
      </c>
      <c r="K22" s="135">
        <f>IF(J28&lt;&gt;0,J22/J28,)</f>
        <v>2.723013687766887E-2</v>
      </c>
      <c r="L22" s="399">
        <f>(Calculations!$AB$106+Calculations!$AB$225)</f>
        <v>396000</v>
      </c>
      <c r="M22" s="135">
        <f>IF(L28&lt;&gt;0,L22/L28,)</f>
        <v>2.1901409945362663E-2</v>
      </c>
      <c r="N22" s="408">
        <f t="shared" si="1"/>
        <v>2064000</v>
      </c>
      <c r="O22" s="135">
        <f>IF(N28&lt;&gt;0,N22/N28,)</f>
        <v>3.3460418672187436E-2</v>
      </c>
      <c r="Q22"/>
      <c r="R22"/>
      <c r="S22"/>
      <c r="T22" s="82"/>
    </row>
    <row r="23" spans="1:20" x14ac:dyDescent="0.2">
      <c r="A23" s="743"/>
      <c r="B23" s="547" t="s">
        <v>443</v>
      </c>
      <c r="C23" s="547"/>
      <c r="D23" s="399">
        <f>(Calculations!$H$113+Calculations!$H$120+Calculations!$H$127+Calculations!$H$232+Calculations!$H$239)</f>
        <v>211846.15384615384</v>
      </c>
      <c r="E23" s="135">
        <f>IF(D28&lt;&gt;0,D23/D28,)</f>
        <v>3.753224935051961E-2</v>
      </c>
      <c r="F23" s="399">
        <f>(Calculations!$M$113+Calculations!$M$120+Calculations!$M$127+Calculations!$M$232+Calculations!$M$239)</f>
        <v>1237326.923076923</v>
      </c>
      <c r="G23" s="135">
        <f>IF(F28&lt;&gt;0,F23/F28,)</f>
        <v>0.13187451984386092</v>
      </c>
      <c r="H23" s="399">
        <f>(Calculations!$R$113+Calculations!$R$120+Calculations!$R$127+Calculations!$R$232+Calculations!$R$239)</f>
        <v>2744134.6153846155</v>
      </c>
      <c r="I23" s="135">
        <f>IF(H28&lt;&gt;0,H23/H28,)</f>
        <v>0.20863622748528571</v>
      </c>
      <c r="J23" s="399">
        <f>(Calculations!$W$113+Calculations!$W$120+Calculations!$W$127+Calculations!$W$232+Calculations!$W$239)</f>
        <v>4280538.461538462</v>
      </c>
      <c r="K23" s="135">
        <f>IF(J28&lt;&gt;0,J23/J28,)</f>
        <v>0.27752297194718678</v>
      </c>
      <c r="L23" s="399">
        <f>(Calculations!$AB$113+Calculations!$AB$120+Calculations!$AB$127+Calculations!$AB$232+Calculations!$AB$239)</f>
        <v>5651307.692307692</v>
      </c>
      <c r="M23" s="135">
        <f>IF(L28&lt;&gt;0,L23/L28,)</f>
        <v>0.31255456186013181</v>
      </c>
      <c r="N23" s="408">
        <f t="shared" si="1"/>
        <v>14125153.846153846</v>
      </c>
      <c r="O23" s="135">
        <f>IF(N28&lt;&gt;0,N23/N28,)</f>
        <v>0.22898912863438292</v>
      </c>
      <c r="Q23"/>
      <c r="R23"/>
      <c r="S23"/>
      <c r="T23" s="82"/>
    </row>
    <row r="24" spans="1:20" x14ac:dyDescent="0.2">
      <c r="A24" s="743"/>
      <c r="B24" s="547" t="s">
        <v>448</v>
      </c>
      <c r="C24" s="547"/>
      <c r="D24" s="399">
        <f>(Calculations!$H$134+Calculations!$H$246)</f>
        <v>28342.1976</v>
      </c>
      <c r="E24" s="135">
        <f>IF(D28&lt;&gt;0,D24/D28,)</f>
        <v>5.0213157432983588E-3</v>
      </c>
      <c r="F24" s="399">
        <f>(Calculations!$M$134+Calculations!$M$246)</f>
        <v>64084.086000000003</v>
      </c>
      <c r="G24" s="135">
        <f>IF(F28&lt;&gt;0,F24/F28,)</f>
        <v>6.8300930928319415E-3</v>
      </c>
      <c r="H24" s="399">
        <f>(Calculations!$R$134+Calculations!$R$246)</f>
        <v>116160.90120000001</v>
      </c>
      <c r="I24" s="135">
        <f>IF(H28&lt;&gt;0,H24/H28,)</f>
        <v>8.8316994624777889E-3</v>
      </c>
      <c r="J24" s="399">
        <f>(Calculations!$W$134+Calculations!$W$246)</f>
        <v>161969.07312000002</v>
      </c>
      <c r="K24" s="135">
        <f>IF(J28&lt;&gt;0,J24/J28,)</f>
        <v>1.0501047692873234E-2</v>
      </c>
      <c r="L24" s="399">
        <f>(Calculations!$AB$134+Calculations!$AB$246)</f>
        <v>216572.74512000001</v>
      </c>
      <c r="M24" s="135">
        <f>IF(L28&lt;&gt;0,L24/L28,)</f>
        <v>1.1977900186529448E-2</v>
      </c>
      <c r="N24" s="408">
        <f>D24+F24+H24+J24+L24</f>
        <v>587129.00303999998</v>
      </c>
      <c r="O24" s="135">
        <f>IF(N28&lt;&gt;0,N24/N28,)</f>
        <v>9.5182084575108575E-3</v>
      </c>
      <c r="Q24"/>
      <c r="R24"/>
      <c r="S24"/>
      <c r="T24" s="82"/>
    </row>
    <row r="25" spans="1:20" x14ac:dyDescent="0.2">
      <c r="A25" s="743"/>
      <c r="B25" s="547" t="s">
        <v>95</v>
      </c>
      <c r="C25" s="547"/>
      <c r="D25" s="399">
        <f>Calculations!$H$141</f>
        <v>61050</v>
      </c>
      <c r="E25" s="135">
        <f>IF(D28&lt;&gt;0,D25/D28,)</f>
        <v>1.0816074690283185E-2</v>
      </c>
      <c r="F25" s="399">
        <f>Calculations!$M$141</f>
        <v>361000</v>
      </c>
      <c r="G25" s="135">
        <f>IF(F28&lt;&gt;0,F25/F28,)</f>
        <v>3.8475443131268668E-2</v>
      </c>
      <c r="H25" s="399">
        <f>Calculations!$R$141</f>
        <v>803500</v>
      </c>
      <c r="I25" s="135">
        <f>IF(H28&lt;&gt;0,H25/H28,)</f>
        <v>6.1090009157925701E-2</v>
      </c>
      <c r="J25" s="399">
        <f>Calculations!$W$141</f>
        <v>1264600</v>
      </c>
      <c r="K25" s="135">
        <f>IF(J28&lt;&gt;0,J25/J28,)</f>
        <v>8.1988645465476323E-2</v>
      </c>
      <c r="L25" s="399">
        <f>Calculations!$AB$141</f>
        <v>1787350</v>
      </c>
      <c r="M25" s="135">
        <f>IF(L28&lt;&gt;0,L25/L28,)</f>
        <v>9.8852235014757456E-2</v>
      </c>
      <c r="N25" s="408">
        <f t="shared" si="1"/>
        <v>4277500</v>
      </c>
      <c r="O25" s="135">
        <f>IF(N28&lt;&gt;0,N25/N28,)</f>
        <v>6.9344448096066741E-2</v>
      </c>
      <c r="Q25"/>
      <c r="R25"/>
      <c r="S25"/>
      <c r="T25" s="82"/>
    </row>
    <row r="26" spans="1:20" x14ac:dyDescent="0.2">
      <c r="A26" s="743"/>
      <c r="B26" s="547" t="s">
        <v>123</v>
      </c>
      <c r="C26" s="547"/>
      <c r="D26" s="399">
        <f>(Calculations!$H$148+Calculations!$H$253)</f>
        <v>0</v>
      </c>
      <c r="E26" s="135">
        <f>IF(D28&lt;&gt;0,D26/D28,)</f>
        <v>0</v>
      </c>
      <c r="F26" s="399">
        <f>(Calculations!$M$148+Calculations!$M$253)</f>
        <v>0</v>
      </c>
      <c r="G26" s="135">
        <f>IF(F28&lt;&gt;0,F26/F28,)</f>
        <v>0</v>
      </c>
      <c r="H26" s="399">
        <f>(Calculations!$R$148+Calculations!$R$253)</f>
        <v>0</v>
      </c>
      <c r="I26" s="135">
        <f>IF(H28&lt;&gt;0,H26/H28,)</f>
        <v>0</v>
      </c>
      <c r="J26" s="399">
        <f>(Calculations!$W$148+Calculations!$W$253)</f>
        <v>0</v>
      </c>
      <c r="K26" s="135">
        <f>IF(J28&lt;&gt;0,J26/J28,)</f>
        <v>0</v>
      </c>
      <c r="L26" s="399">
        <f>(Calculations!$AB$148+Calculations!$AB$253)</f>
        <v>0</v>
      </c>
      <c r="M26" s="135">
        <f>IF(L28&lt;&gt;0,L26/L28,)</f>
        <v>0</v>
      </c>
      <c r="N26" s="408">
        <f t="shared" si="1"/>
        <v>0</v>
      </c>
      <c r="O26" s="135">
        <f>IF(N28&lt;&gt;0,N26/N28,)</f>
        <v>0</v>
      </c>
      <c r="Q26"/>
      <c r="R26"/>
      <c r="S26"/>
      <c r="T26" s="82"/>
    </row>
    <row r="27" spans="1:20" x14ac:dyDescent="0.2">
      <c r="A27" s="743"/>
      <c r="B27" s="547" t="s">
        <v>124</v>
      </c>
      <c r="C27" s="547"/>
      <c r="D27" s="399">
        <f>(Calculations!$H$155+Calculations!$H$260)</f>
        <v>969940</v>
      </c>
      <c r="E27" s="135">
        <f>IF(D28&lt;&gt;0,D27/D28,)</f>
        <v>0.17184182612765392</v>
      </c>
      <c r="F27" s="399">
        <f>(Calculations!$M$155+Calculations!$M$260)</f>
        <v>1034740</v>
      </c>
      <c r="G27" s="135">
        <f>IF(F28&lt;&gt;0,F27/F28,)</f>
        <v>0.11028277015415219</v>
      </c>
      <c r="H27" s="399">
        <f>(Calculations!$R$155+Calculations!$R$260)</f>
        <v>1056718.2</v>
      </c>
      <c r="I27" s="135">
        <f>IF(H28&lt;&gt;0,H27/H28,)</f>
        <v>8.0342158699871505E-2</v>
      </c>
      <c r="J27" s="399">
        <f>(Calculations!$W$155+Calculations!$W$260)</f>
        <v>1104969.7860000005</v>
      </c>
      <c r="K27" s="135">
        <f>IF(J28&lt;&gt;0,J27/J28,)</f>
        <v>7.1639234567782123E-2</v>
      </c>
      <c r="L27" s="399">
        <f>(Calculations!$AB$155+Calculations!$AB$260)</f>
        <v>1138118.8795800002</v>
      </c>
      <c r="M27" s="135">
        <f>IF(L28&lt;&gt;0,L27/L28,)</f>
        <v>6.2945475121814212E-2</v>
      </c>
      <c r="N27" s="408">
        <f t="shared" si="1"/>
        <v>5304486.8655800009</v>
      </c>
      <c r="O27" s="135">
        <f>IF(N28&lt;&gt;0,N27/N28,)</f>
        <v>8.5993387288481632E-2</v>
      </c>
      <c r="Q27"/>
      <c r="R27"/>
      <c r="S27"/>
      <c r="T27" s="82"/>
    </row>
    <row r="28" spans="1:20" ht="16.2" x14ac:dyDescent="0.2">
      <c r="A28" s="744"/>
      <c r="B28" s="738" t="s">
        <v>414</v>
      </c>
      <c r="C28" s="547"/>
      <c r="D28" s="401">
        <f>SUM(D19:D27)</f>
        <v>5644376.7030238211</v>
      </c>
      <c r="E28" s="172">
        <f>IF(D28&lt;&gt;0,D28/D28,)</f>
        <v>1</v>
      </c>
      <c r="F28" s="401">
        <f>SUM(F19:F27)</f>
        <v>9382607.9863033034</v>
      </c>
      <c r="G28" s="172">
        <f>IF(F28&lt;&gt;0,F28/F28,)</f>
        <v>1</v>
      </c>
      <c r="H28" s="401">
        <f>SUM(H19:H27)</f>
        <v>13152723.515278038</v>
      </c>
      <c r="I28" s="172">
        <f>IF(H28&lt;&gt;0,H28/H28,)</f>
        <v>1</v>
      </c>
      <c r="J28" s="401">
        <f>SUM(J19:J27)</f>
        <v>15424086.991807863</v>
      </c>
      <c r="K28" s="172">
        <f>IF(J28&lt;&gt;0,J28/J28,)</f>
        <v>1</v>
      </c>
      <c r="L28" s="401">
        <f>SUM(L19:L27)</f>
        <v>18081027.704969645</v>
      </c>
      <c r="M28" s="172">
        <f>IF(L28&lt;&gt;0,L28/L28,)</f>
        <v>1</v>
      </c>
      <c r="N28" s="401">
        <f>SUM(N19:N27)</f>
        <v>61684822.90138267</v>
      </c>
      <c r="O28" s="172">
        <f>IF(N28&lt;&gt;0,N28/N28,)</f>
        <v>1</v>
      </c>
      <c r="Q28"/>
      <c r="R28"/>
      <c r="S28"/>
      <c r="T28" s="82"/>
    </row>
    <row r="29" spans="1:20" x14ac:dyDescent="0.2">
      <c r="A29" s="82"/>
      <c r="B29" s="82"/>
      <c r="C29" s="82"/>
      <c r="D29" s="402"/>
      <c r="E29" s="82"/>
      <c r="F29" s="402"/>
      <c r="G29" s="82"/>
      <c r="H29" s="402"/>
      <c r="I29" s="82"/>
      <c r="J29" s="402"/>
      <c r="K29" s="82"/>
      <c r="L29" s="402"/>
      <c r="M29" s="82"/>
      <c r="N29" s="402"/>
      <c r="O29" s="82"/>
      <c r="P29" s="82"/>
      <c r="Q29"/>
      <c r="R29"/>
      <c r="S29"/>
    </row>
    <row r="30" spans="1:20" ht="28.05" customHeight="1" x14ac:dyDescent="0.2">
      <c r="A30" s="752" t="s">
        <v>195</v>
      </c>
      <c r="B30" s="753"/>
      <c r="C30" s="754"/>
      <c r="D30" s="403">
        <f>D17-D28</f>
        <v>416043.29697617888</v>
      </c>
      <c r="E30" s="175">
        <f>IF(D17&lt;&gt;0,D30/D17,)</f>
        <v>6.8649251533091579E-2</v>
      </c>
      <c r="F30" s="403">
        <f>F17-F28</f>
        <v>4878042.0136966966</v>
      </c>
      <c r="G30" s="175">
        <f>IF(F17&lt;&gt;0,F30/F17,)</f>
        <v>0.34206309065131651</v>
      </c>
      <c r="H30" s="403">
        <f>H17-H28</f>
        <v>13423916.484721962</v>
      </c>
      <c r="I30" s="175">
        <f>IF(H17&lt;&gt;0,H30/H17,)</f>
        <v>0.50510209284250995</v>
      </c>
      <c r="J30" s="403">
        <f>J17-J28</f>
        <v>22398227.008192137</v>
      </c>
      <c r="K30" s="175">
        <f>IF(J17&lt;&gt;0,J30/J17,)</f>
        <v>0.59219610434708292</v>
      </c>
      <c r="L30" s="403">
        <f>L17-L28</f>
        <v>33050936.295030355</v>
      </c>
      <c r="M30" s="175">
        <f>IF(L17&lt;&gt;0,L30/L17,)</f>
        <v>0.64638503412523629</v>
      </c>
      <c r="N30" s="410">
        <f>N17-N28</f>
        <v>74167165.09861733</v>
      </c>
      <c r="O30" s="176">
        <f>IF(N17&lt;&gt;0,N30/N17,)</f>
        <v>0.54594096259097313</v>
      </c>
      <c r="Q30"/>
      <c r="R30"/>
      <c r="S30"/>
    </row>
    <row r="31" spans="1:20" ht="6" customHeight="1" x14ac:dyDescent="0.2">
      <c r="A31"/>
      <c r="B31"/>
      <c r="C31"/>
      <c r="D31" s="404"/>
      <c r="E31" s="304"/>
      <c r="F31"/>
      <c r="G31" s="304"/>
      <c r="H31"/>
      <c r="I31" s="304"/>
      <c r="J31"/>
      <c r="K31" s="304"/>
      <c r="L31"/>
      <c r="M31" s="304"/>
      <c r="N31" s="404"/>
      <c r="O31" s="304"/>
      <c r="P31"/>
      <c r="Q31"/>
      <c r="R31"/>
    </row>
    <row r="32" spans="1:20" x14ac:dyDescent="0.2">
      <c r="A32" s="563" t="s">
        <v>165</v>
      </c>
      <c r="B32" s="564"/>
      <c r="C32" s="565"/>
      <c r="D32" s="411">
        <f>-D30*E32</f>
        <v>-124812.98909285366</v>
      </c>
      <c r="E32" s="177">
        <f>Parameters!$K$31</f>
        <v>0.3</v>
      </c>
      <c r="F32" s="411">
        <f>-F30*G32</f>
        <v>-1463412.604109009</v>
      </c>
      <c r="G32" s="177">
        <f>Parameters!$K$31</f>
        <v>0.3</v>
      </c>
      <c r="H32" s="411">
        <f>-H30*I32</f>
        <v>-4027174.9454165883</v>
      </c>
      <c r="I32" s="177">
        <f>Parameters!$K$31</f>
        <v>0.3</v>
      </c>
      <c r="J32" s="411">
        <f>-J30*K32</f>
        <v>-6719468.1024576407</v>
      </c>
      <c r="K32" s="177">
        <f>Parameters!$K$31</f>
        <v>0.3</v>
      </c>
      <c r="L32" s="411">
        <f>-L30*M32</f>
        <v>-9915280.8885091059</v>
      </c>
      <c r="M32" s="177">
        <f>Parameters!$K$31</f>
        <v>0.3</v>
      </c>
      <c r="N32" s="411">
        <f>D32+F32+H32+J32+L32</f>
        <v>-22250149.529585198</v>
      </c>
      <c r="O32" s="177">
        <f>N32/N30</f>
        <v>-0.3</v>
      </c>
      <c r="Q32"/>
    </row>
    <row r="33" spans="1:27" ht="6" customHeight="1" x14ac:dyDescent="0.2">
      <c r="A33"/>
      <c r="B33"/>
      <c r="C33"/>
      <c r="D33" s="404"/>
      <c r="E33"/>
      <c r="F33" s="304"/>
      <c r="G33"/>
      <c r="H33" s="304"/>
      <c r="I33"/>
      <c r="J33" s="304"/>
      <c r="K33"/>
      <c r="L33" s="304"/>
      <c r="M33"/>
      <c r="N33" s="404"/>
      <c r="O33"/>
      <c r="P33"/>
      <c r="Q33"/>
    </row>
    <row r="34" spans="1:27" ht="13.95" customHeight="1" x14ac:dyDescent="0.2">
      <c r="A34" s="745" t="s">
        <v>257</v>
      </c>
      <c r="B34" s="746"/>
      <c r="C34" s="747"/>
      <c r="D34" s="405">
        <f>D30+D32</f>
        <v>291230.30788332521</v>
      </c>
      <c r="E34" s="689">
        <f>IF(D17&lt;&gt;0,D34/D17,)</f>
        <v>4.8054476073164105E-2</v>
      </c>
      <c r="F34" s="405">
        <f>F30+F32</f>
        <v>3414629.4095876878</v>
      </c>
      <c r="G34" s="689">
        <f>IF(F17&lt;&gt;0,F34/F17,)</f>
        <v>0.23944416345592157</v>
      </c>
      <c r="H34" s="405">
        <f>H30+H32</f>
        <v>9396741.539305374</v>
      </c>
      <c r="I34" s="689">
        <f>IF(H17&lt;&gt;0,H34/H17,)</f>
        <v>0.35357146498975695</v>
      </c>
      <c r="J34" s="405">
        <f>J30+J32</f>
        <v>15678758.905734496</v>
      </c>
      <c r="K34" s="689">
        <f>IF(J17&lt;&gt;0,J34/J17,)</f>
        <v>0.41453727304295807</v>
      </c>
      <c r="L34" s="405">
        <f>L30+L32</f>
        <v>23135655.40652125</v>
      </c>
      <c r="M34" s="689">
        <f>IF(L17&lt;&gt;0,L34/L17,)</f>
        <v>0.45246952388766543</v>
      </c>
      <c r="N34" s="755">
        <f>N30+N32</f>
        <v>51917015.569032133</v>
      </c>
      <c r="O34" s="689">
        <f>N34/N17</f>
        <v>0.38215867381368118</v>
      </c>
    </row>
    <row r="35" spans="1:27" ht="13.95" customHeight="1" x14ac:dyDescent="0.2">
      <c r="A35" s="748"/>
      <c r="B35" s="749"/>
      <c r="C35" s="750"/>
      <c r="D35" s="406">
        <f>D34</f>
        <v>291230.30788332521</v>
      </c>
      <c r="E35" s="690">
        <f>IF(D22&lt;&gt;0,D35/D22,)</f>
        <v>1.1556758249338301</v>
      </c>
      <c r="F35" s="406">
        <f>F34+D35</f>
        <v>3705859.7174710128</v>
      </c>
      <c r="G35" s="690">
        <f>IF(F22&lt;&gt;0,F35/F22,)</f>
        <v>7.9185036698098568</v>
      </c>
      <c r="H35" s="406">
        <f>H34+F35</f>
        <v>13102601.256776387</v>
      </c>
      <c r="I35" s="690">
        <f>IF(H22&lt;&gt;0,H35/H22,)</f>
        <v>24.815532683288613</v>
      </c>
      <c r="J35" s="406">
        <f>J34+H35</f>
        <v>28781360.162510883</v>
      </c>
      <c r="K35" s="690">
        <f>IF(J22&lt;&gt;0,J35/J22,)</f>
        <v>68.527048005978287</v>
      </c>
      <c r="L35" s="406">
        <f>L34+J35</f>
        <v>51917015.569032133</v>
      </c>
      <c r="M35" s="690">
        <f>IF(L22&lt;&gt;0,L35/L22,)</f>
        <v>131.10357466927306</v>
      </c>
      <c r="N35" s="756"/>
      <c r="O35" s="718"/>
      <c r="Q35"/>
      <c r="R35"/>
      <c r="S35"/>
      <c r="T35"/>
      <c r="U35"/>
      <c r="V35"/>
      <c r="W35"/>
      <c r="X35"/>
      <c r="Y35"/>
      <c r="Z35"/>
      <c r="AA35"/>
    </row>
    <row r="36" spans="1:27" ht="6" customHeight="1" x14ac:dyDescent="0.2">
      <c r="D36" s="407"/>
      <c r="E36"/>
      <c r="F36" s="407"/>
      <c r="G36"/>
      <c r="H36" s="407"/>
      <c r="I36"/>
      <c r="J36" s="407"/>
      <c r="K36" s="7"/>
      <c r="L36" s="407"/>
      <c r="M36" s="7"/>
      <c r="N36" s="300"/>
      <c r="O36"/>
      <c r="Q36"/>
      <c r="R36"/>
      <c r="S36"/>
      <c r="T36"/>
      <c r="U36"/>
      <c r="V36"/>
      <c r="W36"/>
      <c r="X36"/>
      <c r="Y36"/>
      <c r="Z36"/>
      <c r="AA36"/>
    </row>
    <row r="37" spans="1:27" ht="16.05" customHeight="1" x14ac:dyDescent="0.2">
      <c r="A37" s="751" t="s">
        <v>130</v>
      </c>
      <c r="B37" s="566"/>
      <c r="C37" s="566"/>
      <c r="D37" s="303">
        <f>'Cash Flow'!$C$45</f>
        <v>-1512586.4865580648</v>
      </c>
      <c r="E37" s="177">
        <f>D37/D37</f>
        <v>1</v>
      </c>
      <c r="F37" s="303">
        <f>'Cash Flow'!$H$45</f>
        <v>-846030.08314672625</v>
      </c>
      <c r="G37" s="177">
        <f>F37/F37</f>
        <v>1</v>
      </c>
      <c r="H37" s="303">
        <f>'Cash Flow'!$M$45</f>
        <v>3994589.5420408985</v>
      </c>
      <c r="I37" s="177">
        <f>H37/H37</f>
        <v>1</v>
      </c>
      <c r="J37" s="303">
        <f>'Cash Flow'!$R$45</f>
        <v>18151163.143960558</v>
      </c>
      <c r="K37" s="177">
        <f>J37/J37</f>
        <v>1</v>
      </c>
      <c r="L37" s="303">
        <f>'Cash Flow'!$W$45</f>
        <v>41827164.791085146</v>
      </c>
      <c r="M37" s="177">
        <f>L37/L37</f>
        <v>1</v>
      </c>
      <c r="N37" s="269"/>
      <c r="O37"/>
      <c r="Q37"/>
      <c r="R37"/>
      <c r="S37"/>
      <c r="T37"/>
      <c r="U37"/>
      <c r="V37"/>
      <c r="W37"/>
      <c r="X37"/>
      <c r="Y37"/>
      <c r="Z37"/>
      <c r="AA37"/>
    </row>
    <row r="38" spans="1:27" customFormat="1" ht="6" customHeight="1" x14ac:dyDescent="0.2"/>
    <row r="39" spans="1:27" customFormat="1" ht="13.05" customHeight="1" x14ac:dyDescent="0.2"/>
    <row r="40" spans="1:27" customFormat="1" ht="13.05" customHeight="1" x14ac:dyDescent="0.2"/>
    <row r="41" spans="1:27" customFormat="1" ht="13.05" customHeight="1" x14ac:dyDescent="0.2"/>
    <row r="42" spans="1:27" customFormat="1" ht="13.05" customHeight="1" x14ac:dyDescent="0.2"/>
    <row r="43" spans="1:27" customFormat="1" ht="13.05" customHeight="1" x14ac:dyDescent="0.2"/>
    <row r="44" spans="1:27" customFormat="1" ht="13.05" customHeight="1" x14ac:dyDescent="0.2"/>
    <row r="45" spans="1:27" customFormat="1" ht="13.05" customHeight="1" x14ac:dyDescent="0.2"/>
    <row r="46" spans="1:27" customFormat="1" ht="13.05" customHeight="1" x14ac:dyDescent="0.2"/>
    <row r="47" spans="1:27" customFormat="1" ht="18" customHeight="1" x14ac:dyDescent="0.2"/>
    <row r="48" spans="1:27" customFormat="1" ht="7.05" customHeight="1" x14ac:dyDescent="0.2"/>
    <row r="49" customFormat="1" ht="22.05" customHeight="1" x14ac:dyDescent="0.2"/>
    <row r="50" customFormat="1" ht="6" customHeight="1" x14ac:dyDescent="0.2"/>
    <row r="51" customFormat="1" ht="25.05" customHeight="1" x14ac:dyDescent="0.2"/>
    <row r="52" customFormat="1" ht="13.05" customHeight="1" x14ac:dyDescent="0.2"/>
    <row r="53" customFormat="1" ht="6" customHeight="1" x14ac:dyDescent="0.2"/>
    <row r="54" customFormat="1" ht="15" customHeight="1" x14ac:dyDescent="0.2"/>
    <row r="55" customFormat="1" ht="13.05" customHeight="1" x14ac:dyDescent="0.2"/>
    <row r="56" customFormat="1" ht="13.05" customHeight="1" x14ac:dyDescent="0.2"/>
    <row r="57" customFormat="1" ht="13.05" customHeight="1" x14ac:dyDescent="0.2"/>
    <row r="58" customFormat="1" ht="13.05" customHeight="1" x14ac:dyDescent="0.2"/>
    <row r="59" customFormat="1" ht="15" customHeight="1" x14ac:dyDescent="0.2"/>
    <row r="60" customFormat="1" ht="13.05" customHeight="1" x14ac:dyDescent="0.2"/>
    <row r="61" customFormat="1" ht="13.05" customHeight="1" x14ac:dyDescent="0.2"/>
    <row r="62" customFormat="1" ht="13.05" customHeight="1" x14ac:dyDescent="0.2"/>
    <row r="63" customFormat="1" ht="16.05" customHeight="1" x14ac:dyDescent="0.2"/>
    <row r="64" customFormat="1" ht="18" customHeight="1" x14ac:dyDescent="0.2"/>
    <row r="65" customFormat="1" ht="6" customHeight="1" x14ac:dyDescent="0.2"/>
    <row r="66" customFormat="1" ht="13.05" customHeight="1" x14ac:dyDescent="0.2"/>
    <row r="67" customFormat="1" ht="13.05" customHeight="1" x14ac:dyDescent="0.2"/>
    <row r="68" customFormat="1" ht="13.05" customHeight="1" x14ac:dyDescent="0.2"/>
    <row r="69" customFormat="1" ht="13.05" customHeight="1" x14ac:dyDescent="0.2"/>
    <row r="70" customFormat="1" ht="13.05" customHeight="1" x14ac:dyDescent="0.2"/>
    <row r="71" customFormat="1" ht="13.05" customHeight="1" x14ac:dyDescent="0.2"/>
    <row r="72" customFormat="1" ht="13.05" customHeight="1" x14ac:dyDescent="0.2"/>
    <row r="73" customFormat="1" ht="13.05" customHeight="1" x14ac:dyDescent="0.2"/>
    <row r="74" customFormat="1" ht="18" customHeight="1" x14ac:dyDescent="0.2"/>
    <row r="75" customFormat="1" ht="7.05" customHeight="1" x14ac:dyDescent="0.2"/>
    <row r="76" customFormat="1" ht="22.05" customHeight="1" x14ac:dyDescent="0.2"/>
    <row r="77" customFormat="1" ht="19.05" customHeight="1" x14ac:dyDescent="0.2"/>
    <row r="78" customFormat="1" ht="25.05" customHeight="1" x14ac:dyDescent="0.2"/>
    <row r="79" customFormat="1" ht="13.05" customHeight="1" x14ac:dyDescent="0.2"/>
    <row r="80" customFormat="1" ht="6" customHeight="1" x14ac:dyDescent="0.2"/>
    <row r="81" customFormat="1" ht="15" customHeight="1" x14ac:dyDescent="0.2"/>
    <row r="82" customFormat="1" ht="13.05" customHeight="1" x14ac:dyDescent="0.2"/>
    <row r="83" customFormat="1" ht="13.05" customHeight="1" x14ac:dyDescent="0.2"/>
    <row r="84" customFormat="1" ht="13.05" customHeight="1" x14ac:dyDescent="0.2"/>
    <row r="85" customFormat="1" ht="13.05" customHeight="1" x14ac:dyDescent="0.2"/>
    <row r="86" customFormat="1" ht="15" customHeight="1" x14ac:dyDescent="0.2"/>
    <row r="87" customFormat="1" ht="13.05" customHeight="1" x14ac:dyDescent="0.2"/>
    <row r="88" customFormat="1" ht="13.05" customHeight="1" x14ac:dyDescent="0.2"/>
    <row r="89" customFormat="1" ht="13.05" customHeight="1" x14ac:dyDescent="0.2"/>
    <row r="90" customFormat="1" ht="16.05" customHeight="1" x14ac:dyDescent="0.2"/>
    <row r="91" customFormat="1" ht="18" customHeight="1" x14ac:dyDescent="0.2"/>
    <row r="92" customFormat="1" ht="6" customHeight="1" x14ac:dyDescent="0.2"/>
    <row r="93" customFormat="1" ht="13.05" customHeight="1" x14ac:dyDescent="0.2"/>
    <row r="94" customFormat="1" ht="13.05" customHeight="1" x14ac:dyDescent="0.2"/>
    <row r="95" customFormat="1" ht="13.05" customHeight="1" x14ac:dyDescent="0.2"/>
    <row r="96" customFormat="1" ht="13.05" customHeight="1" x14ac:dyDescent="0.2"/>
    <row r="97" customFormat="1" ht="13.05" customHeight="1" x14ac:dyDescent="0.2"/>
    <row r="98" customFormat="1" ht="13.05" customHeight="1" x14ac:dyDescent="0.2"/>
    <row r="99" customFormat="1" ht="13.05" customHeight="1" x14ac:dyDescent="0.2"/>
    <row r="100" customFormat="1" ht="13.05" customHeight="1" x14ac:dyDescent="0.2"/>
    <row r="101" customFormat="1" ht="18" customHeight="1" x14ac:dyDescent="0.2"/>
    <row r="102" customFormat="1" ht="7.05" customHeight="1" x14ac:dyDescent="0.2"/>
    <row r="103" customFormat="1" ht="22.05" customHeigh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spans="4:15" customFormat="1" x14ac:dyDescent="0.2"/>
    <row r="114" spans="4:15" x14ac:dyDescent="0.2">
      <c r="D114" s="8"/>
      <c r="E114" s="8"/>
      <c r="F114" s="8"/>
      <c r="G114" s="8"/>
      <c r="H114" s="8"/>
      <c r="I114" s="8"/>
      <c r="J114" s="8"/>
      <c r="K114" s="8"/>
      <c r="L114" s="8"/>
      <c r="M114" s="8"/>
      <c r="N114" s="8"/>
      <c r="O114" s="8"/>
    </row>
    <row r="115" spans="4:15" x14ac:dyDescent="0.2">
      <c r="D115" s="8"/>
      <c r="E115" s="8"/>
      <c r="F115" s="8"/>
      <c r="G115" s="8"/>
      <c r="H115" s="8"/>
      <c r="I115" s="8"/>
      <c r="J115" s="8"/>
      <c r="K115" s="8"/>
      <c r="L115" s="8"/>
      <c r="M115" s="8"/>
      <c r="N115" s="8"/>
      <c r="O115" s="8"/>
    </row>
    <row r="116" spans="4:15" x14ac:dyDescent="0.2">
      <c r="D116" s="8"/>
      <c r="E116" s="8"/>
      <c r="F116" s="8"/>
      <c r="G116" s="8"/>
      <c r="H116" s="8"/>
      <c r="I116" s="8"/>
      <c r="J116" s="8"/>
      <c r="K116" s="8"/>
      <c r="L116" s="8"/>
      <c r="M116" s="8"/>
      <c r="N116" s="8"/>
      <c r="O116" s="8"/>
    </row>
    <row r="117" spans="4:15" x14ac:dyDescent="0.2">
      <c r="D117" s="8"/>
      <c r="E117" s="8"/>
      <c r="F117" s="8"/>
      <c r="G117" s="8"/>
      <c r="H117" s="8"/>
      <c r="I117" s="8"/>
      <c r="J117" s="8"/>
      <c r="K117" s="8"/>
      <c r="L117" s="8"/>
      <c r="M117" s="8"/>
      <c r="N117" s="8"/>
      <c r="O117" s="8"/>
    </row>
    <row r="118" spans="4:15" x14ac:dyDescent="0.2">
      <c r="D118" s="8"/>
      <c r="E118" s="8"/>
      <c r="F118" s="8"/>
      <c r="G118" s="8"/>
      <c r="H118" s="8"/>
      <c r="I118" s="8"/>
      <c r="J118" s="8"/>
      <c r="K118" s="8"/>
      <c r="L118" s="8"/>
      <c r="M118" s="8"/>
      <c r="N118" s="8"/>
      <c r="O118" s="8"/>
    </row>
    <row r="119" spans="4:15" x14ac:dyDescent="0.2">
      <c r="D119" s="8"/>
      <c r="E119" s="8"/>
      <c r="F119" s="8"/>
      <c r="G119" s="8"/>
      <c r="H119" s="8"/>
      <c r="I119" s="8"/>
      <c r="J119" s="8"/>
      <c r="K119" s="8"/>
      <c r="L119" s="8"/>
      <c r="M119" s="8"/>
      <c r="N119" s="8"/>
      <c r="O119" s="8"/>
    </row>
    <row r="120" spans="4:15" x14ac:dyDescent="0.2">
      <c r="D120" s="8"/>
      <c r="E120" s="8"/>
      <c r="F120" s="8"/>
      <c r="G120" s="8"/>
      <c r="H120" s="8"/>
      <c r="I120" s="8"/>
      <c r="J120" s="8"/>
      <c r="K120" s="8"/>
      <c r="L120" s="8"/>
      <c r="M120" s="8"/>
      <c r="N120" s="8"/>
      <c r="O120" s="8"/>
    </row>
    <row r="121" spans="4:15" x14ac:dyDescent="0.2">
      <c r="D121" s="8"/>
      <c r="E121" s="8"/>
      <c r="F121" s="8"/>
      <c r="G121" s="8"/>
      <c r="H121" s="8"/>
      <c r="I121" s="8"/>
      <c r="J121" s="8"/>
      <c r="K121" s="8"/>
      <c r="L121" s="8"/>
      <c r="M121" s="8"/>
      <c r="N121" s="8"/>
      <c r="O121" s="8"/>
    </row>
    <row r="122" spans="4:15" x14ac:dyDescent="0.2">
      <c r="D122" s="8"/>
      <c r="E122" s="8"/>
      <c r="F122" s="8"/>
      <c r="G122" s="8"/>
      <c r="H122" s="8"/>
      <c r="I122" s="8"/>
      <c r="J122" s="8"/>
      <c r="K122" s="8"/>
      <c r="L122" s="8"/>
      <c r="M122" s="8"/>
      <c r="N122" s="8"/>
      <c r="O122" s="8"/>
    </row>
    <row r="123" spans="4:15" x14ac:dyDescent="0.2">
      <c r="D123" s="8"/>
      <c r="E123" s="8"/>
      <c r="F123" s="8"/>
      <c r="G123" s="8"/>
      <c r="H123" s="8"/>
      <c r="I123" s="8"/>
      <c r="J123" s="8"/>
      <c r="K123" s="8"/>
      <c r="L123" s="8"/>
      <c r="M123" s="8"/>
      <c r="N123" s="8"/>
      <c r="O123" s="8"/>
    </row>
    <row r="124" spans="4:15" x14ac:dyDescent="0.2">
      <c r="D124" s="8"/>
      <c r="E124" s="8"/>
      <c r="F124" s="8"/>
      <c r="G124" s="8"/>
      <c r="H124" s="8"/>
      <c r="I124" s="8"/>
      <c r="J124" s="8"/>
      <c r="K124" s="8"/>
      <c r="L124" s="8"/>
      <c r="M124" s="8"/>
      <c r="N124" s="8"/>
      <c r="O124" s="8"/>
    </row>
    <row r="125" spans="4:15" x14ac:dyDescent="0.2">
      <c r="D125" s="8"/>
      <c r="E125" s="8"/>
      <c r="F125" s="8"/>
      <c r="G125" s="8"/>
      <c r="H125" s="8"/>
      <c r="I125" s="8"/>
      <c r="J125" s="8"/>
      <c r="K125" s="8"/>
      <c r="L125" s="8"/>
      <c r="M125" s="8"/>
      <c r="N125" s="8"/>
      <c r="O125" s="8"/>
    </row>
    <row r="126" spans="4:15" x14ac:dyDescent="0.2">
      <c r="D126" s="8"/>
      <c r="E126" s="8"/>
      <c r="F126" s="8"/>
      <c r="G126" s="8"/>
      <c r="H126" s="8"/>
      <c r="I126" s="8"/>
      <c r="J126" s="8"/>
      <c r="K126" s="8"/>
      <c r="L126" s="8"/>
      <c r="M126" s="8"/>
      <c r="N126" s="8"/>
      <c r="O126" s="8"/>
    </row>
    <row r="127" spans="4:15" x14ac:dyDescent="0.2">
      <c r="D127" s="8"/>
      <c r="E127" s="8"/>
      <c r="F127" s="8"/>
      <c r="G127" s="8"/>
      <c r="H127" s="8"/>
      <c r="I127" s="8"/>
      <c r="J127" s="8"/>
      <c r="K127" s="8"/>
      <c r="L127" s="8"/>
      <c r="M127" s="8"/>
      <c r="N127" s="8"/>
      <c r="O127" s="8"/>
    </row>
    <row r="128" spans="4:15" x14ac:dyDescent="0.2">
      <c r="D128" s="8"/>
      <c r="E128" s="8"/>
      <c r="F128" s="8"/>
      <c r="G128" s="8"/>
      <c r="H128" s="8"/>
      <c r="I128" s="8"/>
      <c r="J128" s="8"/>
      <c r="K128" s="8"/>
      <c r="L128" s="8"/>
      <c r="M128" s="8"/>
      <c r="N128" s="8"/>
      <c r="O128" s="8"/>
    </row>
    <row r="129" spans="4:15" x14ac:dyDescent="0.2">
      <c r="D129" s="8"/>
      <c r="E129" s="8"/>
      <c r="F129" s="8"/>
      <c r="G129" s="8"/>
      <c r="H129" s="8"/>
      <c r="I129" s="8"/>
      <c r="J129" s="8"/>
      <c r="K129" s="8"/>
      <c r="L129" s="8"/>
      <c r="M129" s="8"/>
      <c r="N129" s="8"/>
      <c r="O129" s="8"/>
    </row>
    <row r="130" spans="4:15" x14ac:dyDescent="0.2">
      <c r="D130" s="8"/>
      <c r="E130" s="8"/>
      <c r="F130" s="8"/>
      <c r="G130" s="8"/>
      <c r="H130" s="8"/>
      <c r="I130" s="8"/>
      <c r="J130" s="8"/>
      <c r="K130" s="8"/>
      <c r="L130" s="8"/>
      <c r="M130" s="8"/>
      <c r="N130" s="8"/>
      <c r="O130" s="8"/>
    </row>
    <row r="131" spans="4:15" x14ac:dyDescent="0.2">
      <c r="D131" s="8"/>
      <c r="E131" s="8"/>
      <c r="F131" s="8"/>
      <c r="G131" s="8"/>
      <c r="H131" s="8"/>
      <c r="I131" s="8"/>
      <c r="J131" s="8"/>
      <c r="K131" s="8"/>
      <c r="L131" s="8"/>
      <c r="M131" s="8"/>
      <c r="N131" s="8"/>
      <c r="O131" s="8"/>
    </row>
    <row r="132" spans="4:15" x14ac:dyDescent="0.2">
      <c r="D132" s="8"/>
      <c r="E132" s="8"/>
      <c r="F132" s="8"/>
      <c r="G132" s="8"/>
      <c r="H132" s="8"/>
      <c r="I132" s="8"/>
      <c r="J132" s="8"/>
      <c r="K132" s="8"/>
      <c r="L132" s="8"/>
      <c r="M132" s="8"/>
      <c r="N132" s="8"/>
      <c r="O132" s="8"/>
    </row>
    <row r="133" spans="4:15" x14ac:dyDescent="0.2">
      <c r="D133" s="8"/>
      <c r="E133" s="8"/>
      <c r="F133" s="8"/>
      <c r="G133" s="8"/>
      <c r="H133" s="8"/>
      <c r="I133" s="8"/>
      <c r="J133" s="8"/>
      <c r="K133" s="8"/>
      <c r="L133" s="8"/>
      <c r="M133" s="8"/>
      <c r="N133" s="8"/>
      <c r="O133" s="8"/>
    </row>
    <row r="134" spans="4:15" x14ac:dyDescent="0.2">
      <c r="D134" s="8"/>
      <c r="E134" s="8"/>
      <c r="F134" s="8"/>
      <c r="G134" s="8"/>
      <c r="H134" s="8"/>
      <c r="I134" s="8"/>
      <c r="J134" s="8"/>
      <c r="K134" s="8"/>
      <c r="L134" s="8"/>
      <c r="M134" s="8"/>
      <c r="N134" s="8"/>
      <c r="O134" s="8"/>
    </row>
    <row r="135" spans="4:15" x14ac:dyDescent="0.2">
      <c r="D135" s="8"/>
      <c r="E135" s="8"/>
      <c r="F135" s="8"/>
      <c r="G135" s="8"/>
      <c r="H135" s="8"/>
      <c r="I135" s="8"/>
      <c r="J135" s="8"/>
      <c r="K135" s="8"/>
      <c r="L135" s="8"/>
      <c r="M135" s="8"/>
      <c r="N135" s="8"/>
      <c r="O135" s="8"/>
    </row>
    <row r="136" spans="4:15" x14ac:dyDescent="0.2">
      <c r="D136" s="8"/>
      <c r="E136" s="8"/>
      <c r="F136" s="8"/>
      <c r="G136" s="8"/>
      <c r="H136" s="8"/>
      <c r="I136" s="8"/>
      <c r="J136" s="8"/>
      <c r="K136" s="8"/>
      <c r="L136" s="8"/>
      <c r="M136" s="8"/>
      <c r="N136" s="8"/>
      <c r="O136" s="8"/>
    </row>
    <row r="137" spans="4:15" x14ac:dyDescent="0.2">
      <c r="D137" s="8"/>
      <c r="E137" s="8"/>
      <c r="F137" s="8"/>
      <c r="G137" s="8"/>
      <c r="H137" s="8"/>
      <c r="I137" s="8"/>
      <c r="J137" s="8"/>
      <c r="K137" s="8"/>
      <c r="L137" s="8"/>
      <c r="M137" s="8"/>
      <c r="N137" s="8"/>
      <c r="O137" s="8"/>
    </row>
    <row r="138" spans="4:15" x14ac:dyDescent="0.2">
      <c r="D138" s="8"/>
      <c r="E138" s="8"/>
      <c r="F138" s="8"/>
      <c r="G138" s="8"/>
      <c r="H138" s="8"/>
      <c r="I138" s="8"/>
      <c r="J138" s="8"/>
      <c r="K138" s="8"/>
      <c r="L138" s="8"/>
      <c r="M138" s="8"/>
      <c r="N138" s="8"/>
      <c r="O138" s="8"/>
    </row>
    <row r="139" spans="4:15" x14ac:dyDescent="0.2">
      <c r="D139" s="8"/>
      <c r="E139" s="8"/>
      <c r="F139" s="8"/>
      <c r="G139" s="8"/>
      <c r="H139" s="8"/>
      <c r="I139" s="8"/>
      <c r="J139" s="8"/>
      <c r="K139" s="8"/>
      <c r="L139" s="8"/>
      <c r="M139" s="8"/>
      <c r="N139" s="8"/>
      <c r="O139" s="8"/>
    </row>
    <row r="140" spans="4:15" x14ac:dyDescent="0.2">
      <c r="D140" s="8"/>
      <c r="E140" s="8"/>
      <c r="F140" s="8"/>
      <c r="G140" s="8"/>
      <c r="H140" s="8"/>
      <c r="I140" s="8"/>
      <c r="J140" s="8"/>
      <c r="K140" s="8"/>
      <c r="L140" s="8"/>
      <c r="M140" s="8"/>
      <c r="N140" s="8"/>
      <c r="O140" s="8"/>
    </row>
    <row r="141" spans="4:15" x14ac:dyDescent="0.2">
      <c r="D141" s="8"/>
      <c r="E141" s="8"/>
      <c r="F141" s="8"/>
      <c r="G141" s="8"/>
      <c r="H141" s="8"/>
      <c r="I141" s="8"/>
      <c r="J141" s="8"/>
      <c r="K141" s="8"/>
      <c r="L141" s="8"/>
      <c r="M141" s="8"/>
      <c r="N141" s="8"/>
      <c r="O141" s="8"/>
    </row>
    <row r="142" spans="4:15" x14ac:dyDescent="0.2">
      <c r="D142" s="8"/>
      <c r="E142" s="8"/>
      <c r="F142" s="8"/>
      <c r="G142" s="8"/>
      <c r="H142" s="8"/>
      <c r="I142" s="8"/>
      <c r="J142" s="8"/>
      <c r="K142" s="8"/>
      <c r="L142" s="8"/>
      <c r="M142" s="8"/>
      <c r="N142" s="8"/>
      <c r="O142" s="8"/>
    </row>
    <row r="143" spans="4:15" x14ac:dyDescent="0.2">
      <c r="D143" s="8"/>
      <c r="E143" s="8"/>
      <c r="F143" s="8"/>
      <c r="G143" s="8"/>
      <c r="H143" s="8"/>
      <c r="I143" s="8"/>
      <c r="J143" s="8"/>
      <c r="K143" s="8"/>
      <c r="L143" s="8"/>
      <c r="M143" s="8"/>
      <c r="N143" s="8"/>
      <c r="O143" s="8"/>
    </row>
    <row r="144" spans="4:15" x14ac:dyDescent="0.2">
      <c r="D144" s="8"/>
      <c r="E144" s="8"/>
      <c r="F144" s="8"/>
      <c r="G144" s="8"/>
      <c r="H144" s="8"/>
      <c r="I144" s="8"/>
      <c r="J144" s="8"/>
      <c r="K144" s="8"/>
      <c r="L144" s="8"/>
      <c r="M144" s="8"/>
      <c r="N144" s="8"/>
      <c r="O144" s="8"/>
    </row>
    <row r="145" spans="4:15" x14ac:dyDescent="0.2">
      <c r="D145" s="8"/>
      <c r="E145" s="8"/>
      <c r="F145" s="8"/>
      <c r="G145" s="8"/>
      <c r="H145" s="8"/>
      <c r="I145" s="8"/>
      <c r="J145" s="8"/>
      <c r="K145" s="8"/>
      <c r="L145" s="8"/>
      <c r="M145" s="8"/>
      <c r="N145" s="8"/>
      <c r="O145" s="8"/>
    </row>
    <row r="146" spans="4:15" x14ac:dyDescent="0.2">
      <c r="D146" s="8"/>
      <c r="E146" s="8"/>
      <c r="F146" s="8"/>
      <c r="G146" s="8"/>
      <c r="H146" s="8"/>
      <c r="I146" s="8"/>
      <c r="J146" s="8"/>
      <c r="K146" s="8"/>
      <c r="L146" s="8"/>
      <c r="M146" s="8"/>
      <c r="N146" s="8"/>
      <c r="O146" s="8"/>
    </row>
    <row r="147" spans="4:15" x14ac:dyDescent="0.2">
      <c r="D147" s="8"/>
      <c r="E147" s="8"/>
      <c r="F147" s="8"/>
      <c r="G147" s="8"/>
      <c r="H147" s="8"/>
      <c r="I147" s="8"/>
      <c r="J147" s="8"/>
      <c r="K147" s="8"/>
      <c r="L147" s="8"/>
      <c r="M147" s="8"/>
      <c r="N147" s="8"/>
      <c r="O147" s="8"/>
    </row>
    <row r="148" spans="4:15" x14ac:dyDescent="0.2">
      <c r="D148" s="8"/>
      <c r="E148" s="8"/>
      <c r="F148" s="8"/>
      <c r="G148" s="8"/>
      <c r="H148" s="8"/>
      <c r="I148" s="8"/>
      <c r="J148" s="8"/>
      <c r="K148" s="8"/>
      <c r="L148" s="8"/>
      <c r="M148" s="8"/>
      <c r="N148" s="8"/>
      <c r="O148" s="8"/>
    </row>
    <row r="149" spans="4:15" x14ac:dyDescent="0.2">
      <c r="D149" s="8"/>
      <c r="E149" s="8"/>
      <c r="F149" s="8"/>
      <c r="G149" s="8"/>
      <c r="H149" s="8"/>
      <c r="I149" s="8"/>
      <c r="J149" s="8"/>
      <c r="K149" s="8"/>
      <c r="L149" s="8"/>
      <c r="M149" s="8"/>
      <c r="N149" s="8"/>
      <c r="O149" s="8"/>
    </row>
    <row r="150" spans="4:15" x14ac:dyDescent="0.2">
      <c r="D150" s="8"/>
      <c r="E150" s="8"/>
      <c r="F150" s="8"/>
      <c r="G150" s="8"/>
      <c r="H150" s="8"/>
      <c r="I150" s="8"/>
      <c r="J150" s="8"/>
      <c r="K150" s="8"/>
      <c r="L150" s="8"/>
      <c r="M150" s="8"/>
      <c r="N150" s="8"/>
      <c r="O150" s="8"/>
    </row>
    <row r="151" spans="4:15" x14ac:dyDescent="0.2">
      <c r="D151" s="8"/>
      <c r="E151" s="8"/>
      <c r="F151" s="8"/>
      <c r="G151" s="8"/>
      <c r="H151" s="8"/>
      <c r="I151" s="8"/>
      <c r="J151" s="8"/>
      <c r="K151" s="8"/>
      <c r="L151" s="8"/>
      <c r="M151" s="8"/>
      <c r="N151" s="8"/>
      <c r="O151" s="8"/>
    </row>
    <row r="152" spans="4:15" x14ac:dyDescent="0.2">
      <c r="D152" s="8"/>
      <c r="E152" s="8"/>
      <c r="F152" s="8"/>
      <c r="G152" s="8"/>
      <c r="H152" s="8"/>
      <c r="I152" s="8"/>
      <c r="J152" s="8"/>
      <c r="K152" s="8"/>
      <c r="L152" s="8"/>
      <c r="M152" s="8"/>
      <c r="N152" s="8"/>
      <c r="O152" s="8"/>
    </row>
    <row r="153" spans="4:15" x14ac:dyDescent="0.2">
      <c r="D153" s="8"/>
      <c r="E153" s="8"/>
      <c r="F153" s="8"/>
      <c r="G153" s="8"/>
      <c r="H153" s="8"/>
      <c r="I153" s="8"/>
      <c r="J153" s="8"/>
      <c r="K153" s="8"/>
      <c r="L153" s="8"/>
      <c r="M153" s="8"/>
      <c r="N153" s="8"/>
      <c r="O153" s="8"/>
    </row>
    <row r="154" spans="4:15" x14ac:dyDescent="0.2">
      <c r="D154" s="8"/>
      <c r="E154" s="8"/>
      <c r="F154" s="8"/>
      <c r="G154" s="8"/>
      <c r="H154" s="8"/>
      <c r="I154" s="8"/>
      <c r="J154" s="8"/>
      <c r="K154" s="8"/>
      <c r="L154" s="8"/>
      <c r="M154" s="8"/>
      <c r="N154" s="8"/>
      <c r="O154" s="8"/>
    </row>
    <row r="155" spans="4:15" x14ac:dyDescent="0.2">
      <c r="D155" s="8"/>
      <c r="E155" s="8"/>
      <c r="F155" s="8"/>
      <c r="G155" s="8"/>
      <c r="H155" s="8"/>
      <c r="I155" s="8"/>
      <c r="J155" s="8"/>
      <c r="K155" s="8"/>
      <c r="L155" s="8"/>
      <c r="M155" s="8"/>
      <c r="N155" s="8"/>
      <c r="O155" s="8"/>
    </row>
    <row r="156" spans="4:15" x14ac:dyDescent="0.2">
      <c r="D156" s="8"/>
      <c r="E156" s="8"/>
      <c r="F156" s="8"/>
      <c r="G156" s="8"/>
      <c r="H156" s="8"/>
      <c r="I156" s="8"/>
      <c r="J156" s="8"/>
      <c r="K156" s="8"/>
      <c r="L156" s="8"/>
      <c r="M156" s="8"/>
      <c r="N156" s="8"/>
      <c r="O156" s="8"/>
    </row>
    <row r="157" spans="4:15" x14ac:dyDescent="0.2">
      <c r="D157" s="8"/>
      <c r="E157" s="8"/>
      <c r="F157" s="8"/>
      <c r="G157" s="8"/>
      <c r="H157" s="8"/>
      <c r="I157" s="8"/>
      <c r="J157" s="8"/>
      <c r="K157" s="8"/>
      <c r="L157" s="8"/>
      <c r="M157" s="8"/>
      <c r="N157" s="8"/>
      <c r="O157" s="8"/>
    </row>
    <row r="158" spans="4:15" x14ac:dyDescent="0.2">
      <c r="D158" s="8"/>
      <c r="E158" s="8"/>
      <c r="F158" s="8"/>
      <c r="G158" s="8"/>
      <c r="H158" s="8"/>
      <c r="I158" s="8"/>
      <c r="J158" s="8"/>
      <c r="K158" s="8"/>
      <c r="L158" s="8"/>
      <c r="M158" s="8"/>
      <c r="N158" s="8"/>
      <c r="O158" s="8"/>
    </row>
    <row r="159" spans="4:15" x14ac:dyDescent="0.2">
      <c r="D159" s="8"/>
      <c r="E159" s="8"/>
      <c r="F159" s="8"/>
      <c r="G159" s="8"/>
      <c r="H159" s="8"/>
      <c r="I159" s="8"/>
      <c r="J159" s="8"/>
      <c r="K159" s="8"/>
      <c r="L159" s="8"/>
      <c r="M159" s="8"/>
      <c r="N159" s="8"/>
      <c r="O159" s="8"/>
    </row>
    <row r="160" spans="4:15" x14ac:dyDescent="0.2">
      <c r="D160" s="8"/>
      <c r="E160" s="8"/>
      <c r="F160" s="8"/>
      <c r="G160" s="8"/>
      <c r="H160" s="8"/>
      <c r="I160" s="8"/>
      <c r="J160" s="8"/>
      <c r="K160" s="8"/>
      <c r="L160" s="8"/>
      <c r="M160" s="8"/>
      <c r="N160" s="8"/>
      <c r="O160" s="8"/>
    </row>
    <row r="161" spans="4:15" x14ac:dyDescent="0.2">
      <c r="D161" s="8"/>
      <c r="E161" s="8"/>
      <c r="F161" s="8"/>
      <c r="G161" s="8"/>
      <c r="H161" s="8"/>
      <c r="I161" s="8"/>
      <c r="J161" s="8"/>
      <c r="K161" s="8"/>
      <c r="L161" s="8"/>
      <c r="M161" s="8"/>
      <c r="N161" s="8"/>
      <c r="O161" s="8"/>
    </row>
    <row r="162" spans="4:15" x14ac:dyDescent="0.2">
      <c r="D162" s="8"/>
      <c r="E162" s="8"/>
      <c r="F162" s="8"/>
      <c r="G162" s="8"/>
      <c r="H162" s="8"/>
      <c r="I162" s="8"/>
      <c r="J162" s="8"/>
      <c r="K162" s="8"/>
      <c r="L162" s="8"/>
      <c r="M162" s="8"/>
      <c r="N162" s="8"/>
      <c r="O162" s="8"/>
    </row>
    <row r="163" spans="4:15" x14ac:dyDescent="0.2">
      <c r="D163" s="8"/>
      <c r="E163" s="8"/>
      <c r="F163" s="8"/>
      <c r="G163" s="8"/>
      <c r="H163" s="8"/>
      <c r="I163" s="8"/>
      <c r="J163" s="8"/>
      <c r="K163" s="8"/>
      <c r="L163" s="8"/>
      <c r="M163" s="8"/>
      <c r="N163" s="8"/>
      <c r="O163" s="8"/>
    </row>
    <row r="164" spans="4:15" x14ac:dyDescent="0.2">
      <c r="D164" s="8"/>
      <c r="E164" s="8"/>
      <c r="F164" s="8"/>
      <c r="G164" s="8"/>
      <c r="H164" s="8"/>
      <c r="I164" s="8"/>
      <c r="J164" s="8"/>
      <c r="K164" s="8"/>
      <c r="L164" s="8"/>
      <c r="M164" s="8"/>
      <c r="N164" s="8"/>
      <c r="O164" s="8"/>
    </row>
    <row r="165" spans="4:15" x14ac:dyDescent="0.2">
      <c r="I165" s="8"/>
      <c r="J165" s="8"/>
      <c r="K165" s="8"/>
      <c r="L165" s="8"/>
      <c r="M165" s="8"/>
      <c r="N165" s="8"/>
      <c r="O165" s="8"/>
    </row>
    <row r="166" spans="4:15" x14ac:dyDescent="0.2">
      <c r="I166" s="8"/>
      <c r="J166" s="8"/>
      <c r="K166" s="8"/>
      <c r="L166" s="8"/>
      <c r="M166" s="8"/>
      <c r="N166" s="8"/>
      <c r="O166" s="8"/>
    </row>
    <row r="167" spans="4:15" x14ac:dyDescent="0.2">
      <c r="I167" s="8"/>
      <c r="J167" s="8"/>
      <c r="K167" s="8"/>
      <c r="L167" s="8"/>
      <c r="M167" s="8"/>
      <c r="N167" s="8"/>
      <c r="O167" s="8"/>
    </row>
    <row r="168" spans="4:15" x14ac:dyDescent="0.2">
      <c r="I168" s="8"/>
      <c r="J168" s="8"/>
      <c r="K168" s="8"/>
      <c r="L168" s="8"/>
      <c r="M168" s="8"/>
      <c r="N168" s="8"/>
      <c r="O168" s="8"/>
    </row>
  </sheetData>
  <mergeCells count="40">
    <mergeCell ref="A34:C35"/>
    <mergeCell ref="A37:C37"/>
    <mergeCell ref="A30:C30"/>
    <mergeCell ref="I16:I17"/>
    <mergeCell ref="N34:N35"/>
    <mergeCell ref="A32:C32"/>
    <mergeCell ref="A19:A28"/>
    <mergeCell ref="B19:C19"/>
    <mergeCell ref="B20:C20"/>
    <mergeCell ref="B21:C21"/>
    <mergeCell ref="O34:O35"/>
    <mergeCell ref="E34:E35"/>
    <mergeCell ref="G34:G35"/>
    <mergeCell ref="I34:I35"/>
    <mergeCell ref="K34:K35"/>
    <mergeCell ref="M34:M35"/>
    <mergeCell ref="B22:C22"/>
    <mergeCell ref="B23:C23"/>
    <mergeCell ref="B25:C25"/>
    <mergeCell ref="B26:C26"/>
    <mergeCell ref="B27:C27"/>
    <mergeCell ref="B24:C24"/>
    <mergeCell ref="B28:C28"/>
    <mergeCell ref="A1:O1"/>
    <mergeCell ref="A3:C4"/>
    <mergeCell ref="D3:E3"/>
    <mergeCell ref="F3:G3"/>
    <mergeCell ref="H3:I3"/>
    <mergeCell ref="K16:K17"/>
    <mergeCell ref="M16:M17"/>
    <mergeCell ref="B17:C17"/>
    <mergeCell ref="A6:A17"/>
    <mergeCell ref="J3:K3"/>
    <mergeCell ref="L3:M3"/>
    <mergeCell ref="N3:O3"/>
    <mergeCell ref="B6:B10"/>
    <mergeCell ref="B11:B15"/>
    <mergeCell ref="B16:C16"/>
    <mergeCell ref="E16:E17"/>
    <mergeCell ref="G16:G17"/>
  </mergeCells>
  <phoneticPr fontId="10" type="noConversion"/>
  <printOptions horizontalCentered="1"/>
  <pageMargins left="0.38976377952755908" right="0.55118110236220474" top="0.6889763779527559" bottom="0.31102362204724415" header="0.24015748031496062" footer="0.51181102362204722"/>
  <pageSetup paperSize="0" scale="60" fitToHeight="2" orientation="landscape" horizontalDpi="4294967292" verticalDpi="4294967292"/>
  <headerFooter alignWithMargins="0"/>
  <rowBreaks count="1" manualBreakCount="1">
    <brk id="50"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zoomScaleNormal="85" workbookViewId="0">
      <selection activeCell="D37" sqref="D37"/>
    </sheetView>
  </sheetViews>
  <sheetFormatPr defaultColWidth="10.6328125" defaultRowHeight="12.6" x14ac:dyDescent="0.2"/>
  <cols>
    <col min="1" max="1" width="14.36328125" style="2" customWidth="1"/>
    <col min="2" max="2" width="2.453125" style="2" customWidth="1"/>
    <col min="3" max="3" width="27.36328125" style="2" customWidth="1"/>
    <col min="4" max="4" width="15.453125" style="2" customWidth="1"/>
    <col min="5" max="5" width="6.6328125" style="2" customWidth="1"/>
    <col min="6" max="6" width="15.453125" style="2" customWidth="1"/>
    <col min="7" max="7" width="6.6328125" style="2" customWidth="1"/>
    <col min="8" max="8" width="15.453125" style="2" customWidth="1"/>
    <col min="9" max="9" width="6.6328125" style="2" customWidth="1"/>
    <col min="10" max="10" width="15.453125" style="2" customWidth="1"/>
    <col min="11" max="11" width="6.6328125" style="2" customWidth="1"/>
    <col min="12" max="12" width="15.453125" style="2" customWidth="1"/>
    <col min="13" max="13" width="6.6328125" style="2" customWidth="1"/>
    <col min="14" max="14" width="16.453125" style="2" customWidth="1"/>
    <col min="15" max="15" width="7" style="2" customWidth="1"/>
    <col min="16" max="16" width="5.6328125" style="2" customWidth="1"/>
    <col min="17" max="17" width="14.453125" style="2" customWidth="1"/>
    <col min="18" max="19" width="11.453125" style="2" customWidth="1"/>
    <col min="20" max="22" width="11.1796875" style="2" customWidth="1"/>
    <col min="23" max="23" width="12.1796875" style="2" customWidth="1"/>
    <col min="24" max="16384" width="10.6328125" style="2"/>
  </cols>
  <sheetData>
    <row r="1" spans="1:23" ht="29.4" x14ac:dyDescent="0.2">
      <c r="A1" s="719" t="s">
        <v>450</v>
      </c>
      <c r="B1" s="719"/>
      <c r="C1" s="720"/>
      <c r="D1" s="720"/>
      <c r="E1" s="720"/>
      <c r="F1" s="720"/>
      <c r="G1" s="720"/>
      <c r="H1" s="720"/>
      <c r="I1" s="720"/>
      <c r="J1" s="720"/>
      <c r="K1" s="720"/>
      <c r="L1" s="720"/>
      <c r="M1" s="720"/>
      <c r="N1" s="720"/>
      <c r="O1" s="720"/>
    </row>
    <row r="3" spans="1:23" ht="25.05" customHeight="1" x14ac:dyDescent="0.2">
      <c r="A3" s="757" t="s">
        <v>400</v>
      </c>
      <c r="B3" s="757"/>
      <c r="C3" s="758"/>
      <c r="D3" s="709">
        <v>2012</v>
      </c>
      <c r="E3" s="565"/>
      <c r="F3" s="709">
        <f>D3+1</f>
        <v>2013</v>
      </c>
      <c r="G3" s="565"/>
      <c r="H3" s="709">
        <f>F3+1</f>
        <v>2014</v>
      </c>
      <c r="I3" s="565"/>
      <c r="J3" s="709">
        <f>H3+1</f>
        <v>2015</v>
      </c>
      <c r="K3" s="565"/>
      <c r="L3" s="709">
        <f>J3+1</f>
        <v>2016</v>
      </c>
      <c r="M3" s="565"/>
      <c r="N3" s="709" t="s">
        <v>498</v>
      </c>
      <c r="O3" s="730"/>
      <c r="Q3"/>
      <c r="R3"/>
      <c r="S3"/>
      <c r="T3" s="82"/>
      <c r="U3" s="82"/>
      <c r="V3" s="82"/>
      <c r="W3" s="82"/>
    </row>
    <row r="4" spans="1:23" ht="13.05" customHeight="1" x14ac:dyDescent="0.2">
      <c r="A4" s="758"/>
      <c r="B4" s="758"/>
      <c r="C4" s="758"/>
      <c r="D4" s="114" t="s">
        <v>412</v>
      </c>
      <c r="E4" s="114" t="s">
        <v>193</v>
      </c>
      <c r="F4" s="114" t="s">
        <v>412</v>
      </c>
      <c r="G4" s="114" t="s">
        <v>193</v>
      </c>
      <c r="H4" s="114" t="s">
        <v>412</v>
      </c>
      <c r="I4" s="114" t="s">
        <v>193</v>
      </c>
      <c r="J4" s="114" t="s">
        <v>412</v>
      </c>
      <c r="K4" s="114" t="s">
        <v>193</v>
      </c>
      <c r="L4" s="114" t="s">
        <v>412</v>
      </c>
      <c r="M4" s="114" t="s">
        <v>193</v>
      </c>
      <c r="N4" s="114" t="s">
        <v>412</v>
      </c>
      <c r="O4" s="114" t="s">
        <v>193</v>
      </c>
      <c r="Q4"/>
      <c r="R4"/>
      <c r="S4"/>
      <c r="T4" s="82"/>
      <c r="U4" s="82"/>
      <c r="V4" s="82"/>
      <c r="W4" s="82"/>
    </row>
    <row r="5" spans="1:23" ht="6" customHeight="1" x14ac:dyDescent="0.2">
      <c r="A5" s="1"/>
      <c r="B5" s="1"/>
      <c r="C5" s="1"/>
      <c r="D5" s="4"/>
      <c r="E5" s="4"/>
      <c r="F5" s="4"/>
      <c r="G5" s="4"/>
      <c r="H5" s="4"/>
      <c r="I5" s="4"/>
      <c r="J5" s="4"/>
      <c r="K5" s="4"/>
      <c r="L5" s="4"/>
      <c r="M5" s="4"/>
      <c r="N5" s="4"/>
      <c r="O5" s="4"/>
      <c r="Q5"/>
      <c r="R5"/>
      <c r="S5"/>
      <c r="T5" s="82"/>
      <c r="U5" s="82"/>
      <c r="V5" s="82"/>
      <c r="W5" s="82"/>
    </row>
    <row r="6" spans="1:23" ht="15" customHeight="1" x14ac:dyDescent="0.2">
      <c r="A6" s="742" t="s">
        <v>415</v>
      </c>
      <c r="B6" s="731" t="s">
        <v>337</v>
      </c>
      <c r="C6" s="65" t="s">
        <v>161</v>
      </c>
      <c r="D6" s="101">
        <f>Calculations!$H$165</f>
        <v>0</v>
      </c>
      <c r="E6" s="172">
        <f>IF(D16&lt;&gt;0,D6/D16,)</f>
        <v>0</v>
      </c>
      <c r="F6" s="101">
        <f>Calculations!$M$165</f>
        <v>0</v>
      </c>
      <c r="G6" s="172">
        <f>IF(F16&lt;&gt;0,F6/F16,)</f>
        <v>0</v>
      </c>
      <c r="H6" s="101">
        <f>Calculations!$R$165</f>
        <v>0</v>
      </c>
      <c r="I6" s="172">
        <f>IF(H16&lt;&gt;0,H6/H16,)</f>
        <v>0</v>
      </c>
      <c r="J6" s="101">
        <f>Calculations!$W$165</f>
        <v>0</v>
      </c>
      <c r="K6" s="172">
        <f>IF(J16&lt;&gt;0,J6/J16,)</f>
        <v>0</v>
      </c>
      <c r="L6" s="101">
        <f>Calculations!$AB$165</f>
        <v>0</v>
      </c>
      <c r="M6" s="172">
        <f>IF(L16&lt;&gt;0,L6/L16,)</f>
        <v>0</v>
      </c>
      <c r="N6" s="393">
        <f t="shared" ref="N6:N17" si="0">D6+F6+H6+J6+L6</f>
        <v>0</v>
      </c>
      <c r="O6" s="172">
        <f>IF(N16&lt;&gt;0,N6/N16,)</f>
        <v>0</v>
      </c>
      <c r="Q6"/>
      <c r="R6"/>
      <c r="S6"/>
      <c r="T6" s="82"/>
      <c r="U6" s="82"/>
      <c r="V6" s="82"/>
      <c r="W6" s="82"/>
    </row>
    <row r="7" spans="1:23" ht="13.05" customHeight="1" x14ac:dyDescent="0.2">
      <c r="A7" s="743"/>
      <c r="B7" s="732"/>
      <c r="C7" s="5" t="s">
        <v>98</v>
      </c>
      <c r="D7" s="399">
        <f>Calculations!$H$179</f>
        <v>0</v>
      </c>
      <c r="E7" s="135">
        <f>IF(D17&lt;&gt;0,D7/D17,)</f>
        <v>0</v>
      </c>
      <c r="F7" s="399">
        <f>Calculations!$M$179</f>
        <v>0</v>
      </c>
      <c r="G7" s="135">
        <f>IF(F17&lt;&gt;0,F7/F17,)</f>
        <v>0</v>
      </c>
      <c r="H7" s="399">
        <f>Calculations!$R$179</f>
        <v>0</v>
      </c>
      <c r="I7" s="135">
        <f>IF(H17&lt;&gt;0,H7/H17,)</f>
        <v>0</v>
      </c>
      <c r="J7" s="399">
        <f>Calculations!$W$179</f>
        <v>0</v>
      </c>
      <c r="K7" s="135">
        <f>IF(J17&lt;&gt;0,J7/J17,)</f>
        <v>0</v>
      </c>
      <c r="L7" s="399">
        <f>Calculations!$AB$179</f>
        <v>0</v>
      </c>
      <c r="M7" s="135">
        <f>IF(L17&lt;&gt;0,L7/L17,)</f>
        <v>0</v>
      </c>
      <c r="N7" s="408">
        <f t="shared" si="0"/>
        <v>0</v>
      </c>
      <c r="O7" s="135">
        <f>IF(N17&lt;&gt;0,N7/N17,)</f>
        <v>0</v>
      </c>
      <c r="Q7"/>
      <c r="R7"/>
      <c r="S7"/>
      <c r="T7" s="82"/>
    </row>
    <row r="8" spans="1:23" ht="13.05" customHeight="1" x14ac:dyDescent="0.2">
      <c r="A8" s="743"/>
      <c r="B8" s="732"/>
      <c r="C8" s="5" t="s">
        <v>99</v>
      </c>
      <c r="D8" s="399">
        <f>Calculations!$H$186</f>
        <v>0</v>
      </c>
      <c r="E8" s="135">
        <f>IF(D17&lt;&gt;0,D8/D17,)</f>
        <v>0</v>
      </c>
      <c r="F8" s="399">
        <f>Calculations!$M$186</f>
        <v>0</v>
      </c>
      <c r="G8" s="135">
        <f>IF(F17&lt;&gt;0,F8/F17,)</f>
        <v>0</v>
      </c>
      <c r="H8" s="399">
        <f>Calculations!$R$186</f>
        <v>0</v>
      </c>
      <c r="I8" s="135">
        <f>IF(H17&lt;&gt;0,H8/H17,)</f>
        <v>0</v>
      </c>
      <c r="J8" s="399">
        <f>Calculations!$W$186</f>
        <v>0</v>
      </c>
      <c r="K8" s="135">
        <f>IF(J17&lt;&gt;0,J8/J17,)</f>
        <v>0</v>
      </c>
      <c r="L8" s="399">
        <f>Calculations!$AB$186</f>
        <v>0</v>
      </c>
      <c r="M8" s="135">
        <f>IF(L17&lt;&gt;0,L8/L17,)</f>
        <v>0</v>
      </c>
      <c r="N8" s="408">
        <f t="shared" si="0"/>
        <v>0</v>
      </c>
      <c r="O8" s="135">
        <f>IF(N17&lt;&gt;0,N8/N17,)</f>
        <v>0</v>
      </c>
      <c r="Q8"/>
      <c r="R8"/>
      <c r="S8"/>
      <c r="T8" s="82"/>
    </row>
    <row r="9" spans="1:23" ht="13.05" customHeight="1" x14ac:dyDescent="0.2">
      <c r="A9" s="743"/>
      <c r="B9" s="732"/>
      <c r="C9" s="5" t="s">
        <v>449</v>
      </c>
      <c r="D9" s="399">
        <f>Calculations!$H$193</f>
        <v>0</v>
      </c>
      <c r="E9" s="135">
        <f>IF(D17&lt;&gt;0,D9/D17,)</f>
        <v>0</v>
      </c>
      <c r="F9" s="399">
        <f>Calculations!$M$193</f>
        <v>0</v>
      </c>
      <c r="G9" s="135">
        <f>IF(F17&lt;&gt;0,F9/F17,)</f>
        <v>0</v>
      </c>
      <c r="H9" s="399">
        <f>Calculations!$R$193</f>
        <v>0</v>
      </c>
      <c r="I9" s="135">
        <f>IF(H17&lt;&gt;0,H9/H17,)</f>
        <v>0</v>
      </c>
      <c r="J9" s="399">
        <f>Calculations!$W$193</f>
        <v>0</v>
      </c>
      <c r="K9" s="135">
        <f>IF(J17&lt;&gt;0,J9/J17,)</f>
        <v>0</v>
      </c>
      <c r="L9" s="399">
        <f>Calculations!$AB$193</f>
        <v>0</v>
      </c>
      <c r="M9" s="135">
        <f>IF(L17&lt;&gt;0,L9/L17,)</f>
        <v>0</v>
      </c>
      <c r="N9" s="408">
        <f t="shared" si="0"/>
        <v>0</v>
      </c>
      <c r="O9" s="135">
        <f>IF(N17&lt;&gt;0,N9/N17,)</f>
        <v>0</v>
      </c>
      <c r="Q9"/>
      <c r="R9"/>
      <c r="S9"/>
      <c r="T9" s="82"/>
    </row>
    <row r="10" spans="1:23" ht="13.05" customHeight="1" x14ac:dyDescent="0.2">
      <c r="A10" s="743"/>
      <c r="B10" s="732"/>
      <c r="C10" s="65" t="s">
        <v>160</v>
      </c>
      <c r="D10" s="400">
        <f>SUM(D7:D9)</f>
        <v>0</v>
      </c>
      <c r="E10" s="172">
        <f>IF(D17&lt;&gt;0,D10/D17,)</f>
        <v>0</v>
      </c>
      <c r="F10" s="400">
        <f>SUM(F7:F9)</f>
        <v>0</v>
      </c>
      <c r="G10" s="172">
        <f>IF(F17&lt;&gt;0,F10/F17,)</f>
        <v>0</v>
      </c>
      <c r="H10" s="400">
        <f>SUM(H7:H9)</f>
        <v>0</v>
      </c>
      <c r="I10" s="172">
        <f>IF(H17&lt;&gt;0,H10/H17,)</f>
        <v>0</v>
      </c>
      <c r="J10" s="400">
        <f>SUM(J7:J9)</f>
        <v>0</v>
      </c>
      <c r="K10" s="172">
        <f>IF(J17&lt;&gt;0,J10/J17,)</f>
        <v>0</v>
      </c>
      <c r="L10" s="400">
        <f>SUM(L7:L9)</f>
        <v>0</v>
      </c>
      <c r="M10" s="172">
        <f>IF(L17&lt;&gt;0,L10/L17,)</f>
        <v>0</v>
      </c>
      <c r="N10" s="409">
        <f t="shared" si="0"/>
        <v>0</v>
      </c>
      <c r="O10" s="172">
        <f>IF(N17&lt;&gt;0,N10/N17,)</f>
        <v>0</v>
      </c>
      <c r="Q10"/>
      <c r="R10"/>
      <c r="S10"/>
      <c r="T10" s="82"/>
    </row>
    <row r="11" spans="1:23" ht="15" customHeight="1" x14ac:dyDescent="0.2">
      <c r="A11" s="743"/>
      <c r="B11" s="733" t="s">
        <v>126</v>
      </c>
      <c r="C11" s="387" t="s">
        <v>182</v>
      </c>
      <c r="D11" s="101">
        <f>Calculations!$H$8</f>
        <v>30</v>
      </c>
      <c r="E11" s="135">
        <f>IF(D16&lt;&gt;0,D11/D16,)</f>
        <v>1</v>
      </c>
      <c r="F11" s="101">
        <f>Calculations!$M$8</f>
        <v>240</v>
      </c>
      <c r="G11" s="135">
        <f>IF(F16&lt;&gt;0,F11/F16,)</f>
        <v>1</v>
      </c>
      <c r="H11" s="101">
        <f>Calculations!$R$8</f>
        <v>410</v>
      </c>
      <c r="I11" s="135">
        <f>IF(H16&lt;&gt;0,H11/H16,)</f>
        <v>1</v>
      </c>
      <c r="J11" s="101">
        <f>Calculations!$W$8</f>
        <v>540</v>
      </c>
      <c r="K11" s="135">
        <f>IF(J16&lt;&gt;0,J11/J16,)</f>
        <v>1</v>
      </c>
      <c r="L11" s="101">
        <f>Calculations!$AB$8</f>
        <v>560</v>
      </c>
      <c r="M11" s="135">
        <f>IF(L16&lt;&gt;0,L11/L16,)</f>
        <v>1</v>
      </c>
      <c r="N11" s="393">
        <f t="shared" si="0"/>
        <v>1780</v>
      </c>
      <c r="O11" s="135">
        <f>IF(N16&lt;&gt;0,N11/N16,)</f>
        <v>1</v>
      </c>
      <c r="Q11"/>
      <c r="R11"/>
      <c r="S11"/>
      <c r="T11" s="82"/>
    </row>
    <row r="12" spans="1:23" ht="13.05" customHeight="1" x14ac:dyDescent="0.2">
      <c r="A12" s="743"/>
      <c r="B12" s="734"/>
      <c r="C12" s="5" t="s">
        <v>213</v>
      </c>
      <c r="D12" s="399">
        <f>Calculations!$H$50</f>
        <v>283968</v>
      </c>
      <c r="E12" s="135">
        <f>IF(D17&lt;&gt;0,D12/D17,)</f>
        <v>0.96557211494323225</v>
      </c>
      <c r="F12" s="399">
        <f>Calculations!$M$50</f>
        <v>6791568</v>
      </c>
      <c r="G12" s="135">
        <f>IF(F17&lt;&gt;0,F12/F17,)</f>
        <v>0.93005645604587472</v>
      </c>
      <c r="H12" s="399">
        <f>Calculations!$R$50</f>
        <v>22445304</v>
      </c>
      <c r="I12" s="135">
        <f>IF(H17&lt;&gt;0,H12/H17,)</f>
        <v>0.92182367561051459</v>
      </c>
      <c r="J12" s="399">
        <f>Calculations!$W$50</f>
        <v>44890608</v>
      </c>
      <c r="K12" s="135">
        <f>IF(J17&lt;&gt;0,J12/J17,)</f>
        <v>0.91885188341002133</v>
      </c>
      <c r="L12" s="399">
        <f>Calculations!$AB$50</f>
        <v>70921008</v>
      </c>
      <c r="M12" s="135">
        <f>IF(L17&lt;&gt;0,L12/L17,)</f>
        <v>0.91689319114088985</v>
      </c>
      <c r="N12" s="408">
        <f>D12+F12+H12+J12+L12</f>
        <v>145332456</v>
      </c>
      <c r="O12" s="135">
        <f>IF(N17&lt;&gt;0,N12/N17,)</f>
        <v>0.91895568158350038</v>
      </c>
      <c r="Q12"/>
      <c r="R12"/>
      <c r="S12"/>
      <c r="T12" s="82"/>
    </row>
    <row r="13" spans="1:23" ht="13.05" customHeight="1" x14ac:dyDescent="0.2">
      <c r="A13" s="743"/>
      <c r="B13" s="734"/>
      <c r="C13" s="5" t="s">
        <v>99</v>
      </c>
      <c r="D13" s="399">
        <f>Calculations!$H$57</f>
        <v>3375</v>
      </c>
      <c r="E13" s="135">
        <f>IF(D17&lt;&gt;0,D13/D17,)</f>
        <v>1.1475961685589252E-2</v>
      </c>
      <c r="F13" s="399">
        <f>Calculations!$M$57</f>
        <v>170250</v>
      </c>
      <c r="G13" s="135">
        <f>IF(F17&lt;&gt;0,F13/F17,)</f>
        <v>2.3314514651375084E-2</v>
      </c>
      <c r="H13" s="399">
        <f>Calculations!$R$57</f>
        <v>634500</v>
      </c>
      <c r="I13" s="135">
        <f>IF(H17&lt;&gt;0,H13/H17,)</f>
        <v>2.6058774796495137E-2</v>
      </c>
      <c r="J13" s="399">
        <f>Calculations!$W$57</f>
        <v>1321500</v>
      </c>
      <c r="K13" s="135">
        <f>IF(J17&lt;&gt;0,J13/J17,)</f>
        <v>2.7049372196659559E-2</v>
      </c>
      <c r="L13" s="399">
        <f>Calculations!$AB$57</f>
        <v>2142750</v>
      </c>
      <c r="M13" s="135">
        <f>IF(L17&lt;&gt;0,L13/L17,)</f>
        <v>2.7702269619703398E-2</v>
      </c>
      <c r="N13" s="408">
        <f>D13+F13+H13+J13+L13</f>
        <v>4272375</v>
      </c>
      <c r="O13" s="135">
        <f>IF(N17&lt;&gt;0,N13/N17,)</f>
        <v>2.7014772805499878E-2</v>
      </c>
      <c r="Q13"/>
      <c r="R13"/>
      <c r="S13"/>
      <c r="T13" s="82"/>
    </row>
    <row r="14" spans="1:23" ht="13.05" customHeight="1" x14ac:dyDescent="0.2">
      <c r="A14" s="743"/>
      <c r="B14" s="734"/>
      <c r="C14" s="5" t="s">
        <v>449</v>
      </c>
      <c r="D14" s="399">
        <f>Calculations!$H$64</f>
        <v>6750</v>
      </c>
      <c r="E14" s="135">
        <f>IF(D17&lt;&gt;0,D14/D17,)</f>
        <v>2.2951923371178504E-2</v>
      </c>
      <c r="F14" s="399">
        <f>Calculations!$M$64</f>
        <v>340500</v>
      </c>
      <c r="G14" s="135">
        <f>IF(F17&lt;&gt;0,F14/F17,)</f>
        <v>4.6629029302750168E-2</v>
      </c>
      <c r="H14" s="399">
        <f>Calculations!$R$64</f>
        <v>1269000</v>
      </c>
      <c r="I14" s="135">
        <f>IF(H17&lt;&gt;0,H14/H17,)</f>
        <v>5.2117549592990274E-2</v>
      </c>
      <c r="J14" s="399">
        <f>Calculations!$W$64</f>
        <v>2643000</v>
      </c>
      <c r="K14" s="135">
        <f>IF(J17&lt;&gt;0,J14/J17,)</f>
        <v>5.4098744393319118E-2</v>
      </c>
      <c r="L14" s="399">
        <f>Calculations!$AB$64</f>
        <v>4285500</v>
      </c>
      <c r="M14" s="135">
        <f>IF(L17&lt;&gt;0,L14/L17,)</f>
        <v>5.5404539239406796E-2</v>
      </c>
      <c r="N14" s="408">
        <f>D14+F14+H14+J14+L14</f>
        <v>8544750</v>
      </c>
      <c r="O14" s="135">
        <f>IF(N17&lt;&gt;0,N14/N17,)</f>
        <v>5.4029545610999756E-2</v>
      </c>
      <c r="Q14"/>
      <c r="R14"/>
      <c r="S14"/>
      <c r="T14" s="82"/>
    </row>
    <row r="15" spans="1:23" ht="13.05" customHeight="1" x14ac:dyDescent="0.2">
      <c r="A15" s="743"/>
      <c r="B15" s="735"/>
      <c r="C15" s="65" t="s">
        <v>226</v>
      </c>
      <c r="D15" s="400">
        <f>SUM(D12:D14)</f>
        <v>294093</v>
      </c>
      <c r="E15" s="172">
        <f>IF(D17&lt;&gt;0,D15/D17,)</f>
        <v>1</v>
      </c>
      <c r="F15" s="400">
        <f>SUM(F12:F14)</f>
        <v>7302318</v>
      </c>
      <c r="G15" s="172">
        <f>IF(F17&lt;&gt;0,F15/F17,)</f>
        <v>1</v>
      </c>
      <c r="H15" s="400">
        <f>SUM(H12:H14)</f>
        <v>24348804</v>
      </c>
      <c r="I15" s="172">
        <f>IF(H17&lt;&gt;0,H15/H17,)</f>
        <v>1</v>
      </c>
      <c r="J15" s="400">
        <f>SUM(J12:J14)</f>
        <v>48855108</v>
      </c>
      <c r="K15" s="172">
        <f>IF(J17&lt;&gt;0,J15/J17,)</f>
        <v>1</v>
      </c>
      <c r="L15" s="400">
        <f>SUM(L12:L14)</f>
        <v>77349258</v>
      </c>
      <c r="M15" s="172">
        <f>IF(L17&lt;&gt;0,L15/L17,)</f>
        <v>1</v>
      </c>
      <c r="N15" s="409">
        <f t="shared" si="0"/>
        <v>158149581</v>
      </c>
      <c r="O15" s="172">
        <f>IF(N17&lt;&gt;0,N15/N17,)</f>
        <v>1</v>
      </c>
      <c r="Q15"/>
      <c r="R15"/>
      <c r="S15"/>
      <c r="T15" s="82"/>
    </row>
    <row r="16" spans="1:23" ht="16.05" customHeight="1" x14ac:dyDescent="0.2">
      <c r="A16" s="743"/>
      <c r="B16" s="736" t="s">
        <v>24</v>
      </c>
      <c r="C16" s="557"/>
      <c r="D16" s="393">
        <f>D6+D11</f>
        <v>30</v>
      </c>
      <c r="E16" s="737">
        <f>IF(D17&lt;&gt;0,D17/D17,)</f>
        <v>1</v>
      </c>
      <c r="F16" s="393">
        <f>F6+F11</f>
        <v>240</v>
      </c>
      <c r="G16" s="737">
        <f>IF(F17&lt;&gt;0,F17/F17,)</f>
        <v>1</v>
      </c>
      <c r="H16" s="393">
        <f>H6+H11</f>
        <v>410</v>
      </c>
      <c r="I16" s="737">
        <f>IF(H17&lt;&gt;0,H17/H17,)</f>
        <v>1</v>
      </c>
      <c r="J16" s="393">
        <f>J6+J11</f>
        <v>540</v>
      </c>
      <c r="K16" s="737">
        <f>IF(J17&lt;&gt;0,J17/J17,)</f>
        <v>1</v>
      </c>
      <c r="L16" s="393">
        <f>L6+L11</f>
        <v>560</v>
      </c>
      <c r="M16" s="737">
        <f>IF(L17&lt;&gt;0,L17/L17,)</f>
        <v>1</v>
      </c>
      <c r="N16" s="393">
        <f t="shared" si="0"/>
        <v>1780</v>
      </c>
      <c r="O16" s="392">
        <f>N16/N16</f>
        <v>1</v>
      </c>
      <c r="Q16"/>
      <c r="R16"/>
      <c r="S16"/>
      <c r="T16" s="82"/>
    </row>
    <row r="17" spans="1:20" ht="28.05" customHeight="1" x14ac:dyDescent="0.2">
      <c r="A17" s="744"/>
      <c r="B17" s="740" t="s">
        <v>269</v>
      </c>
      <c r="C17" s="741"/>
      <c r="D17" s="401">
        <f>D10+D15</f>
        <v>294093</v>
      </c>
      <c r="E17" s="545"/>
      <c r="F17" s="401">
        <f>F10+F15</f>
        <v>7302318</v>
      </c>
      <c r="G17" s="545"/>
      <c r="H17" s="401">
        <f>H10+H15</f>
        <v>24348804</v>
      </c>
      <c r="I17" s="545"/>
      <c r="J17" s="401">
        <f>J10+J15</f>
        <v>48855108</v>
      </c>
      <c r="K17" s="545"/>
      <c r="L17" s="401">
        <f>L10+L15</f>
        <v>77349258</v>
      </c>
      <c r="M17" s="545"/>
      <c r="N17" s="412">
        <f t="shared" si="0"/>
        <v>158149581</v>
      </c>
      <c r="O17" s="391">
        <f>N17/N17</f>
        <v>1</v>
      </c>
      <c r="Q17"/>
      <c r="R17"/>
      <c r="S17"/>
      <c r="T17" s="116"/>
    </row>
    <row r="18" spans="1:20" s="82" customFormat="1" ht="6" customHeight="1" x14ac:dyDescent="0.2">
      <c r="D18" s="372"/>
      <c r="F18" s="372"/>
      <c r="H18" s="372"/>
      <c r="J18" s="372"/>
      <c r="L18" s="372"/>
      <c r="N18" s="402"/>
      <c r="Q18"/>
      <c r="R18"/>
      <c r="S18"/>
    </row>
    <row r="19" spans="1:20" ht="13.05" customHeight="1" x14ac:dyDescent="0.2">
      <c r="A19" s="742" t="s">
        <v>416</v>
      </c>
      <c r="B19" s="547" t="s">
        <v>298</v>
      </c>
      <c r="C19" s="547"/>
      <c r="D19" s="399">
        <f>Calculations!$H$92+Calculations!$H$214</f>
        <v>133199.99999999997</v>
      </c>
      <c r="E19" s="135">
        <f>IF(D28&lt;&gt;0,D19/D28,)</f>
        <v>0.12441260966309159</v>
      </c>
      <c r="F19" s="399">
        <f>Calculations!$M$92+Calculations!$M$214</f>
        <v>959999.99999999977</v>
      </c>
      <c r="G19" s="135">
        <f>IF(F28&lt;&gt;0,F19/F28,)</f>
        <v>0.19905160467603497</v>
      </c>
      <c r="H19" s="399">
        <f>Calculations!$R$92+Calculations!$R$214</f>
        <v>1475999.9999999998</v>
      </c>
      <c r="I19" s="135">
        <f>IF(H28&lt;&gt;0,H19/H28,)</f>
        <v>0.1168943748869153</v>
      </c>
      <c r="J19" s="399">
        <f>Calculations!$W$92+Calculations!$W$214</f>
        <v>1835999.9999999995</v>
      </c>
      <c r="K19" s="135">
        <f>IF(J28&lt;&gt;0,J19/J28,)</f>
        <v>8.9125095690603645E-2</v>
      </c>
      <c r="L19" s="399">
        <f>Calculations!$AB$92+Calculations!$AB$214</f>
        <v>1903999.9999999995</v>
      </c>
      <c r="M19" s="135">
        <f>IF(L28&lt;&gt;0,L19/L28,)</f>
        <v>6.7359475033016383E-2</v>
      </c>
      <c r="N19" s="408">
        <f t="shared" ref="N19:N27" si="1">D19+F19+H19+J19+L19</f>
        <v>6309199.9999999981</v>
      </c>
      <c r="O19" s="135">
        <f>IF(N28&lt;&gt;0,N19/N28,)</f>
        <v>9.3626649561178707E-2</v>
      </c>
      <c r="Q19"/>
      <c r="R19"/>
      <c r="S19"/>
      <c r="T19" s="82"/>
    </row>
    <row r="20" spans="1:20" ht="13.05" customHeight="1" x14ac:dyDescent="0.2">
      <c r="A20" s="743"/>
      <c r="B20" s="547" t="s">
        <v>211</v>
      </c>
      <c r="C20" s="547"/>
      <c r="D20" s="399">
        <f>Calculations!$H$97</f>
        <v>38037.987268988421</v>
      </c>
      <c r="E20" s="135">
        <f>IF(D28&lt;&gt;0,D20/D28,)</f>
        <v>3.5528568036533821E-2</v>
      </c>
      <c r="F20" s="399">
        <f>Calculations!$M$97</f>
        <v>838434.91457770276</v>
      </c>
      <c r="G20" s="135">
        <f>IF(F28&lt;&gt;0,F20/F28,)</f>
        <v>0.17384564079490217</v>
      </c>
      <c r="H20" s="399">
        <f>Calculations!$R$97</f>
        <v>2610828.0676180683</v>
      </c>
      <c r="I20" s="135">
        <f>IF(H28&lt;&gt;0,H20/H28,)</f>
        <v>0.20676904803619728</v>
      </c>
      <c r="J20" s="399">
        <f>Calculations!$W$97</f>
        <v>4933886.767586289</v>
      </c>
      <c r="K20" s="135">
        <f>IF(J28&lt;&gt;0,J20/J28,)</f>
        <v>0.23950606224821963</v>
      </c>
      <c r="L20" s="399">
        <f>Calculations!$AB$97</f>
        <v>6803573.7814565673</v>
      </c>
      <c r="M20" s="135">
        <f>IF(L28&lt;&gt;0,L20/L28,)</f>
        <v>0.24069598648493101</v>
      </c>
      <c r="N20" s="408">
        <f t="shared" si="1"/>
        <v>15224761.518507615</v>
      </c>
      <c r="O20" s="135">
        <f>IF(N28&lt;&gt;0,N20/N28,)</f>
        <v>0.22593092806470422</v>
      </c>
      <c r="Q20"/>
      <c r="R20"/>
      <c r="S20"/>
      <c r="T20" s="82"/>
    </row>
    <row r="21" spans="1:20" ht="13.05" customHeight="1" x14ac:dyDescent="0.2">
      <c r="A21" s="743"/>
      <c r="B21" s="547" t="s">
        <v>316</v>
      </c>
      <c r="C21" s="547"/>
      <c r="D21" s="399">
        <f>Calculations!$H$207+Calculations!$H$78</f>
        <v>23853.311999999998</v>
      </c>
      <c r="E21" s="135">
        <f>IF(D28&lt;&gt;0,D21/D28,)</f>
        <v>2.2279675638347891E-2</v>
      </c>
      <c r="F21" s="399">
        <f>Calculations!$M$207+Calculations!$M$78</f>
        <v>570491.71199999994</v>
      </c>
      <c r="G21" s="135">
        <f>IF(F28&lt;&gt;0,F21/F28,)</f>
        <v>0.11828884450831086</v>
      </c>
      <c r="H21" s="399">
        <f>Calculations!$R$207+Calculations!$R$78</f>
        <v>1885405.5360000001</v>
      </c>
      <c r="I21" s="135">
        <f>IF(H28&lt;&gt;0,H21/H28,)</f>
        <v>0.14931795497225578</v>
      </c>
      <c r="J21" s="399">
        <f>Calculations!$W$207+Calculations!$W$78</f>
        <v>3770811.0719999997</v>
      </c>
      <c r="K21" s="135">
        <f>IF(J28&lt;&gt;0,J21/J28,)</f>
        <v>0.1830467851978147</v>
      </c>
      <c r="L21" s="399">
        <f>Calculations!$AB$207+Calculations!$AB$78</f>
        <v>5957364.6719999993</v>
      </c>
      <c r="M21" s="135">
        <f>IF(L28&lt;&gt;0,L21/L28,)</f>
        <v>0.21075890592760393</v>
      </c>
      <c r="N21" s="408">
        <f t="shared" si="1"/>
        <v>12207926.303999998</v>
      </c>
      <c r="O21" s="135">
        <f>IF(N28&lt;&gt;0,N21/N28,)</f>
        <v>0.18116199168409683</v>
      </c>
      <c r="Q21"/>
      <c r="R21"/>
      <c r="S21"/>
      <c r="T21" s="82"/>
    </row>
    <row r="22" spans="1:20" ht="13.05" customHeight="1" x14ac:dyDescent="0.2">
      <c r="A22" s="743"/>
      <c r="B22" s="547" t="s">
        <v>230</v>
      </c>
      <c r="C22" s="547"/>
      <c r="D22" s="399">
        <f>Calculations!$H$111+Calculations!$H$230</f>
        <v>36000</v>
      </c>
      <c r="E22" s="135">
        <f>IF(D28&lt;&gt;0,D22/D28,)</f>
        <v>3.3625029638673407E-2</v>
      </c>
      <c r="F22" s="399">
        <f>Calculations!$M$111+Calculations!$M$230</f>
        <v>288000</v>
      </c>
      <c r="G22" s="135">
        <f>IF(F28&lt;&gt;0,F22/F28,)</f>
        <v>5.9715481402810508E-2</v>
      </c>
      <c r="H22" s="399">
        <f>Calculations!$R$111+Calculations!$R$230</f>
        <v>492000</v>
      </c>
      <c r="I22" s="135">
        <f>IF(H28&lt;&gt;0,H22/H28,)</f>
        <v>3.8964791628971776E-2</v>
      </c>
      <c r="J22" s="399">
        <f>Calculations!$W$111+Calculations!$W$230</f>
        <v>648000</v>
      </c>
      <c r="K22" s="135">
        <f>IF(J28&lt;&gt;0,J22/J28,)</f>
        <v>3.1455916126095412E-2</v>
      </c>
      <c r="L22" s="399">
        <f>Calculations!$AB$111+Calculations!$AB$230</f>
        <v>672000</v>
      </c>
      <c r="M22" s="135">
        <f>IF(L28&lt;&gt;0,L22/L28,)</f>
        <v>2.3773932364594023E-2</v>
      </c>
      <c r="N22" s="408">
        <f t="shared" si="1"/>
        <v>2136000</v>
      </c>
      <c r="O22" s="135">
        <f>IF(N28&lt;&gt;0,N22/N28,)</f>
        <v>3.169760404848123E-2</v>
      </c>
      <c r="Q22"/>
      <c r="R22"/>
      <c r="S22"/>
      <c r="T22" s="82"/>
    </row>
    <row r="23" spans="1:20" ht="13.05" customHeight="1" x14ac:dyDescent="0.2">
      <c r="A23" s="743"/>
      <c r="B23" s="547" t="s">
        <v>443</v>
      </c>
      <c r="C23" s="547"/>
      <c r="D23" s="399">
        <f>(Calculations!$H$118+Calculations!$H$125+Calculations!$H$132+Calculations!$H$237+Calculations!$H$244)</f>
        <v>9346.1538461538457</v>
      </c>
      <c r="E23" s="135">
        <f>IF(D28&lt;&gt;0,D23/D28,)</f>
        <v>8.7295750023479047E-3</v>
      </c>
      <c r="F23" s="399">
        <f>(Calculations!$M$118+Calculations!$M$125+Calculations!$M$132+Calculations!$M$237+Calculations!$M$244)</f>
        <v>471461.5384615385</v>
      </c>
      <c r="G23" s="135">
        <f>IF(F28&lt;&gt;0,F23/F28,)</f>
        <v>9.775539143104317E-2</v>
      </c>
      <c r="H23" s="399">
        <f>(Calculations!$R$118+Calculations!$R$125+Calculations!$R$132+Calculations!$R$237+Calculations!$R$244)</f>
        <v>1757076.923076923</v>
      </c>
      <c r="I23" s="135">
        <f>IF(H28&lt;&gt;0,H23/H28,)</f>
        <v>0.13915474834099018</v>
      </c>
      <c r="J23" s="399">
        <f>(Calculations!$W$118+Calculations!$W$125+Calculations!$W$132+Calculations!$W$237+Calculations!$W$244)</f>
        <v>3659538.4615384615</v>
      </c>
      <c r="K23" s="135">
        <f>IF(J28&lt;&gt;0,J23/J28,)</f>
        <v>0.17764526991724397</v>
      </c>
      <c r="L23" s="399">
        <f>(Calculations!$AB$118+Calculations!$AB$125+Calculations!$AB$132+Calculations!$AB$237+Calculations!$AB$244)</f>
        <v>5933769.230769231</v>
      </c>
      <c r="M23" s="135">
        <f>IF(L28&lt;&gt;0,L23/L28,)</f>
        <v>0.20992414934437026</v>
      </c>
      <c r="N23" s="408">
        <f t="shared" si="1"/>
        <v>11831192.307692308</v>
      </c>
      <c r="O23" s="135">
        <f>IF(N28&lt;&gt;0,N23/N28,)</f>
        <v>0.17557137134394554</v>
      </c>
      <c r="Q23"/>
      <c r="R23"/>
      <c r="S23"/>
      <c r="T23" s="82"/>
    </row>
    <row r="24" spans="1:20" ht="13.05" customHeight="1" x14ac:dyDescent="0.2">
      <c r="A24" s="743"/>
      <c r="B24" s="547" t="s">
        <v>448</v>
      </c>
      <c r="C24" s="547"/>
      <c r="D24" s="399">
        <f>(Calculations!$H$139+Calculations!$H$251)</f>
        <v>1300.5734400000001</v>
      </c>
      <c r="E24" s="135">
        <f>IF(D28&lt;&gt;0,D24/D28,)</f>
        <v>1.21477279075754E-3</v>
      </c>
      <c r="F24" s="399">
        <f>(Calculations!$M$139+Calculations!$M$251)</f>
        <v>31105.381440000001</v>
      </c>
      <c r="G24" s="135">
        <f>IF(F28&lt;&gt;0,F24/F28,)</f>
        <v>6.4495584267626645E-3</v>
      </c>
      <c r="H24" s="399">
        <f>(Calculations!$R$139+Calculations!$R$251)</f>
        <v>102799.49232000002</v>
      </c>
      <c r="I24" s="135">
        <f>IF(H28&lt;&gt;0,H24/H28,)</f>
        <v>8.1413837353920427E-3</v>
      </c>
      <c r="J24" s="399">
        <f>(Calculations!$W$139+Calculations!$W$251)</f>
        <v>205598.98464000001</v>
      </c>
      <c r="K24" s="135">
        <f>IF(J28&lt;&gt;0,J24/J28,)</f>
        <v>9.9804080500713252E-3</v>
      </c>
      <c r="L24" s="399">
        <f>(Calculations!$AB$139+Calculations!$AB$251)</f>
        <v>324818.21664</v>
      </c>
      <c r="M24" s="135">
        <f>IF(L28&lt;&gt;0,L24/L28,)</f>
        <v>1.1491378442243169E-2</v>
      </c>
      <c r="N24" s="408">
        <f t="shared" si="1"/>
        <v>665622.64847999997</v>
      </c>
      <c r="O24" s="135">
        <f>IF(N28&lt;&gt;0,N24/N28,)</f>
        <v>9.8776419275376625E-3</v>
      </c>
      <c r="Q24"/>
      <c r="R24"/>
      <c r="S24"/>
      <c r="T24" s="82"/>
    </row>
    <row r="25" spans="1:20" ht="13.05" customHeight="1" x14ac:dyDescent="0.2">
      <c r="A25" s="743"/>
      <c r="B25" s="547" t="s">
        <v>95</v>
      </c>
      <c r="C25" s="547"/>
      <c r="D25" s="399">
        <f>Calculations!$H$146</f>
        <v>21645</v>
      </c>
      <c r="E25" s="135">
        <f>IF(D28&lt;&gt;0,D25/D28,)</f>
        <v>2.0217049070252388E-2</v>
      </c>
      <c r="F25" s="399">
        <f>Calculations!$M$146</f>
        <v>353600</v>
      </c>
      <c r="G25" s="135">
        <f>IF(F28&lt;&gt;0,F25/F28,)</f>
        <v>7.3317341055672905E-2</v>
      </c>
      <c r="H25" s="399">
        <f>Calculations!$R$146</f>
        <v>1006500</v>
      </c>
      <c r="I25" s="135">
        <f>IF(H28&lt;&gt;0,H25/H28,)</f>
        <v>7.9711509704390421E-2</v>
      </c>
      <c r="J25" s="399">
        <f>Calculations!$W$146</f>
        <v>1855800</v>
      </c>
      <c r="K25" s="135">
        <f>IF(J28&lt;&gt;0,J25/J28,)</f>
        <v>9.0086248683345471E-2</v>
      </c>
      <c r="L25" s="399">
        <f>Calculations!$AB$146</f>
        <v>2795050</v>
      </c>
      <c r="M25" s="135">
        <f>IF(L28&lt;&gt;0,L25/L28,)</f>
        <v>9.8882931035206137E-2</v>
      </c>
      <c r="N25" s="408">
        <f t="shared" si="1"/>
        <v>6032595</v>
      </c>
      <c r="O25" s="135">
        <f>IF(N28&lt;&gt;0,N25/N28,)</f>
        <v>8.9521913714816298E-2</v>
      </c>
      <c r="Q25"/>
      <c r="R25"/>
      <c r="S25"/>
      <c r="T25" s="82"/>
    </row>
    <row r="26" spans="1:20" ht="13.05" customHeight="1" x14ac:dyDescent="0.2">
      <c r="A26" s="743"/>
      <c r="B26" s="547" t="s">
        <v>123</v>
      </c>
      <c r="C26" s="547"/>
      <c r="D26" s="399">
        <f>Calculations!$H$153+Calculations!$H$258</f>
        <v>0</v>
      </c>
      <c r="E26" s="135">
        <f>IF(D28&lt;&gt;0,D26/D28,)</f>
        <v>0</v>
      </c>
      <c r="F26" s="399">
        <f>Calculations!$M$153+Calculations!$M$258</f>
        <v>0</v>
      </c>
      <c r="G26" s="135">
        <f>IF(F28&lt;&gt;0,F26/F28,)</f>
        <v>0</v>
      </c>
      <c r="H26" s="399">
        <f>Calculations!$R$153+Calculations!$R$258</f>
        <v>0</v>
      </c>
      <c r="I26" s="135">
        <f>IF(H28&lt;&gt;0,H26/H28,)</f>
        <v>0</v>
      </c>
      <c r="J26" s="399">
        <f>Calculations!$W$153+Calculations!$W$258</f>
        <v>0</v>
      </c>
      <c r="K26" s="135">
        <f>IF(J28&lt;&gt;0,J26/J28,)</f>
        <v>0</v>
      </c>
      <c r="L26" s="399">
        <f>Calculations!$AB$153+Calculations!$AB$258</f>
        <v>0</v>
      </c>
      <c r="M26" s="135">
        <f>IF(L28&lt;&gt;0,L26/L28,)</f>
        <v>0</v>
      </c>
      <c r="N26" s="408">
        <f t="shared" si="1"/>
        <v>0</v>
      </c>
      <c r="O26" s="135">
        <f>IF(N28&lt;&gt;0,N26/N28,)</f>
        <v>0</v>
      </c>
      <c r="Q26"/>
      <c r="R26"/>
      <c r="S26"/>
      <c r="T26" s="82"/>
    </row>
    <row r="27" spans="1:20" ht="13.05" customHeight="1" x14ac:dyDescent="0.2">
      <c r="A27" s="743"/>
      <c r="B27" s="547" t="s">
        <v>124</v>
      </c>
      <c r="C27" s="547"/>
      <c r="D27" s="399">
        <f>Calculations!$H$158+Calculations!$H$263</f>
        <v>807248</v>
      </c>
      <c r="E27" s="135">
        <f>IF(D28&lt;&gt;0,D27/D28,)</f>
        <v>0.7539927201599953</v>
      </c>
      <c r="F27" s="399">
        <f>Calculations!$M$158+Calculations!$M$263</f>
        <v>1309776.3900000001</v>
      </c>
      <c r="G27" s="135">
        <f>IF(F28&lt;&gt;0,F27/F28,)</f>
        <v>0.27157613770446282</v>
      </c>
      <c r="H27" s="399">
        <f>Calculations!$R$158+Calculations!$R$263</f>
        <v>3296173.7884000004</v>
      </c>
      <c r="I27" s="135">
        <f>IF(H28&lt;&gt;0,H27/H28,)</f>
        <v>0.26104618869488722</v>
      </c>
      <c r="J27" s="399">
        <f>Calculations!$W$158+Calculations!$W$263</f>
        <v>3690623.1013190006</v>
      </c>
      <c r="K27" s="135">
        <f>IF(J28&lt;&gt;0,J27/J28,)</f>
        <v>0.1791542140866059</v>
      </c>
      <c r="L27" s="399">
        <f>Calculations!$AB$158+Calculations!$AB$263</f>
        <v>3875677.6450050697</v>
      </c>
      <c r="M27" s="135">
        <f>IF(L28&lt;&gt;0,L27/L28,)</f>
        <v>0.13711324136803507</v>
      </c>
      <c r="N27" s="408">
        <f t="shared" si="1"/>
        <v>12979498.92472407</v>
      </c>
      <c r="O27" s="135">
        <f>IF(N28&lt;&gt;0,N27/N28,)</f>
        <v>0.19261189965523945</v>
      </c>
      <c r="Q27"/>
      <c r="R27"/>
      <c r="S27"/>
      <c r="T27" s="82"/>
    </row>
    <row r="28" spans="1:20" ht="18" customHeight="1" x14ac:dyDescent="0.2">
      <c r="A28" s="744"/>
      <c r="B28" s="738" t="s">
        <v>414</v>
      </c>
      <c r="C28" s="547"/>
      <c r="D28" s="401">
        <f>SUM(D19:D27)</f>
        <v>1070631.0265551424</v>
      </c>
      <c r="E28" s="172">
        <f>IF(D28&lt;&gt;0,D28/D28,)</f>
        <v>1</v>
      </c>
      <c r="F28" s="401">
        <f>SUM(F19:F27)</f>
        <v>4822869.9364792407</v>
      </c>
      <c r="G28" s="172">
        <f>IF(F28&lt;&gt;0,F28/F28,)</f>
        <v>1</v>
      </c>
      <c r="H28" s="401">
        <f>SUM(H19:H27)</f>
        <v>12626783.807414992</v>
      </c>
      <c r="I28" s="172">
        <f>IF(H28&lt;&gt;0,H28/H28,)</f>
        <v>1</v>
      </c>
      <c r="J28" s="401">
        <f>SUM(J19:J27)</f>
        <v>20600258.38708375</v>
      </c>
      <c r="K28" s="172">
        <f>IF(J28&lt;&gt;0,J28/J28,)</f>
        <v>1</v>
      </c>
      <c r="L28" s="401">
        <f>SUM(L19:L27)</f>
        <v>28266253.545870867</v>
      </c>
      <c r="M28" s="172">
        <f>IF(L28&lt;&gt;0,L28/L28,)</f>
        <v>1</v>
      </c>
      <c r="N28" s="401">
        <f>SUM(N19:N27)</f>
        <v>67386796.703403994</v>
      </c>
      <c r="O28" s="172">
        <f>IF(N28&lt;&gt;0,N28/N28,)</f>
        <v>1</v>
      </c>
      <c r="Q28"/>
      <c r="R28"/>
      <c r="S28"/>
      <c r="T28" s="82"/>
    </row>
    <row r="29" spans="1:20" ht="7.05" customHeight="1" x14ac:dyDescent="0.2">
      <c r="A29" s="82"/>
      <c r="B29" s="82"/>
      <c r="C29" s="82"/>
      <c r="D29" s="372"/>
      <c r="E29" s="82"/>
      <c r="F29" s="372"/>
      <c r="G29" s="82"/>
      <c r="H29" s="372"/>
      <c r="I29" s="82"/>
      <c r="J29" s="372"/>
      <c r="K29" s="82"/>
      <c r="L29" s="372"/>
      <c r="M29" s="82"/>
      <c r="N29" s="402"/>
      <c r="O29" s="82"/>
      <c r="P29" s="82"/>
      <c r="Q29"/>
      <c r="R29"/>
      <c r="S29"/>
    </row>
    <row r="30" spans="1:20" ht="28.05" customHeight="1" x14ac:dyDescent="0.2">
      <c r="A30" s="752" t="s">
        <v>195</v>
      </c>
      <c r="B30" s="753"/>
      <c r="C30" s="754"/>
      <c r="D30" s="403">
        <f>D17-D28</f>
        <v>-776538.02655514237</v>
      </c>
      <c r="E30" s="175">
        <f>IF(D17&lt;&gt;0,D30/D17,)</f>
        <v>-2.6404505600444157</v>
      </c>
      <c r="F30" s="403">
        <f>F17-F28</f>
        <v>2479448.0635207593</v>
      </c>
      <c r="G30" s="175">
        <f>IF(F17&lt;&gt;0,F30/F17,)</f>
        <v>0.33954260325567298</v>
      </c>
      <c r="H30" s="403">
        <f>H17-H28</f>
        <v>11722020.192585008</v>
      </c>
      <c r="I30" s="175">
        <f>IF(H17&lt;&gt;0,H30/H17,)</f>
        <v>0.48142077913087672</v>
      </c>
      <c r="J30" s="403">
        <f>J17-J28</f>
        <v>28254849.61291625</v>
      </c>
      <c r="K30" s="175">
        <f>IF(J17&lt;&gt;0,J30/J17,)</f>
        <v>0.57833972269422163</v>
      </c>
      <c r="L30" s="403">
        <f>L17-L28</f>
        <v>49083004.45412913</v>
      </c>
      <c r="M30" s="175">
        <f>IF(L17&lt;&gt;0,L30/L17,)</f>
        <v>0.63456335229652916</v>
      </c>
      <c r="N30" s="410">
        <f>N17-N28</f>
        <v>90762784.296596006</v>
      </c>
      <c r="O30" s="176">
        <f>IF(N17&lt;&gt;0,N30/N17,)</f>
        <v>0.57390467760136532</v>
      </c>
      <c r="Q30"/>
      <c r="R30"/>
      <c r="S30"/>
    </row>
    <row r="31" spans="1:20" ht="6" customHeight="1" x14ac:dyDescent="0.2">
      <c r="A31"/>
      <c r="B31"/>
      <c r="C31"/>
      <c r="D31"/>
      <c r="E31" s="304"/>
      <c r="F31" s="404"/>
      <c r="G31" s="304"/>
      <c r="H31" s="404"/>
      <c r="I31" s="304"/>
      <c r="J31" s="404"/>
      <c r="K31" s="304"/>
      <c r="L31" s="404"/>
      <c r="M31" s="304"/>
      <c r="N31" s="404"/>
      <c r="O31" s="304"/>
      <c r="P31"/>
      <c r="Q31"/>
      <c r="R31"/>
    </row>
    <row r="32" spans="1:20" x14ac:dyDescent="0.2">
      <c r="A32" s="563" t="s">
        <v>165</v>
      </c>
      <c r="B32" s="564"/>
      <c r="C32" s="565"/>
      <c r="D32" s="411">
        <f>-D30*E32</f>
        <v>232961.4079665427</v>
      </c>
      <c r="E32" s="177">
        <f>Parameters!$K$31</f>
        <v>0.3</v>
      </c>
      <c r="F32" s="413">
        <f>-F30*G32</f>
        <v>-743834.41905622778</v>
      </c>
      <c r="G32" s="177">
        <f>Parameters!$K$31</f>
        <v>0.3</v>
      </c>
      <c r="H32" s="413">
        <f>-H30*I32</f>
        <v>-3516606.0577755026</v>
      </c>
      <c r="I32" s="177">
        <f>Parameters!$K$31</f>
        <v>0.3</v>
      </c>
      <c r="J32" s="413">
        <f>-J30*K32</f>
        <v>-8476454.8838748746</v>
      </c>
      <c r="K32" s="177">
        <f>Parameters!$K$31</f>
        <v>0.3</v>
      </c>
      <c r="L32" s="413">
        <f>-L30*M32</f>
        <v>-14724901.336238738</v>
      </c>
      <c r="M32" s="177">
        <f>Parameters!$K$31</f>
        <v>0.3</v>
      </c>
      <c r="N32" s="413">
        <f>D32+F32+H32+J32+L32</f>
        <v>-27228835.2889788</v>
      </c>
      <c r="O32" s="177">
        <f>N32/N30</f>
        <v>-0.3</v>
      </c>
      <c r="Q32"/>
    </row>
    <row r="33" spans="1:27" ht="6" customHeight="1" x14ac:dyDescent="0.2">
      <c r="A33"/>
      <c r="B33"/>
      <c r="C33"/>
      <c r="D33" s="304"/>
      <c r="E33"/>
      <c r="F33" s="404"/>
      <c r="G33"/>
      <c r="H33" s="404"/>
      <c r="I33"/>
      <c r="J33" s="404"/>
      <c r="K33"/>
      <c r="L33" s="404"/>
      <c r="M33"/>
      <c r="N33" s="404"/>
      <c r="O33"/>
      <c r="P33"/>
      <c r="Q33"/>
    </row>
    <row r="34" spans="1:27" ht="13.95" customHeight="1" x14ac:dyDescent="0.2">
      <c r="A34" s="745" t="s">
        <v>257</v>
      </c>
      <c r="B34" s="759"/>
      <c r="C34" s="760"/>
      <c r="D34" s="405">
        <f>D30+D32</f>
        <v>-543576.61858859961</v>
      </c>
      <c r="E34" s="689">
        <f>IF(D17&lt;&gt;0,D34/D17,)</f>
        <v>-1.8483153920310909</v>
      </c>
      <c r="F34" s="405">
        <f>F30+F32</f>
        <v>1735613.6444645314</v>
      </c>
      <c r="G34" s="689">
        <f>IF(F17&lt;&gt;0,F34/F17,)</f>
        <v>0.23767982227897108</v>
      </c>
      <c r="H34" s="405">
        <f>H30+H32</f>
        <v>8205414.1348095052</v>
      </c>
      <c r="I34" s="689">
        <f>IF(H17&lt;&gt;0,H34/H17,)</f>
        <v>0.33699454539161372</v>
      </c>
      <c r="J34" s="405">
        <f>J30+J32</f>
        <v>19778394.729041375</v>
      </c>
      <c r="K34" s="689">
        <f>IF(J17&lt;&gt;0,J34/J17,)</f>
        <v>0.40483780588595514</v>
      </c>
      <c r="L34" s="405">
        <f>L30+L32</f>
        <v>34358103.117890388</v>
      </c>
      <c r="M34" s="689">
        <f>IF(L17&lt;&gt;0,L34/L17,)</f>
        <v>0.4441943466075704</v>
      </c>
      <c r="N34" s="755">
        <f>N30+N32</f>
        <v>63533949.007617205</v>
      </c>
      <c r="O34" s="689">
        <f>N34/N17</f>
        <v>0.40173327432095574</v>
      </c>
    </row>
    <row r="35" spans="1:27" x14ac:dyDescent="0.2">
      <c r="A35" s="761"/>
      <c r="B35" s="762"/>
      <c r="C35" s="763"/>
      <c r="D35" s="406">
        <f>D34</f>
        <v>-543576.61858859961</v>
      </c>
      <c r="E35" s="718"/>
      <c r="F35" s="406">
        <f>F34+D35</f>
        <v>1192037.0258759318</v>
      </c>
      <c r="G35" s="718"/>
      <c r="H35" s="406">
        <f>H34+F35</f>
        <v>9397451.1606854368</v>
      </c>
      <c r="I35" s="718"/>
      <c r="J35" s="406">
        <f>J34+H35</f>
        <v>29175845.88972681</v>
      </c>
      <c r="K35" s="718"/>
      <c r="L35" s="406">
        <f>L34+J35</f>
        <v>63533949.007617198</v>
      </c>
      <c r="M35" s="718"/>
      <c r="N35" s="756"/>
      <c r="O35" s="718"/>
      <c r="Q35"/>
      <c r="R35"/>
      <c r="S35"/>
      <c r="T35"/>
      <c r="U35"/>
      <c r="V35"/>
      <c r="W35"/>
      <c r="X35"/>
      <c r="Y35"/>
      <c r="Z35"/>
      <c r="AA35"/>
    </row>
    <row r="36" spans="1:27" x14ac:dyDescent="0.2">
      <c r="D36" s="407"/>
      <c r="E36"/>
      <c r="F36" s="407"/>
      <c r="G36"/>
      <c r="H36" s="407"/>
      <c r="I36"/>
      <c r="J36" s="407"/>
      <c r="K36" s="7"/>
      <c r="L36" s="407"/>
      <c r="M36" s="7"/>
      <c r="N36" s="304"/>
      <c r="O36"/>
      <c r="Q36"/>
      <c r="R36"/>
      <c r="S36"/>
      <c r="T36"/>
      <c r="U36"/>
      <c r="V36"/>
      <c r="W36"/>
      <c r="X36"/>
      <c r="Y36"/>
      <c r="Z36"/>
      <c r="AA36"/>
    </row>
    <row r="37" spans="1:27" x14ac:dyDescent="0.2">
      <c r="A37" s="700" t="s">
        <v>130</v>
      </c>
      <c r="B37" s="701"/>
      <c r="C37" s="702"/>
      <c r="D37" s="303">
        <f>'Cash Flow'!$C$68</f>
        <v>-1014060.6371151422</v>
      </c>
      <c r="E37" s="177">
        <f>D37/D37</f>
        <v>1</v>
      </c>
      <c r="F37" s="303">
        <f>'Cash Flow'!$H$68</f>
        <v>-1368745.9041681276</v>
      </c>
      <c r="G37" s="177">
        <f>F37/F37</f>
        <v>1</v>
      </c>
      <c r="H37" s="303">
        <f>'Cash Flow'!$M$68</f>
        <v>675262.45127312187</v>
      </c>
      <c r="I37" s="177">
        <f>H37/H37</f>
        <v>1</v>
      </c>
      <c r="J37" s="303">
        <f>'Cash Flow'!$R$68</f>
        <v>12663745.282074831</v>
      </c>
      <c r="K37" s="177">
        <f>J37/J37</f>
        <v>1</v>
      </c>
      <c r="L37" s="303">
        <f>'Cash Flow'!$W$68</f>
        <v>41836642.084746175</v>
      </c>
      <c r="M37" s="177">
        <f>L37/L37</f>
        <v>1</v>
      </c>
      <c r="N37" s="269"/>
      <c r="O37"/>
      <c r="Q37"/>
      <c r="R37"/>
      <c r="S37"/>
      <c r="T37"/>
      <c r="U37"/>
      <c r="V37"/>
      <c r="W37"/>
      <c r="X37"/>
      <c r="Y37"/>
      <c r="Z37"/>
      <c r="AA37"/>
    </row>
    <row r="38" spans="1:27" customFormat="1" ht="6" customHeight="1" x14ac:dyDescent="0.2">
      <c r="F38" s="404"/>
      <c r="H38" s="404"/>
    </row>
    <row r="39" spans="1:27" customFormat="1" ht="13.05" customHeight="1" x14ac:dyDescent="0.2"/>
    <row r="40" spans="1:27" x14ac:dyDescent="0.2">
      <c r="D40"/>
      <c r="E40"/>
      <c r="F40"/>
      <c r="G40"/>
      <c r="H40"/>
      <c r="I40"/>
      <c r="J40"/>
      <c r="K40"/>
      <c r="L40"/>
      <c r="M40" s="8"/>
      <c r="N40" s="8"/>
      <c r="O40" s="8"/>
    </row>
    <row r="41" spans="1:27" x14ac:dyDescent="0.2">
      <c r="D41" s="8"/>
      <c r="E41" s="8"/>
      <c r="F41" s="8"/>
      <c r="G41" s="8"/>
      <c r="H41" s="8"/>
      <c r="I41" s="8"/>
      <c r="J41" s="8"/>
      <c r="K41" s="8"/>
      <c r="L41" s="8"/>
      <c r="M41" s="8"/>
      <c r="N41" s="8"/>
      <c r="O41" s="8"/>
    </row>
    <row r="42" spans="1:27" x14ac:dyDescent="0.2">
      <c r="D42" s="8"/>
      <c r="E42" s="8"/>
      <c r="F42" s="8"/>
      <c r="G42" s="8"/>
      <c r="H42" s="8"/>
      <c r="I42" s="8"/>
      <c r="J42" s="8"/>
      <c r="K42" s="8"/>
      <c r="L42" s="8"/>
      <c r="M42" s="8"/>
      <c r="N42" s="8"/>
      <c r="O42" s="8"/>
    </row>
    <row r="43" spans="1:27" x14ac:dyDescent="0.2">
      <c r="D43" s="8"/>
      <c r="E43" s="8"/>
      <c r="F43" s="8"/>
      <c r="G43" s="8"/>
      <c r="H43" s="8"/>
      <c r="I43" s="8"/>
      <c r="J43" s="8"/>
      <c r="K43" s="8"/>
      <c r="L43" s="8"/>
      <c r="M43" s="8"/>
      <c r="N43" s="8"/>
      <c r="O43" s="8"/>
    </row>
    <row r="44" spans="1:27" x14ac:dyDescent="0.2">
      <c r="D44" s="8"/>
      <c r="E44" s="8"/>
      <c r="F44" s="8"/>
      <c r="G44" s="8"/>
      <c r="H44" s="8"/>
      <c r="I44" s="8"/>
      <c r="J44" s="8"/>
      <c r="K44" s="8"/>
      <c r="L44" s="8"/>
      <c r="M44" s="8"/>
      <c r="N44" s="8"/>
      <c r="O44" s="8"/>
    </row>
    <row r="45" spans="1:27" x14ac:dyDescent="0.2">
      <c r="D45" s="8"/>
      <c r="E45" s="8"/>
      <c r="F45" s="8"/>
      <c r="G45" s="8"/>
      <c r="H45" s="8"/>
      <c r="I45" s="8"/>
      <c r="J45" s="8"/>
      <c r="K45" s="8"/>
      <c r="L45" s="8"/>
      <c r="M45" s="8"/>
      <c r="N45" s="8"/>
      <c r="O45" s="8"/>
    </row>
    <row r="46" spans="1:27" x14ac:dyDescent="0.2">
      <c r="D46" s="8"/>
      <c r="E46" s="8"/>
      <c r="F46" s="8"/>
      <c r="G46" s="8"/>
      <c r="H46" s="8"/>
      <c r="I46" s="8"/>
      <c r="J46" s="8"/>
      <c r="K46" s="8"/>
      <c r="L46" s="8"/>
      <c r="M46" s="8"/>
      <c r="N46" s="8"/>
      <c r="O46" s="8"/>
    </row>
    <row r="47" spans="1:27" x14ac:dyDescent="0.2">
      <c r="D47" s="8"/>
      <c r="E47" s="8"/>
      <c r="F47" s="8"/>
      <c r="G47" s="8"/>
      <c r="H47" s="8"/>
      <c r="I47" s="8"/>
      <c r="J47" s="8"/>
      <c r="K47" s="8"/>
      <c r="L47" s="8"/>
      <c r="M47" s="8"/>
      <c r="N47" s="8"/>
      <c r="O47" s="8"/>
    </row>
    <row r="48" spans="1:27" x14ac:dyDescent="0.2">
      <c r="D48" s="8"/>
      <c r="E48" s="8"/>
      <c r="F48" s="8"/>
      <c r="G48" s="8"/>
      <c r="H48" s="8"/>
      <c r="I48" s="8"/>
      <c r="J48" s="8"/>
      <c r="K48" s="8"/>
      <c r="L48" s="8"/>
      <c r="M48" s="8"/>
      <c r="N48" s="8"/>
      <c r="O48" s="8"/>
    </row>
    <row r="49" spans="4:15" x14ac:dyDescent="0.2">
      <c r="D49" s="8"/>
      <c r="E49" s="8"/>
      <c r="F49" s="8"/>
      <c r="G49" s="8"/>
      <c r="H49" s="8"/>
      <c r="I49" s="8"/>
      <c r="J49" s="8"/>
      <c r="K49" s="8"/>
      <c r="L49" s="8"/>
      <c r="M49" s="8"/>
      <c r="N49" s="8"/>
      <c r="O49" s="8"/>
    </row>
    <row r="50" spans="4:15" x14ac:dyDescent="0.2">
      <c r="D50" s="8"/>
      <c r="E50" s="8"/>
      <c r="F50" s="8"/>
      <c r="G50" s="8"/>
      <c r="H50" s="8"/>
      <c r="I50" s="8"/>
      <c r="J50" s="8"/>
      <c r="K50" s="8"/>
      <c r="L50" s="8"/>
      <c r="M50" s="8"/>
      <c r="N50" s="8"/>
      <c r="O50" s="8"/>
    </row>
    <row r="51" spans="4:15" x14ac:dyDescent="0.2">
      <c r="D51" s="8"/>
      <c r="E51" s="8"/>
      <c r="F51" s="8"/>
      <c r="G51" s="8"/>
      <c r="H51" s="8"/>
      <c r="I51" s="8"/>
      <c r="J51" s="8"/>
      <c r="K51" s="8"/>
      <c r="L51" s="8"/>
      <c r="M51" s="8"/>
      <c r="N51" s="8"/>
      <c r="O51" s="8"/>
    </row>
    <row r="52" spans="4:15" x14ac:dyDescent="0.2">
      <c r="D52" s="8"/>
      <c r="E52" s="8"/>
      <c r="F52" s="8"/>
      <c r="G52" s="8"/>
      <c r="H52" s="8"/>
      <c r="I52" s="8"/>
      <c r="J52" s="8"/>
      <c r="K52" s="8"/>
      <c r="L52" s="8"/>
      <c r="M52" s="8"/>
      <c r="N52" s="8"/>
      <c r="O52" s="8"/>
    </row>
    <row r="53" spans="4:15" x14ac:dyDescent="0.2">
      <c r="D53" s="8"/>
      <c r="E53" s="8"/>
      <c r="F53" s="8"/>
      <c r="G53" s="8"/>
      <c r="H53" s="8"/>
      <c r="I53" s="8"/>
      <c r="J53" s="8"/>
      <c r="K53" s="8"/>
      <c r="L53" s="8"/>
      <c r="M53" s="8"/>
      <c r="N53" s="8"/>
      <c r="O53" s="8"/>
    </row>
    <row r="54" spans="4:15" x14ac:dyDescent="0.2">
      <c r="D54" s="8"/>
      <c r="E54" s="8"/>
      <c r="F54" s="8"/>
      <c r="G54" s="8"/>
      <c r="H54" s="8"/>
      <c r="I54" s="8"/>
      <c r="J54" s="8"/>
      <c r="K54" s="8"/>
      <c r="L54" s="8"/>
      <c r="M54" s="8"/>
      <c r="N54" s="8"/>
      <c r="O54" s="8"/>
    </row>
    <row r="55" spans="4:15" x14ac:dyDescent="0.2">
      <c r="D55" s="8"/>
      <c r="E55" s="8"/>
      <c r="F55" s="8"/>
      <c r="G55" s="8"/>
      <c r="H55" s="8"/>
      <c r="I55" s="8"/>
      <c r="J55" s="8"/>
      <c r="K55" s="8"/>
      <c r="L55" s="8"/>
      <c r="M55" s="8"/>
      <c r="N55" s="8"/>
      <c r="O55" s="8"/>
    </row>
    <row r="56" spans="4:15" x14ac:dyDescent="0.2">
      <c r="D56" s="8"/>
      <c r="E56" s="8"/>
      <c r="F56" s="8"/>
      <c r="G56" s="8"/>
      <c r="H56" s="8"/>
      <c r="I56" s="8"/>
      <c r="J56" s="8"/>
      <c r="K56" s="8"/>
      <c r="L56" s="8"/>
      <c r="M56" s="8"/>
      <c r="N56" s="8"/>
      <c r="O56" s="8"/>
    </row>
    <row r="57" spans="4:15" x14ac:dyDescent="0.2">
      <c r="D57" s="8"/>
      <c r="E57" s="8"/>
      <c r="F57" s="8"/>
      <c r="G57" s="8"/>
      <c r="H57" s="8"/>
      <c r="I57" s="8"/>
      <c r="J57" s="8"/>
      <c r="K57" s="8"/>
      <c r="L57" s="8"/>
      <c r="M57" s="8"/>
      <c r="N57" s="8"/>
      <c r="O57" s="8"/>
    </row>
    <row r="58" spans="4:15" x14ac:dyDescent="0.2">
      <c r="D58" s="8"/>
      <c r="E58" s="8"/>
      <c r="F58" s="8"/>
      <c r="G58" s="8"/>
      <c r="H58" s="8"/>
      <c r="I58" s="8"/>
      <c r="J58" s="8"/>
      <c r="K58" s="8"/>
      <c r="L58" s="8"/>
      <c r="M58" s="8"/>
      <c r="N58" s="8"/>
      <c r="O58" s="8"/>
    </row>
    <row r="59" spans="4:15" x14ac:dyDescent="0.2">
      <c r="D59" s="8"/>
      <c r="E59" s="8"/>
      <c r="F59" s="8"/>
      <c r="G59" s="8"/>
      <c r="H59" s="8"/>
      <c r="I59" s="8"/>
      <c r="J59" s="8"/>
      <c r="K59" s="8"/>
      <c r="L59" s="8"/>
      <c r="M59" s="8"/>
      <c r="N59" s="8"/>
      <c r="O59" s="8"/>
    </row>
    <row r="60" spans="4:15" x14ac:dyDescent="0.2">
      <c r="D60" s="8"/>
      <c r="E60" s="8"/>
      <c r="F60" s="8"/>
      <c r="G60" s="8"/>
      <c r="H60" s="8"/>
      <c r="I60" s="8"/>
      <c r="J60" s="8"/>
      <c r="K60" s="8"/>
      <c r="L60" s="8"/>
      <c r="M60" s="8"/>
      <c r="N60" s="8"/>
      <c r="O60" s="8"/>
    </row>
    <row r="61" spans="4:15" x14ac:dyDescent="0.2">
      <c r="D61" s="8"/>
      <c r="E61" s="8"/>
      <c r="F61" s="8"/>
      <c r="G61" s="8"/>
      <c r="H61" s="8"/>
      <c r="I61" s="8"/>
      <c r="J61" s="8"/>
      <c r="K61" s="8"/>
      <c r="L61" s="8"/>
      <c r="M61" s="8"/>
      <c r="N61" s="8"/>
      <c r="O61" s="8"/>
    </row>
    <row r="62" spans="4:15" x14ac:dyDescent="0.2">
      <c r="D62" s="8"/>
      <c r="E62" s="8"/>
      <c r="F62" s="8"/>
      <c r="G62" s="8"/>
      <c r="H62" s="8"/>
      <c r="I62" s="8"/>
      <c r="J62" s="8"/>
      <c r="K62" s="8"/>
      <c r="L62" s="8"/>
      <c r="M62" s="8"/>
      <c r="N62" s="8"/>
      <c r="O62" s="8"/>
    </row>
    <row r="63" spans="4:15" x14ac:dyDescent="0.2">
      <c r="D63" s="8"/>
      <c r="E63" s="8"/>
      <c r="F63" s="8"/>
      <c r="G63" s="8"/>
      <c r="H63" s="8"/>
      <c r="I63" s="8"/>
      <c r="J63" s="8"/>
      <c r="K63" s="8"/>
      <c r="L63" s="8"/>
      <c r="M63" s="8"/>
      <c r="N63" s="8"/>
      <c r="O63" s="8"/>
    </row>
    <row r="64" spans="4:15" x14ac:dyDescent="0.2">
      <c r="D64" s="8"/>
      <c r="E64" s="8"/>
      <c r="F64" s="8"/>
      <c r="G64" s="8"/>
      <c r="H64" s="8"/>
      <c r="I64" s="8"/>
      <c r="J64" s="8"/>
      <c r="K64" s="8"/>
      <c r="L64" s="8"/>
      <c r="M64" s="8"/>
      <c r="N64" s="8"/>
      <c r="O64" s="8"/>
    </row>
    <row r="65" spans="4:15" x14ac:dyDescent="0.2">
      <c r="D65" s="8"/>
      <c r="E65" s="8"/>
      <c r="F65" s="8"/>
      <c r="G65" s="8"/>
      <c r="H65" s="8"/>
      <c r="I65" s="8"/>
      <c r="J65" s="8"/>
      <c r="K65" s="8"/>
      <c r="L65" s="8"/>
      <c r="M65" s="8"/>
      <c r="N65" s="8"/>
      <c r="O65" s="8"/>
    </row>
    <row r="66" spans="4:15" x14ac:dyDescent="0.2">
      <c r="D66" s="8"/>
      <c r="E66" s="8"/>
      <c r="F66" s="8"/>
      <c r="G66" s="8"/>
      <c r="H66" s="8"/>
      <c r="I66" s="8"/>
      <c r="J66" s="8"/>
      <c r="K66" s="8"/>
      <c r="L66" s="8"/>
      <c r="M66" s="8"/>
      <c r="N66" s="8"/>
      <c r="O66" s="8"/>
    </row>
    <row r="67" spans="4:15" x14ac:dyDescent="0.2">
      <c r="D67" s="8"/>
      <c r="E67" s="8"/>
      <c r="F67" s="8"/>
      <c r="G67" s="8"/>
      <c r="H67" s="8"/>
      <c r="I67" s="8"/>
      <c r="J67" s="8"/>
      <c r="K67" s="8"/>
      <c r="L67" s="8"/>
      <c r="M67" s="8"/>
      <c r="N67" s="8"/>
      <c r="O67" s="8"/>
    </row>
    <row r="68" spans="4:15" x14ac:dyDescent="0.2">
      <c r="D68" s="8"/>
      <c r="E68" s="8"/>
      <c r="F68" s="8"/>
      <c r="G68" s="8"/>
      <c r="H68" s="8"/>
      <c r="I68" s="8"/>
      <c r="J68" s="8"/>
      <c r="K68" s="8"/>
      <c r="L68" s="8"/>
      <c r="M68" s="8"/>
      <c r="N68" s="8"/>
      <c r="O68" s="8"/>
    </row>
    <row r="69" spans="4:15" x14ac:dyDescent="0.2">
      <c r="D69" s="8"/>
      <c r="E69" s="8"/>
      <c r="F69" s="8"/>
      <c r="G69" s="8"/>
      <c r="H69" s="8"/>
      <c r="I69" s="8"/>
      <c r="J69" s="8"/>
      <c r="K69" s="8"/>
      <c r="L69" s="8"/>
      <c r="M69" s="8"/>
      <c r="N69" s="8"/>
      <c r="O69" s="8"/>
    </row>
    <row r="70" spans="4:15" x14ac:dyDescent="0.2">
      <c r="D70" s="8"/>
      <c r="E70" s="8"/>
      <c r="F70" s="8"/>
      <c r="G70" s="8"/>
      <c r="H70" s="8"/>
      <c r="I70" s="8"/>
      <c r="J70" s="8"/>
      <c r="K70" s="8"/>
      <c r="L70" s="8"/>
      <c r="M70" s="8"/>
      <c r="N70" s="8"/>
      <c r="O70" s="8"/>
    </row>
    <row r="71" spans="4:15" x14ac:dyDescent="0.2">
      <c r="I71" s="8"/>
      <c r="J71" s="8"/>
      <c r="K71" s="8"/>
      <c r="L71" s="8"/>
      <c r="M71" s="8"/>
      <c r="N71" s="8"/>
      <c r="O71" s="8"/>
    </row>
    <row r="72" spans="4:15" x14ac:dyDescent="0.2">
      <c r="I72" s="8"/>
      <c r="J72" s="8"/>
      <c r="K72" s="8"/>
      <c r="L72" s="8"/>
      <c r="M72" s="8"/>
      <c r="N72" s="8"/>
      <c r="O72" s="8"/>
    </row>
    <row r="73" spans="4:15" x14ac:dyDescent="0.2">
      <c r="I73" s="8"/>
      <c r="J73" s="8"/>
      <c r="K73" s="8"/>
      <c r="L73" s="8"/>
      <c r="M73" s="8"/>
      <c r="N73" s="8"/>
      <c r="O73" s="8"/>
    </row>
    <row r="74" spans="4:15" x14ac:dyDescent="0.2">
      <c r="I74" s="8"/>
      <c r="J74" s="8"/>
      <c r="K74" s="8"/>
      <c r="L74" s="8"/>
      <c r="M74" s="8"/>
      <c r="N74" s="8"/>
      <c r="O74" s="8"/>
    </row>
  </sheetData>
  <mergeCells count="40">
    <mergeCell ref="B24:C24"/>
    <mergeCell ref="N34:N35"/>
    <mergeCell ref="O34:O35"/>
    <mergeCell ref="A37:C37"/>
    <mergeCell ref="A34:C35"/>
    <mergeCell ref="E34:E35"/>
    <mergeCell ref="G34:G35"/>
    <mergeCell ref="I34:I35"/>
    <mergeCell ref="K34:K35"/>
    <mergeCell ref="M34:M35"/>
    <mergeCell ref="B25:C25"/>
    <mergeCell ref="B26:C26"/>
    <mergeCell ref="B27:C27"/>
    <mergeCell ref="B28:C28"/>
    <mergeCell ref="A30:C30"/>
    <mergeCell ref="A32:C32"/>
    <mergeCell ref="I16:I17"/>
    <mergeCell ref="K16:K17"/>
    <mergeCell ref="M16:M17"/>
    <mergeCell ref="B17:C17"/>
    <mergeCell ref="A19:A28"/>
    <mergeCell ref="B19:C19"/>
    <mergeCell ref="B20:C20"/>
    <mergeCell ref="B21:C21"/>
    <mergeCell ref="B22:C22"/>
    <mergeCell ref="B23:C23"/>
    <mergeCell ref="A6:A17"/>
    <mergeCell ref="B6:B10"/>
    <mergeCell ref="B11:B15"/>
    <mergeCell ref="B16:C16"/>
    <mergeCell ref="E16:E17"/>
    <mergeCell ref="G16:G17"/>
    <mergeCell ref="A1:O1"/>
    <mergeCell ref="A3:C4"/>
    <mergeCell ref="D3:E3"/>
    <mergeCell ref="F3:G3"/>
    <mergeCell ref="H3:I3"/>
    <mergeCell ref="J3:K3"/>
    <mergeCell ref="L3:M3"/>
    <mergeCell ref="N3:O3"/>
  </mergeCells>
  <phoneticPr fontId="10" type="noConversion"/>
  <printOptions horizontalCentered="1"/>
  <pageMargins left="0.38976377952755908" right="0.55118110236220474" top="0.6889763779527559" bottom="0.31102362204724415" header="0.24015748031496062" footer="0.51181102362204722"/>
  <pageSetup paperSize="0" scale="60" fitToHeight="2" orientation="landscape"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03"/>
  <sheetViews>
    <sheetView zoomScaleNormal="100" workbookViewId="0">
      <pane xSplit="3" ySplit="2" topLeftCell="D8" activePane="bottomRight" state="frozen"/>
      <selection pane="topRight" activeCell="C1" sqref="C1"/>
      <selection pane="bottomLeft" activeCell="A3" sqref="A3"/>
      <selection pane="bottomRight" activeCell="H194" sqref="H194"/>
    </sheetView>
  </sheetViews>
  <sheetFormatPr defaultColWidth="10.6328125" defaultRowHeight="12.6" x14ac:dyDescent="0.2"/>
  <cols>
    <col min="1" max="1" width="3.6328125" style="2" customWidth="1"/>
    <col min="2" max="2" width="14.453125" style="2" customWidth="1"/>
    <col min="3" max="25" width="11.81640625" style="2" customWidth="1"/>
    <col min="26" max="27" width="10.81640625" style="2" customWidth="1"/>
    <col min="28" max="28" width="11.81640625" style="2" customWidth="1"/>
    <col min="29" max="29" width="12.1796875" style="2" customWidth="1"/>
    <col min="30" max="30" width="15.81640625" style="2" bestFit="1" customWidth="1"/>
    <col min="31" max="16384" width="10.6328125" style="2"/>
  </cols>
  <sheetData>
    <row r="1" spans="1:36" ht="13.05" customHeight="1" x14ac:dyDescent="0.2">
      <c r="A1" s="780" t="s">
        <v>70</v>
      </c>
      <c r="B1" s="781"/>
      <c r="C1" s="782"/>
      <c r="D1" s="772">
        <v>2012</v>
      </c>
      <c r="E1" s="773"/>
      <c r="F1" s="773"/>
      <c r="G1" s="773"/>
      <c r="H1" s="774"/>
      <c r="I1" s="772">
        <v>2013</v>
      </c>
      <c r="J1" s="773"/>
      <c r="K1" s="773"/>
      <c r="L1" s="773"/>
      <c r="M1" s="774"/>
      <c r="N1" s="772">
        <v>2014</v>
      </c>
      <c r="O1" s="773"/>
      <c r="P1" s="773"/>
      <c r="Q1" s="773"/>
      <c r="R1" s="774"/>
      <c r="S1" s="772">
        <v>2015</v>
      </c>
      <c r="T1" s="773"/>
      <c r="U1" s="773"/>
      <c r="V1" s="773"/>
      <c r="W1" s="774"/>
      <c r="X1" s="772">
        <v>2016</v>
      </c>
      <c r="Y1" s="773"/>
      <c r="Z1" s="773"/>
      <c r="AA1" s="773"/>
      <c r="AB1" s="774"/>
      <c r="AC1" s="778" t="s">
        <v>378</v>
      </c>
      <c r="AD1" s="90"/>
      <c r="AE1"/>
      <c r="AF1"/>
      <c r="AG1"/>
      <c r="AH1"/>
      <c r="AI1"/>
      <c r="AJ1"/>
    </row>
    <row r="2" spans="1:36" ht="13.05" customHeight="1" thickBot="1" x14ac:dyDescent="0.25">
      <c r="A2" s="783"/>
      <c r="B2" s="784"/>
      <c r="C2" s="785"/>
      <c r="D2" s="192" t="s">
        <v>406</v>
      </c>
      <c r="E2" s="191" t="s">
        <v>407</v>
      </c>
      <c r="F2" s="191" t="s">
        <v>408</v>
      </c>
      <c r="G2" s="191" t="s">
        <v>409</v>
      </c>
      <c r="H2" s="193" t="s">
        <v>139</v>
      </c>
      <c r="I2" s="192" t="s">
        <v>406</v>
      </c>
      <c r="J2" s="191" t="s">
        <v>407</v>
      </c>
      <c r="K2" s="191" t="s">
        <v>408</v>
      </c>
      <c r="L2" s="191" t="s">
        <v>409</v>
      </c>
      <c r="M2" s="193" t="s">
        <v>139</v>
      </c>
      <c r="N2" s="192" t="s">
        <v>406</v>
      </c>
      <c r="O2" s="191" t="s">
        <v>407</v>
      </c>
      <c r="P2" s="191" t="s">
        <v>408</v>
      </c>
      <c r="Q2" s="191" t="s">
        <v>409</v>
      </c>
      <c r="R2" s="193" t="s">
        <v>139</v>
      </c>
      <c r="S2" s="192" t="s">
        <v>406</v>
      </c>
      <c r="T2" s="191" t="s">
        <v>407</v>
      </c>
      <c r="U2" s="191" t="s">
        <v>408</v>
      </c>
      <c r="V2" s="191" t="s">
        <v>409</v>
      </c>
      <c r="W2" s="193" t="s">
        <v>139</v>
      </c>
      <c r="X2" s="192" t="s">
        <v>406</v>
      </c>
      <c r="Y2" s="191" t="s">
        <v>407</v>
      </c>
      <c r="Z2" s="191" t="s">
        <v>408</v>
      </c>
      <c r="AA2" s="191" t="s">
        <v>409</v>
      </c>
      <c r="AB2" s="193" t="s">
        <v>139</v>
      </c>
      <c r="AC2" s="779"/>
      <c r="AD2" s="90"/>
      <c r="AE2"/>
      <c r="AF2"/>
      <c r="AG2"/>
      <c r="AH2"/>
      <c r="AI2"/>
      <c r="AJ2"/>
    </row>
    <row r="3" spans="1:36" ht="13.05" customHeight="1" x14ac:dyDescent="0.2">
      <c r="A3" s="786" t="s">
        <v>75</v>
      </c>
      <c r="B3" s="764" t="s">
        <v>315</v>
      </c>
      <c r="C3" s="206" t="s">
        <v>252</v>
      </c>
      <c r="D3" s="194">
        <f>ROUNDDOWN(Forecast!D$19*Parameters!$B$46,0)</f>
        <v>5</v>
      </c>
      <c r="E3" s="190">
        <f>ROUNDDOWN(Forecast!D$19*Parameters!$C$46,0)</f>
        <v>15</v>
      </c>
      <c r="F3" s="190">
        <f>ROUNDDOWN(Forecast!D$19*Parameters!$D$46,0)</f>
        <v>15</v>
      </c>
      <c r="G3" s="190">
        <f>Forecast!D$19-SUM(D3:F3)</f>
        <v>15</v>
      </c>
      <c r="H3" s="195">
        <f>SUM(D3:G3)</f>
        <v>50</v>
      </c>
      <c r="I3" s="194">
        <f>ROUNDDOWN(Forecast!E$19*Parameters!$F$46,0)</f>
        <v>50</v>
      </c>
      <c r="J3" s="190">
        <f>ROUNDDOWN(Forecast!E$19*Parameters!$G$46,0)</f>
        <v>50</v>
      </c>
      <c r="K3" s="190">
        <f>ROUNDDOWN(Forecast!E$19*Parameters!$H$46,0)</f>
        <v>50</v>
      </c>
      <c r="L3" s="190">
        <f>Forecast!E$19-SUM(I3:K3)</f>
        <v>50</v>
      </c>
      <c r="M3" s="195">
        <f>SUM(I3:L3)</f>
        <v>200</v>
      </c>
      <c r="N3" s="194">
        <f>ROUNDDOWN(Forecast!F$19*Parameters!$J$46,0)</f>
        <v>65</v>
      </c>
      <c r="O3" s="190">
        <f>ROUNDDOWN(Forecast!F$19*Parameters!$K$46,0)</f>
        <v>65</v>
      </c>
      <c r="P3" s="190">
        <f>ROUNDDOWN(Forecast!F$19*Parameters!$L$46,0)</f>
        <v>65</v>
      </c>
      <c r="Q3" s="190">
        <f>Forecast!F$19-SUM(N3:P3)</f>
        <v>65</v>
      </c>
      <c r="R3" s="195">
        <f>SUM(N3:Q3)</f>
        <v>260</v>
      </c>
      <c r="S3" s="194">
        <f>ROUNDDOWN(Forecast!G$19*Parameters!$B$54,0)</f>
        <v>67</v>
      </c>
      <c r="T3" s="190">
        <f>ROUNDDOWN(Forecast!G$19*Parameters!$C$54,0)</f>
        <v>67</v>
      </c>
      <c r="U3" s="190">
        <f>ROUNDDOWN(Forecast!G$19*Parameters!$D$54,0)</f>
        <v>67</v>
      </c>
      <c r="V3" s="190">
        <f>Forecast!G$19-SUM(S3:U3)</f>
        <v>69</v>
      </c>
      <c r="W3" s="195">
        <f>SUM(S3:V3)</f>
        <v>270</v>
      </c>
      <c r="X3" s="194">
        <f>ROUNDDOWN(Forecast!H$19*Parameters!$F$54,0)</f>
        <v>82</v>
      </c>
      <c r="Y3" s="190">
        <f>ROUNDDOWN(Forecast!H$19*Parameters!$G$54,0)</f>
        <v>82</v>
      </c>
      <c r="Z3" s="190">
        <f>ROUNDDOWN(Forecast!H$19*Parameters!$H$54,0)</f>
        <v>82</v>
      </c>
      <c r="AA3" s="190">
        <f>Forecast!H$19-SUM(X3:Z3)</f>
        <v>84</v>
      </c>
      <c r="AB3" s="421">
        <f>SUM(X3:AA3)</f>
        <v>330</v>
      </c>
      <c r="AC3" s="427">
        <f>H3+M3+R3+W3+AB3</f>
        <v>1110</v>
      </c>
    </row>
    <row r="4" spans="1:36" ht="13.05" customHeight="1" x14ac:dyDescent="0.2">
      <c r="A4" s="789"/>
      <c r="B4" s="765"/>
      <c r="C4" s="275" t="s">
        <v>291</v>
      </c>
      <c r="D4" s="276">
        <f>ROUNDDOWN(Forecast!D$22*Parameters!$B$47,0)</f>
        <v>0</v>
      </c>
      <c r="E4" s="277">
        <f>ROUNDDOWN(Forecast!D$22*Parameters!$C$47,0)</f>
        <v>0</v>
      </c>
      <c r="F4" s="277">
        <f>ROUNDDOWN(Forecast!D$22*Parameters!$D$47,0)</f>
        <v>0</v>
      </c>
      <c r="G4" s="277">
        <f>Forecast!D$22-SUM(D4:F4)</f>
        <v>0</v>
      </c>
      <c r="H4" s="278">
        <f>SUM(D4:G4)</f>
        <v>0</v>
      </c>
      <c r="I4" s="276">
        <f>ROUNDDOWN(Forecast!E$22*Parameters!$F$47,0)</f>
        <v>0</v>
      </c>
      <c r="J4" s="277">
        <f>ROUNDDOWN(Forecast!E$22*Parameters!$G$47,0)</f>
        <v>0</v>
      </c>
      <c r="K4" s="277">
        <f>ROUNDDOWN(Forecast!E$22*Parameters!$H$47,0)</f>
        <v>0</v>
      </c>
      <c r="L4" s="277">
        <f>Forecast!E$22-SUM(I4:K4)</f>
        <v>0</v>
      </c>
      <c r="M4" s="278">
        <f>SUM(I4:L4)</f>
        <v>0</v>
      </c>
      <c r="N4" s="276">
        <f>ROUNDDOWN(Forecast!F$22*Parameters!$J$47,0)</f>
        <v>25</v>
      </c>
      <c r="O4" s="277">
        <f>ROUNDDOWN(Forecast!F$22*Parameters!$K$47,0)</f>
        <v>25</v>
      </c>
      <c r="P4" s="277">
        <f>ROUNDDOWN(Forecast!F$22*Parameters!$L$47,0)</f>
        <v>25</v>
      </c>
      <c r="Q4" s="277">
        <f>Forecast!F$22-SUM(N4:P4)</f>
        <v>25</v>
      </c>
      <c r="R4" s="278">
        <f>SUM(N4:Q4)</f>
        <v>100</v>
      </c>
      <c r="S4" s="276">
        <f>ROUNDDOWN(Forecast!G$22*Parameters!$B$53,0)</f>
        <v>42</v>
      </c>
      <c r="T4" s="277">
        <f>ROUNDDOWN(Forecast!G$22*Parameters!$C$53,0)</f>
        <v>42</v>
      </c>
      <c r="U4" s="277">
        <f>ROUNDDOWN(Forecast!G$22*Parameters!$D$53,0)</f>
        <v>42</v>
      </c>
      <c r="V4" s="277">
        <f>Forecast!G$22-SUM(S4:U4)</f>
        <v>44</v>
      </c>
      <c r="W4" s="278">
        <f>SUM(S4:V4)</f>
        <v>170</v>
      </c>
      <c r="X4" s="276">
        <f>ROUNDDOWN(Forecast!H$22*Parameters!$F$53,0)</f>
        <v>70</v>
      </c>
      <c r="Y4" s="277">
        <f>ROUNDDOWN(Forecast!H$22*Parameters!$G$53,0)</f>
        <v>70</v>
      </c>
      <c r="Z4" s="277">
        <f>ROUNDDOWN(Forecast!H$22*Parameters!$H$53,0)</f>
        <v>70</v>
      </c>
      <c r="AA4" s="277">
        <f>Forecast!H$22-SUM(X4:Z4)</f>
        <v>70</v>
      </c>
      <c r="AB4" s="422">
        <f>SUM(X4:AA4)</f>
        <v>280</v>
      </c>
      <c r="AC4" s="428">
        <f>H4+M4+R4+W4+AB4</f>
        <v>550</v>
      </c>
    </row>
    <row r="5" spans="1:36" ht="13.05" customHeight="1" x14ac:dyDescent="0.2">
      <c r="A5" s="789"/>
      <c r="B5" s="765"/>
      <c r="C5" s="207" t="s">
        <v>341</v>
      </c>
      <c r="D5" s="196">
        <f>ROUNDDOWN(Forecast!D$33*Parameters!$B$48,0)</f>
        <v>0</v>
      </c>
      <c r="E5" s="189">
        <f>ROUNDDOWN(Forecast!D$33*Parameters!$C$48,0)</f>
        <v>0</v>
      </c>
      <c r="F5" s="189">
        <f>ROUNDDOWN(Forecast!D$33*Parameters!$D$48,0)</f>
        <v>9</v>
      </c>
      <c r="G5" s="189">
        <f>Forecast!D$33-SUM(D5:F5)</f>
        <v>21</v>
      </c>
      <c r="H5" s="197">
        <f>SUM(D5:G5)</f>
        <v>30</v>
      </c>
      <c r="I5" s="196">
        <f>ROUNDDOWN(Forecast!E$33*Parameters!$F$48,0)</f>
        <v>32</v>
      </c>
      <c r="J5" s="189">
        <f>ROUNDDOWN(Forecast!E$33*Parameters!$G$48,0)</f>
        <v>32</v>
      </c>
      <c r="K5" s="189">
        <f>ROUNDDOWN(Forecast!E$33*Parameters!$H$48,0)</f>
        <v>32</v>
      </c>
      <c r="L5" s="189">
        <f>Forecast!E$33-SUM(I5:K5)</f>
        <v>34</v>
      </c>
      <c r="M5" s="197">
        <f>SUM(I5:L5)</f>
        <v>130</v>
      </c>
      <c r="N5" s="196">
        <f>ROUNDDOWN(Forecast!F$33*Parameters!$J$48,0)</f>
        <v>47</v>
      </c>
      <c r="O5" s="189">
        <f>ROUNDDOWN(Forecast!F$33*Parameters!$K$48,0)</f>
        <v>47</v>
      </c>
      <c r="P5" s="189">
        <f>ROUNDDOWN(Forecast!F$33*Parameters!$L$48,0)</f>
        <v>47</v>
      </c>
      <c r="Q5" s="189">
        <f>Forecast!F$33-SUM(N5:P5)</f>
        <v>49</v>
      </c>
      <c r="R5" s="197">
        <f>SUM(N5:Q5)</f>
        <v>190</v>
      </c>
      <c r="S5" s="196">
        <f>ROUNDDOWN(Forecast!G$33*Parameters!$B$55,0)</f>
        <v>60</v>
      </c>
      <c r="T5" s="189">
        <f>ROUNDDOWN(Forecast!G$33*Parameters!$C$55,0)</f>
        <v>60</v>
      </c>
      <c r="U5" s="189">
        <f>ROUNDDOWN(Forecast!G$33*Parameters!$D$55,0)</f>
        <v>60</v>
      </c>
      <c r="V5" s="189">
        <f>Forecast!G$33-SUM(S5:U5)</f>
        <v>60</v>
      </c>
      <c r="W5" s="197">
        <f>SUM(S5:V5)</f>
        <v>240</v>
      </c>
      <c r="X5" s="196">
        <f>ROUNDDOWN(Forecast!H$33*Parameters!$F$55,0)</f>
        <v>47</v>
      </c>
      <c r="Y5" s="189">
        <f>ROUNDDOWN(Forecast!H$33*Parameters!$G$55,0)</f>
        <v>47</v>
      </c>
      <c r="Z5" s="189">
        <f>ROUNDDOWN(Forecast!H$33*Parameters!$H$55,0)</f>
        <v>47</v>
      </c>
      <c r="AA5" s="189">
        <f>Forecast!H$33-SUM(X5:Z5)</f>
        <v>49</v>
      </c>
      <c r="AB5" s="423">
        <f>SUM(X5:AA5)</f>
        <v>190</v>
      </c>
      <c r="AC5" s="429">
        <f>H5+M5+R5+W5+AB5</f>
        <v>780</v>
      </c>
    </row>
    <row r="6" spans="1:36" ht="13.05" customHeight="1" x14ac:dyDescent="0.2">
      <c r="A6" s="789"/>
      <c r="B6" s="765"/>
      <c r="C6" s="207" t="s">
        <v>117</v>
      </c>
      <c r="D6" s="196">
        <f>ROUNDDOWN(Forecast!D$41*Parameters!$B$49,0)</f>
        <v>0</v>
      </c>
      <c r="E6" s="189">
        <f>ROUNDDOWN(Forecast!D$41*Parameters!$C$49,0)</f>
        <v>0</v>
      </c>
      <c r="F6" s="189">
        <f>ROUNDDOWN(Forecast!D$41*Parameters!$D$49,0)</f>
        <v>0</v>
      </c>
      <c r="G6" s="189">
        <f>Forecast!D$41-SUM(D6:F6)</f>
        <v>0</v>
      </c>
      <c r="H6" s="197">
        <f>SUM(D6:G6)</f>
        <v>0</v>
      </c>
      <c r="I6" s="196">
        <f>ROUNDDOWN(Forecast!E$41*Parameters!$F$49,0)</f>
        <v>22</v>
      </c>
      <c r="J6" s="189">
        <f>ROUNDDOWN(Forecast!E$41*Parameters!$G$49,0)</f>
        <v>22</v>
      </c>
      <c r="K6" s="189">
        <f>ROUNDDOWN(Forecast!E$41*Parameters!$H$49,0)</f>
        <v>22</v>
      </c>
      <c r="L6" s="189">
        <f>Forecast!E$41-SUM(I6:K6)</f>
        <v>24</v>
      </c>
      <c r="M6" s="197">
        <f>SUM(I6:L6)</f>
        <v>90</v>
      </c>
      <c r="N6" s="196">
        <f>ROUNDDOWN(Forecast!F$41*Parameters!$J$49,0)</f>
        <v>25</v>
      </c>
      <c r="O6" s="189">
        <f>ROUNDDOWN(Forecast!F$41*Parameters!$K$49,0)</f>
        <v>25</v>
      </c>
      <c r="P6" s="189">
        <f>ROUNDDOWN(Forecast!F$41*Parameters!$L$49,0)</f>
        <v>25</v>
      </c>
      <c r="Q6" s="189">
        <f>Forecast!F$41-SUM(N6:P6)</f>
        <v>25</v>
      </c>
      <c r="R6" s="197">
        <f>SUM(N6:Q6)</f>
        <v>100</v>
      </c>
      <c r="S6" s="196">
        <f>ROUNDDOWN(Forecast!G$41*Parameters!$B$56,0)</f>
        <v>30</v>
      </c>
      <c r="T6" s="189">
        <f>ROUNDDOWN(Forecast!G$41*Parameters!$C$56,0)</f>
        <v>30</v>
      </c>
      <c r="U6" s="189">
        <f>ROUNDDOWN(Forecast!G$41*Parameters!$D$56,0)</f>
        <v>30</v>
      </c>
      <c r="V6" s="189">
        <f>Forecast!G$41-SUM(S6:U6)</f>
        <v>30</v>
      </c>
      <c r="W6" s="197">
        <f>SUM(S6:V6)</f>
        <v>120</v>
      </c>
      <c r="X6" s="196">
        <f>ROUNDDOWN(Forecast!H$41*Parameters!$F$56,0)</f>
        <v>22</v>
      </c>
      <c r="Y6" s="189">
        <f>ROUNDDOWN(Forecast!H$41*Parameters!$G$56,0)</f>
        <v>22</v>
      </c>
      <c r="Z6" s="189">
        <f>ROUNDDOWN(Forecast!H$41*Parameters!$H$56,0)</f>
        <v>22</v>
      </c>
      <c r="AA6" s="189">
        <f>Forecast!H$41-SUM(X6:Z6)</f>
        <v>24</v>
      </c>
      <c r="AB6" s="423">
        <f>SUM(X6:AA6)</f>
        <v>90</v>
      </c>
      <c r="AC6" s="429">
        <f>H6+M6+R6+W6+AB6</f>
        <v>400</v>
      </c>
    </row>
    <row r="7" spans="1:36" ht="13.05" customHeight="1" thickBot="1" x14ac:dyDescent="0.25">
      <c r="A7" s="789"/>
      <c r="B7" s="765"/>
      <c r="C7" s="208" t="s">
        <v>247</v>
      </c>
      <c r="D7" s="200">
        <f>ROUNDDOWN(Forecast!D$49*Parameters!$B$50,0)</f>
        <v>0</v>
      </c>
      <c r="E7" s="201">
        <f>ROUNDDOWN(Forecast!D$49*Parameters!$C$50,0)</f>
        <v>0</v>
      </c>
      <c r="F7" s="201">
        <f>ROUNDDOWN(Forecast!D$49*Parameters!$D$50,0)</f>
        <v>0</v>
      </c>
      <c r="G7" s="201">
        <f>Forecast!D$49-SUM(D7:F7)</f>
        <v>0</v>
      </c>
      <c r="H7" s="202">
        <f>SUM(D7:G7)</f>
        <v>0</v>
      </c>
      <c r="I7" s="200">
        <f>ROUNDDOWN(Forecast!E$49*Parameters!$F$50,0)</f>
        <v>0</v>
      </c>
      <c r="J7" s="201">
        <f>ROUNDDOWN(Forecast!E$49*Parameters!$G$50,0)</f>
        <v>0</v>
      </c>
      <c r="K7" s="201">
        <f>ROUNDDOWN(Forecast!E$49*Parameters!$H$50,0)</f>
        <v>10</v>
      </c>
      <c r="L7" s="201">
        <f>Forecast!E$49-SUM(I7:K7)</f>
        <v>10</v>
      </c>
      <c r="M7" s="202">
        <f>SUM(I7:L7)</f>
        <v>20</v>
      </c>
      <c r="N7" s="200">
        <f>ROUNDDOWN(Forecast!F$49*Parameters!$J$50,0)</f>
        <v>5</v>
      </c>
      <c r="O7" s="201">
        <f>ROUNDDOWN(Forecast!F$49*Parameters!$K$50,0)</f>
        <v>5</v>
      </c>
      <c r="P7" s="201">
        <f>ROUNDDOWN(Forecast!F$49*Parameters!$L$50,0)</f>
        <v>5</v>
      </c>
      <c r="Q7" s="201">
        <f>Forecast!F$49-SUM(N7:P7)</f>
        <v>5</v>
      </c>
      <c r="R7" s="202">
        <f>SUM(N7:Q7)</f>
        <v>20</v>
      </c>
      <c r="S7" s="200">
        <f>ROUNDDOWN(Forecast!G$49*Parameters!$B$57,0)</f>
        <v>2</v>
      </c>
      <c r="T7" s="201">
        <f>ROUNDDOWN(Forecast!G$49*Parameters!$C$57,0)</f>
        <v>2</v>
      </c>
      <c r="U7" s="201">
        <f>ROUNDDOWN(Forecast!G$49*Parameters!$D$57,0)</f>
        <v>2</v>
      </c>
      <c r="V7" s="201">
        <f>Forecast!G$49-SUM(S7:U7)</f>
        <v>4</v>
      </c>
      <c r="W7" s="202">
        <f>SUM(S7:V7)</f>
        <v>10</v>
      </c>
      <c r="X7" s="200">
        <f>ROUNDDOWN(Forecast!H$49*Parameters!$F$57,0)</f>
        <v>0</v>
      </c>
      <c r="Y7" s="201">
        <f>ROUNDDOWN(Forecast!H$49*Parameters!$G$57,0)</f>
        <v>0</v>
      </c>
      <c r="Z7" s="201">
        <f>ROUNDDOWN(Forecast!H$49*Parameters!$H$57,0)</f>
        <v>0</v>
      </c>
      <c r="AA7" s="201">
        <f>Forecast!H$49-SUM(X7:Z7)</f>
        <v>0</v>
      </c>
      <c r="AB7" s="424">
        <f>SUM(X7:AA7)</f>
        <v>0</v>
      </c>
      <c r="AC7" s="430">
        <f>H7+M7+R7+W7+AB7</f>
        <v>50</v>
      </c>
    </row>
    <row r="8" spans="1:36" ht="13.05" customHeight="1" thickBot="1" x14ac:dyDescent="0.25">
      <c r="A8" s="789"/>
      <c r="B8" s="765"/>
      <c r="C8" s="420" t="s">
        <v>253</v>
      </c>
      <c r="D8" s="418">
        <f t="shared" ref="D8:AC8" si="0">SUM(D4:D7)</f>
        <v>0</v>
      </c>
      <c r="E8" s="419">
        <f t="shared" si="0"/>
        <v>0</v>
      </c>
      <c r="F8" s="419">
        <f t="shared" si="0"/>
        <v>9</v>
      </c>
      <c r="G8" s="419">
        <f t="shared" si="0"/>
        <v>21</v>
      </c>
      <c r="H8" s="419">
        <f t="shared" si="0"/>
        <v>30</v>
      </c>
      <c r="I8" s="418">
        <f t="shared" si="0"/>
        <v>54</v>
      </c>
      <c r="J8" s="419">
        <f t="shared" si="0"/>
        <v>54</v>
      </c>
      <c r="K8" s="419">
        <f t="shared" si="0"/>
        <v>64</v>
      </c>
      <c r="L8" s="419">
        <f t="shared" si="0"/>
        <v>68</v>
      </c>
      <c r="M8" s="419">
        <f t="shared" si="0"/>
        <v>240</v>
      </c>
      <c r="N8" s="418">
        <f t="shared" si="0"/>
        <v>102</v>
      </c>
      <c r="O8" s="419">
        <f t="shared" si="0"/>
        <v>102</v>
      </c>
      <c r="P8" s="419">
        <f t="shared" si="0"/>
        <v>102</v>
      </c>
      <c r="Q8" s="419">
        <f t="shared" si="0"/>
        <v>104</v>
      </c>
      <c r="R8" s="419">
        <f t="shared" si="0"/>
        <v>410</v>
      </c>
      <c r="S8" s="418">
        <f t="shared" si="0"/>
        <v>134</v>
      </c>
      <c r="T8" s="419">
        <f t="shared" si="0"/>
        <v>134</v>
      </c>
      <c r="U8" s="419">
        <f t="shared" si="0"/>
        <v>134</v>
      </c>
      <c r="V8" s="419">
        <f t="shared" si="0"/>
        <v>138</v>
      </c>
      <c r="W8" s="419">
        <f t="shared" si="0"/>
        <v>540</v>
      </c>
      <c r="X8" s="418">
        <f t="shared" si="0"/>
        <v>139</v>
      </c>
      <c r="Y8" s="419">
        <f t="shared" si="0"/>
        <v>139</v>
      </c>
      <c r="Z8" s="419">
        <f t="shared" si="0"/>
        <v>139</v>
      </c>
      <c r="AA8" s="419">
        <f t="shared" si="0"/>
        <v>143</v>
      </c>
      <c r="AB8" s="425">
        <f t="shared" si="0"/>
        <v>560</v>
      </c>
      <c r="AC8" s="431">
        <f t="shared" si="0"/>
        <v>1780</v>
      </c>
    </row>
    <row r="9" spans="1:36" ht="13.05" customHeight="1" thickBot="1" x14ac:dyDescent="0.25">
      <c r="A9" s="789"/>
      <c r="B9" s="766"/>
      <c r="C9" s="416" t="s">
        <v>139</v>
      </c>
      <c r="D9" s="204">
        <f t="shared" ref="D9:AC9" si="1">D3+D8</f>
        <v>5</v>
      </c>
      <c r="E9" s="205">
        <f t="shared" si="1"/>
        <v>15</v>
      </c>
      <c r="F9" s="205">
        <f t="shared" si="1"/>
        <v>24</v>
      </c>
      <c r="G9" s="205">
        <f t="shared" si="1"/>
        <v>36</v>
      </c>
      <c r="H9" s="205">
        <f t="shared" si="1"/>
        <v>80</v>
      </c>
      <c r="I9" s="204">
        <f t="shared" si="1"/>
        <v>104</v>
      </c>
      <c r="J9" s="205">
        <f t="shared" si="1"/>
        <v>104</v>
      </c>
      <c r="K9" s="205">
        <f t="shared" si="1"/>
        <v>114</v>
      </c>
      <c r="L9" s="205">
        <f t="shared" si="1"/>
        <v>118</v>
      </c>
      <c r="M9" s="205">
        <f t="shared" si="1"/>
        <v>440</v>
      </c>
      <c r="N9" s="204">
        <f t="shared" si="1"/>
        <v>167</v>
      </c>
      <c r="O9" s="205">
        <f t="shared" si="1"/>
        <v>167</v>
      </c>
      <c r="P9" s="205">
        <f t="shared" si="1"/>
        <v>167</v>
      </c>
      <c r="Q9" s="205">
        <f t="shared" si="1"/>
        <v>169</v>
      </c>
      <c r="R9" s="205">
        <f t="shared" si="1"/>
        <v>670</v>
      </c>
      <c r="S9" s="204">
        <f t="shared" si="1"/>
        <v>201</v>
      </c>
      <c r="T9" s="205">
        <f t="shared" si="1"/>
        <v>201</v>
      </c>
      <c r="U9" s="205">
        <f t="shared" si="1"/>
        <v>201</v>
      </c>
      <c r="V9" s="205">
        <f t="shared" si="1"/>
        <v>207</v>
      </c>
      <c r="W9" s="205">
        <f t="shared" si="1"/>
        <v>810</v>
      </c>
      <c r="X9" s="204">
        <f t="shared" si="1"/>
        <v>221</v>
      </c>
      <c r="Y9" s="205">
        <f t="shared" si="1"/>
        <v>221</v>
      </c>
      <c r="Z9" s="205">
        <f t="shared" si="1"/>
        <v>221</v>
      </c>
      <c r="AA9" s="205">
        <f t="shared" si="1"/>
        <v>227</v>
      </c>
      <c r="AB9" s="426">
        <f t="shared" si="1"/>
        <v>890</v>
      </c>
      <c r="AC9" s="432">
        <f t="shared" si="1"/>
        <v>2890</v>
      </c>
    </row>
    <row r="10" spans="1:36" ht="13.05" customHeight="1" x14ac:dyDescent="0.2">
      <c r="A10" s="789"/>
      <c r="B10" s="764" t="s">
        <v>181</v>
      </c>
      <c r="C10" s="206" t="str">
        <f>C$3</f>
        <v>Liftoil</v>
      </c>
      <c r="D10" s="209">
        <f>D3</f>
        <v>5</v>
      </c>
      <c r="E10" s="212">
        <f t="shared" ref="E10:G14" si="2">D10+E3</f>
        <v>20</v>
      </c>
      <c r="F10" s="212">
        <f t="shared" si="2"/>
        <v>35</v>
      </c>
      <c r="G10" s="212">
        <f t="shared" si="2"/>
        <v>50</v>
      </c>
      <c r="H10" s="215">
        <f>G10</f>
        <v>50</v>
      </c>
      <c r="I10" s="212">
        <f t="shared" ref="I10:L14" si="3">H10+I3</f>
        <v>100</v>
      </c>
      <c r="J10" s="212">
        <f t="shared" si="3"/>
        <v>150</v>
      </c>
      <c r="K10" s="212">
        <f t="shared" si="3"/>
        <v>200</v>
      </c>
      <c r="L10" s="212">
        <f t="shared" si="3"/>
        <v>250</v>
      </c>
      <c r="M10" s="215">
        <f>L10</f>
        <v>250</v>
      </c>
      <c r="N10" s="212">
        <f t="shared" ref="N10:Q14" si="4">M10+N3</f>
        <v>315</v>
      </c>
      <c r="O10" s="212">
        <f t="shared" si="4"/>
        <v>380</v>
      </c>
      <c r="P10" s="212">
        <f t="shared" si="4"/>
        <v>445</v>
      </c>
      <c r="Q10" s="212">
        <f t="shared" si="4"/>
        <v>510</v>
      </c>
      <c r="R10" s="215">
        <f>Q10</f>
        <v>510</v>
      </c>
      <c r="S10" s="212">
        <f t="shared" ref="S10:V14" si="5">R10+S3</f>
        <v>577</v>
      </c>
      <c r="T10" s="212">
        <f t="shared" si="5"/>
        <v>644</v>
      </c>
      <c r="U10" s="212">
        <f t="shared" si="5"/>
        <v>711</v>
      </c>
      <c r="V10" s="212">
        <f t="shared" si="5"/>
        <v>780</v>
      </c>
      <c r="W10" s="215">
        <f>V10</f>
        <v>780</v>
      </c>
      <c r="X10" s="212">
        <f t="shared" ref="X10:AA14" si="6">W10+X3</f>
        <v>862</v>
      </c>
      <c r="Y10" s="212">
        <f t="shared" si="6"/>
        <v>944</v>
      </c>
      <c r="Z10" s="212">
        <f t="shared" si="6"/>
        <v>1026</v>
      </c>
      <c r="AA10" s="212">
        <f t="shared" si="6"/>
        <v>1110</v>
      </c>
      <c r="AB10" s="215">
        <f t="shared" ref="AB10:AC14" si="7">AA10</f>
        <v>1110</v>
      </c>
      <c r="AC10" s="230">
        <f t="shared" si="7"/>
        <v>1110</v>
      </c>
    </row>
    <row r="11" spans="1:36" ht="13.05" customHeight="1" x14ac:dyDescent="0.2">
      <c r="A11" s="789"/>
      <c r="B11" s="765"/>
      <c r="C11" s="275" t="str">
        <f>C$4</f>
        <v>USA Canada</v>
      </c>
      <c r="D11" s="280">
        <f>D4</f>
        <v>0</v>
      </c>
      <c r="E11" s="281">
        <f t="shared" si="2"/>
        <v>0</v>
      </c>
      <c r="F11" s="281">
        <f t="shared" si="2"/>
        <v>0</v>
      </c>
      <c r="G11" s="281">
        <f t="shared" si="2"/>
        <v>0</v>
      </c>
      <c r="H11" s="282">
        <f>G11</f>
        <v>0</v>
      </c>
      <c r="I11" s="281">
        <f t="shared" si="3"/>
        <v>0</v>
      </c>
      <c r="J11" s="281">
        <f t="shared" si="3"/>
        <v>0</v>
      </c>
      <c r="K11" s="281">
        <f t="shared" si="3"/>
        <v>0</v>
      </c>
      <c r="L11" s="281">
        <f t="shared" si="3"/>
        <v>0</v>
      </c>
      <c r="M11" s="282">
        <f>L11</f>
        <v>0</v>
      </c>
      <c r="N11" s="281">
        <f t="shared" si="4"/>
        <v>25</v>
      </c>
      <c r="O11" s="281">
        <f t="shared" si="4"/>
        <v>50</v>
      </c>
      <c r="P11" s="281">
        <f t="shared" si="4"/>
        <v>75</v>
      </c>
      <c r="Q11" s="281">
        <f t="shared" si="4"/>
        <v>100</v>
      </c>
      <c r="R11" s="282">
        <f>Q11</f>
        <v>100</v>
      </c>
      <c r="S11" s="281">
        <f t="shared" si="5"/>
        <v>142</v>
      </c>
      <c r="T11" s="281">
        <f t="shared" si="5"/>
        <v>184</v>
      </c>
      <c r="U11" s="281">
        <f t="shared" si="5"/>
        <v>226</v>
      </c>
      <c r="V11" s="281">
        <f t="shared" si="5"/>
        <v>270</v>
      </c>
      <c r="W11" s="282">
        <f>V11</f>
        <v>270</v>
      </c>
      <c r="X11" s="281">
        <f t="shared" si="6"/>
        <v>340</v>
      </c>
      <c r="Y11" s="281">
        <f t="shared" si="6"/>
        <v>410</v>
      </c>
      <c r="Z11" s="281">
        <f t="shared" si="6"/>
        <v>480</v>
      </c>
      <c r="AA11" s="281">
        <f t="shared" si="6"/>
        <v>550</v>
      </c>
      <c r="AB11" s="282">
        <f>AA11</f>
        <v>550</v>
      </c>
      <c r="AC11" s="283">
        <f>AB11</f>
        <v>550</v>
      </c>
    </row>
    <row r="12" spans="1:36" ht="13.05" customHeight="1" x14ac:dyDescent="0.2">
      <c r="A12" s="789"/>
      <c r="B12" s="765"/>
      <c r="C12" s="207" t="str">
        <f>C$5</f>
        <v>Europe</v>
      </c>
      <c r="D12" s="210">
        <f>D5</f>
        <v>0</v>
      </c>
      <c r="E12" s="213">
        <f t="shared" si="2"/>
        <v>0</v>
      </c>
      <c r="F12" s="213">
        <f t="shared" si="2"/>
        <v>9</v>
      </c>
      <c r="G12" s="213">
        <f t="shared" si="2"/>
        <v>30</v>
      </c>
      <c r="H12" s="216">
        <f>G12</f>
        <v>30</v>
      </c>
      <c r="I12" s="213">
        <f t="shared" si="3"/>
        <v>62</v>
      </c>
      <c r="J12" s="213">
        <f t="shared" si="3"/>
        <v>94</v>
      </c>
      <c r="K12" s="213">
        <f t="shared" si="3"/>
        <v>126</v>
      </c>
      <c r="L12" s="213">
        <f t="shared" si="3"/>
        <v>160</v>
      </c>
      <c r="M12" s="216">
        <f>L12</f>
        <v>160</v>
      </c>
      <c r="N12" s="213">
        <f t="shared" si="4"/>
        <v>207</v>
      </c>
      <c r="O12" s="213">
        <f t="shared" si="4"/>
        <v>254</v>
      </c>
      <c r="P12" s="213">
        <f t="shared" si="4"/>
        <v>301</v>
      </c>
      <c r="Q12" s="213">
        <f t="shared" si="4"/>
        <v>350</v>
      </c>
      <c r="R12" s="216">
        <f>Q12</f>
        <v>350</v>
      </c>
      <c r="S12" s="213">
        <f t="shared" si="5"/>
        <v>410</v>
      </c>
      <c r="T12" s="213">
        <f t="shared" si="5"/>
        <v>470</v>
      </c>
      <c r="U12" s="213">
        <f t="shared" si="5"/>
        <v>530</v>
      </c>
      <c r="V12" s="213">
        <f t="shared" si="5"/>
        <v>590</v>
      </c>
      <c r="W12" s="216">
        <f>V12</f>
        <v>590</v>
      </c>
      <c r="X12" s="213">
        <f t="shared" si="6"/>
        <v>637</v>
      </c>
      <c r="Y12" s="213">
        <f t="shared" si="6"/>
        <v>684</v>
      </c>
      <c r="Z12" s="213">
        <f t="shared" si="6"/>
        <v>731</v>
      </c>
      <c r="AA12" s="213">
        <f t="shared" si="6"/>
        <v>780</v>
      </c>
      <c r="AB12" s="216">
        <f t="shared" si="7"/>
        <v>780</v>
      </c>
      <c r="AC12" s="231">
        <f t="shared" si="7"/>
        <v>780</v>
      </c>
    </row>
    <row r="13" spans="1:36" ht="13.05" customHeight="1" x14ac:dyDescent="0.2">
      <c r="A13" s="789"/>
      <c r="B13" s="765"/>
      <c r="C13" s="207" t="str">
        <f>C$6</f>
        <v>Africa</v>
      </c>
      <c r="D13" s="210">
        <f>D6</f>
        <v>0</v>
      </c>
      <c r="E13" s="213">
        <f t="shared" si="2"/>
        <v>0</v>
      </c>
      <c r="F13" s="213">
        <f t="shared" si="2"/>
        <v>0</v>
      </c>
      <c r="G13" s="213">
        <f t="shared" si="2"/>
        <v>0</v>
      </c>
      <c r="H13" s="216">
        <f>G13</f>
        <v>0</v>
      </c>
      <c r="I13" s="213">
        <f t="shared" si="3"/>
        <v>22</v>
      </c>
      <c r="J13" s="213">
        <f t="shared" si="3"/>
        <v>44</v>
      </c>
      <c r="K13" s="213">
        <f t="shared" si="3"/>
        <v>66</v>
      </c>
      <c r="L13" s="213">
        <f t="shared" si="3"/>
        <v>90</v>
      </c>
      <c r="M13" s="216">
        <f>L13</f>
        <v>90</v>
      </c>
      <c r="N13" s="213">
        <f t="shared" si="4"/>
        <v>115</v>
      </c>
      <c r="O13" s="213">
        <f t="shared" si="4"/>
        <v>140</v>
      </c>
      <c r="P13" s="213">
        <f t="shared" si="4"/>
        <v>165</v>
      </c>
      <c r="Q13" s="213">
        <f t="shared" si="4"/>
        <v>190</v>
      </c>
      <c r="R13" s="216">
        <f>Q13</f>
        <v>190</v>
      </c>
      <c r="S13" s="213">
        <f t="shared" si="5"/>
        <v>220</v>
      </c>
      <c r="T13" s="213">
        <f t="shared" si="5"/>
        <v>250</v>
      </c>
      <c r="U13" s="213">
        <f t="shared" si="5"/>
        <v>280</v>
      </c>
      <c r="V13" s="213">
        <f t="shared" si="5"/>
        <v>310</v>
      </c>
      <c r="W13" s="216">
        <f>V13</f>
        <v>310</v>
      </c>
      <c r="X13" s="213">
        <f t="shared" si="6"/>
        <v>332</v>
      </c>
      <c r="Y13" s="213">
        <f t="shared" si="6"/>
        <v>354</v>
      </c>
      <c r="Z13" s="213">
        <f t="shared" si="6"/>
        <v>376</v>
      </c>
      <c r="AA13" s="213">
        <f t="shared" si="6"/>
        <v>400</v>
      </c>
      <c r="AB13" s="216">
        <f t="shared" si="7"/>
        <v>400</v>
      </c>
      <c r="AC13" s="231">
        <f t="shared" si="7"/>
        <v>400</v>
      </c>
    </row>
    <row r="14" spans="1:36" ht="13.05" customHeight="1" thickBot="1" x14ac:dyDescent="0.25">
      <c r="A14" s="789"/>
      <c r="B14" s="765"/>
      <c r="C14" s="208" t="str">
        <f>C$7</f>
        <v>Asia</v>
      </c>
      <c r="D14" s="211">
        <f>D7</f>
        <v>0</v>
      </c>
      <c r="E14" s="214">
        <f t="shared" si="2"/>
        <v>0</v>
      </c>
      <c r="F14" s="214">
        <f t="shared" si="2"/>
        <v>0</v>
      </c>
      <c r="G14" s="214">
        <f t="shared" si="2"/>
        <v>0</v>
      </c>
      <c r="H14" s="217">
        <f>G14</f>
        <v>0</v>
      </c>
      <c r="I14" s="214">
        <f t="shared" si="3"/>
        <v>0</v>
      </c>
      <c r="J14" s="214">
        <f t="shared" si="3"/>
        <v>0</v>
      </c>
      <c r="K14" s="214">
        <f t="shared" si="3"/>
        <v>10</v>
      </c>
      <c r="L14" s="214">
        <f t="shared" si="3"/>
        <v>20</v>
      </c>
      <c r="M14" s="217">
        <f>L14</f>
        <v>20</v>
      </c>
      <c r="N14" s="214">
        <f t="shared" si="4"/>
        <v>25</v>
      </c>
      <c r="O14" s="214">
        <f t="shared" si="4"/>
        <v>30</v>
      </c>
      <c r="P14" s="214">
        <f t="shared" si="4"/>
        <v>35</v>
      </c>
      <c r="Q14" s="214">
        <f t="shared" si="4"/>
        <v>40</v>
      </c>
      <c r="R14" s="217">
        <f>Q14</f>
        <v>40</v>
      </c>
      <c r="S14" s="214">
        <f t="shared" si="5"/>
        <v>42</v>
      </c>
      <c r="T14" s="214">
        <f t="shared" si="5"/>
        <v>44</v>
      </c>
      <c r="U14" s="214">
        <f t="shared" si="5"/>
        <v>46</v>
      </c>
      <c r="V14" s="214">
        <f t="shared" si="5"/>
        <v>50</v>
      </c>
      <c r="W14" s="217">
        <f>V14</f>
        <v>50</v>
      </c>
      <c r="X14" s="214">
        <f t="shared" si="6"/>
        <v>50</v>
      </c>
      <c r="Y14" s="214">
        <f t="shared" si="6"/>
        <v>50</v>
      </c>
      <c r="Z14" s="214">
        <f t="shared" si="6"/>
        <v>50</v>
      </c>
      <c r="AA14" s="214">
        <f t="shared" si="6"/>
        <v>50</v>
      </c>
      <c r="AB14" s="217">
        <f t="shared" si="7"/>
        <v>50</v>
      </c>
      <c r="AC14" s="232">
        <f t="shared" si="7"/>
        <v>50</v>
      </c>
    </row>
    <row r="15" spans="1:36" ht="13.05" customHeight="1" thickBot="1" x14ac:dyDescent="0.25">
      <c r="A15" s="789"/>
      <c r="B15" s="765"/>
      <c r="C15" s="420" t="s">
        <v>253</v>
      </c>
      <c r="D15" s="418">
        <f t="shared" ref="D15:AC15" si="8">SUM(D11:D14)</f>
        <v>0</v>
      </c>
      <c r="E15" s="419">
        <f t="shared" si="8"/>
        <v>0</v>
      </c>
      <c r="F15" s="419">
        <f t="shared" si="8"/>
        <v>9</v>
      </c>
      <c r="G15" s="419">
        <f t="shared" si="8"/>
        <v>30</v>
      </c>
      <c r="H15" s="419">
        <f t="shared" si="8"/>
        <v>30</v>
      </c>
      <c r="I15" s="418">
        <f t="shared" si="8"/>
        <v>84</v>
      </c>
      <c r="J15" s="419">
        <f t="shared" si="8"/>
        <v>138</v>
      </c>
      <c r="K15" s="419">
        <f t="shared" si="8"/>
        <v>202</v>
      </c>
      <c r="L15" s="419">
        <f t="shared" si="8"/>
        <v>270</v>
      </c>
      <c r="M15" s="419">
        <f t="shared" si="8"/>
        <v>270</v>
      </c>
      <c r="N15" s="418">
        <f t="shared" si="8"/>
        <v>372</v>
      </c>
      <c r="O15" s="419">
        <f t="shared" si="8"/>
        <v>474</v>
      </c>
      <c r="P15" s="419">
        <f t="shared" si="8"/>
        <v>576</v>
      </c>
      <c r="Q15" s="419">
        <f t="shared" si="8"/>
        <v>680</v>
      </c>
      <c r="R15" s="419">
        <f t="shared" si="8"/>
        <v>680</v>
      </c>
      <c r="S15" s="418">
        <f t="shared" si="8"/>
        <v>814</v>
      </c>
      <c r="T15" s="419">
        <f t="shared" si="8"/>
        <v>948</v>
      </c>
      <c r="U15" s="419">
        <f t="shared" si="8"/>
        <v>1082</v>
      </c>
      <c r="V15" s="419">
        <f t="shared" si="8"/>
        <v>1220</v>
      </c>
      <c r="W15" s="419">
        <f t="shared" si="8"/>
        <v>1220</v>
      </c>
      <c r="X15" s="418">
        <f t="shared" si="8"/>
        <v>1359</v>
      </c>
      <c r="Y15" s="419">
        <f t="shared" si="8"/>
        <v>1498</v>
      </c>
      <c r="Z15" s="419">
        <f t="shared" si="8"/>
        <v>1637</v>
      </c>
      <c r="AA15" s="419">
        <f t="shared" si="8"/>
        <v>1780</v>
      </c>
      <c r="AB15" s="425">
        <f t="shared" si="8"/>
        <v>1780</v>
      </c>
      <c r="AC15" s="431">
        <f t="shared" si="8"/>
        <v>1780</v>
      </c>
    </row>
    <row r="16" spans="1:36" ht="13.05" customHeight="1" thickBot="1" x14ac:dyDescent="0.25">
      <c r="A16" s="789"/>
      <c r="B16" s="766"/>
      <c r="C16" s="416" t="s">
        <v>139</v>
      </c>
      <c r="D16" s="204">
        <f t="shared" ref="D16:AC16" si="9">D10+D15</f>
        <v>5</v>
      </c>
      <c r="E16" s="205">
        <f t="shared" si="9"/>
        <v>20</v>
      </c>
      <c r="F16" s="205">
        <f t="shared" si="9"/>
        <v>44</v>
      </c>
      <c r="G16" s="205">
        <f t="shared" si="9"/>
        <v>80</v>
      </c>
      <c r="H16" s="205">
        <f t="shared" si="9"/>
        <v>80</v>
      </c>
      <c r="I16" s="204">
        <f t="shared" si="9"/>
        <v>184</v>
      </c>
      <c r="J16" s="205">
        <f t="shared" si="9"/>
        <v>288</v>
      </c>
      <c r="K16" s="205">
        <f t="shared" si="9"/>
        <v>402</v>
      </c>
      <c r="L16" s="205">
        <f t="shared" si="9"/>
        <v>520</v>
      </c>
      <c r="M16" s="205">
        <f t="shared" si="9"/>
        <v>520</v>
      </c>
      <c r="N16" s="204">
        <f t="shared" si="9"/>
        <v>687</v>
      </c>
      <c r="O16" s="205">
        <f t="shared" si="9"/>
        <v>854</v>
      </c>
      <c r="P16" s="205">
        <f t="shared" si="9"/>
        <v>1021</v>
      </c>
      <c r="Q16" s="205">
        <f t="shared" si="9"/>
        <v>1190</v>
      </c>
      <c r="R16" s="205">
        <f t="shared" si="9"/>
        <v>1190</v>
      </c>
      <c r="S16" s="204">
        <f t="shared" si="9"/>
        <v>1391</v>
      </c>
      <c r="T16" s="205">
        <f t="shared" si="9"/>
        <v>1592</v>
      </c>
      <c r="U16" s="205">
        <f t="shared" si="9"/>
        <v>1793</v>
      </c>
      <c r="V16" s="205">
        <f t="shared" si="9"/>
        <v>2000</v>
      </c>
      <c r="W16" s="205">
        <f t="shared" si="9"/>
        <v>2000</v>
      </c>
      <c r="X16" s="204">
        <f t="shared" si="9"/>
        <v>2221</v>
      </c>
      <c r="Y16" s="205">
        <f t="shared" si="9"/>
        <v>2442</v>
      </c>
      <c r="Z16" s="205">
        <f t="shared" si="9"/>
        <v>2663</v>
      </c>
      <c r="AA16" s="205">
        <f t="shared" si="9"/>
        <v>2890</v>
      </c>
      <c r="AB16" s="426">
        <f t="shared" si="9"/>
        <v>2890</v>
      </c>
      <c r="AC16" s="432">
        <f t="shared" si="9"/>
        <v>2890</v>
      </c>
    </row>
    <row r="17" spans="1:29" ht="13.05" customHeight="1" x14ac:dyDescent="0.2">
      <c r="A17" s="789"/>
      <c r="B17" s="764" t="s">
        <v>388</v>
      </c>
      <c r="C17" s="206" t="str">
        <f>C$3</f>
        <v>Liftoil</v>
      </c>
      <c r="D17" s="194">
        <f>D3*Parameters!$K$32*Parameters!$B$6*Parameters!$C$6</f>
        <v>1740</v>
      </c>
      <c r="E17" s="190">
        <f>(E3*Parameters!$K$32*Parameters!$B$6*Parameters!$C$6)+(D10*Parameters!$C$6*Parameters!$B$6*3)</f>
        <v>8700</v>
      </c>
      <c r="F17" s="190">
        <f>(F3*Parameters!$K$32*Parameters!$B$6*Parameters!$C$6)+(E10*Parameters!$C$6*Parameters!$B$6*3)</f>
        <v>19140</v>
      </c>
      <c r="G17" s="190">
        <f>(G3*Parameters!$K$32*Parameters!$B$6*Parameters!$C$6)+(F10*Parameters!$C$6*Parameters!$B$6*3)</f>
        <v>29580</v>
      </c>
      <c r="H17" s="195">
        <f>SUM(D17:G17)</f>
        <v>59160</v>
      </c>
      <c r="I17" s="190">
        <f>(I3*Parameters!$K$32*Parameters!$B$6*Parameters!$C$6)+(G10*Parameters!$C$6*Parameters!$B$6*3)</f>
        <v>52200</v>
      </c>
      <c r="J17" s="190">
        <f>(J3*Parameters!$K$32*Parameters!$B$6*Parameters!$C$6)+(I10*Parameters!$C$6*Parameters!$B$6*3)</f>
        <v>87000</v>
      </c>
      <c r="K17" s="190">
        <f>(K3*Parameters!$K$32*Parameters!$B$6*Parameters!$C$6)+(J10*Parameters!$C$6*Parameters!$B$6*3)</f>
        <v>121800</v>
      </c>
      <c r="L17" s="190">
        <f>(L3*Parameters!$K$32*Parameters!$B$6*Parameters!$C$6)+(K10*Parameters!$C$6*Parameters!$B$6*3)</f>
        <v>156600</v>
      </c>
      <c r="M17" s="195">
        <f>SUM(I17:L17)</f>
        <v>417600</v>
      </c>
      <c r="N17" s="190">
        <f>(N3*Parameters!$K$32*Parameters!$B$6*Parameters!$C$6)+(L10*Parameters!$C$6*Parameters!$B$6*3)</f>
        <v>196620</v>
      </c>
      <c r="O17" s="190">
        <f>(O3*Parameters!$K$32*Parameters!$B$6*Parameters!$C$6)+(N10*Parameters!$C$6*Parameters!$B$6*3)</f>
        <v>241860</v>
      </c>
      <c r="P17" s="190">
        <f>(P3*Parameters!$K$32*Parameters!$B$6*Parameters!$C$6)+(O10*Parameters!$C$6*Parameters!$B$6*3)</f>
        <v>287100</v>
      </c>
      <c r="Q17" s="190">
        <f>(Q3*Parameters!$K$32*Parameters!$B$6*Parameters!$C$6)+(P10*Parameters!$C$6*Parameters!$B$6*3)</f>
        <v>332340</v>
      </c>
      <c r="R17" s="195">
        <f>SUM(N17:Q17)</f>
        <v>1057920</v>
      </c>
      <c r="S17" s="190">
        <f>(S3*Parameters!$K$32*Parameters!$B$6*Parameters!$C$6)+(Q10*Parameters!$C$6*Parameters!$B$6*3)</f>
        <v>378276</v>
      </c>
      <c r="T17" s="190">
        <f>(T3*Parameters!$K$32*Parameters!$B$6*Parameters!$C$6)+(S10*Parameters!$C$6*Parameters!$B$6*3)</f>
        <v>424908</v>
      </c>
      <c r="U17" s="190">
        <f>(U3*Parameters!$K$32*Parameters!$B$6*Parameters!$C$6)+(T10*Parameters!$C$6*Parameters!$B$6*3)</f>
        <v>471540</v>
      </c>
      <c r="V17" s="190">
        <f>(V3*Parameters!$K$32*Parameters!$B$6*Parameters!$C$6)+(U10*Parameters!$C$6*Parameters!$B$6*3)</f>
        <v>518868</v>
      </c>
      <c r="W17" s="195">
        <f>SUM(S17:V17)</f>
        <v>1793592</v>
      </c>
      <c r="X17" s="190">
        <f>(X3*Parameters!$K$32*Parameters!$B$6*Parameters!$C$6)+(V10*Parameters!$C$6*Parameters!$B$6*3)</f>
        <v>571416</v>
      </c>
      <c r="Y17" s="190">
        <f>(Y3*Parameters!$K$32*Parameters!$B$6*Parameters!$C$6)+(X10*Parameters!$C$6*Parameters!$B$6*3)</f>
        <v>628488</v>
      </c>
      <c r="Z17" s="190">
        <f>(Z3*Parameters!$K$32*Parameters!$B$6*Parameters!$C$6)+(Y10*Parameters!$C$6*Parameters!$B$6*3)</f>
        <v>685560</v>
      </c>
      <c r="AA17" s="190">
        <f>(AA3*Parameters!$K$32*Parameters!$B$6*Parameters!$C$6)+(Z10*Parameters!$C$6*Parameters!$B$6*3)</f>
        <v>743328</v>
      </c>
      <c r="AB17" s="195">
        <f>SUM(X17:AA17)</f>
        <v>2628792</v>
      </c>
      <c r="AC17" s="198">
        <f>H17+M17+R17+W17+AB17</f>
        <v>5957064</v>
      </c>
    </row>
    <row r="18" spans="1:29" ht="13.05" customHeight="1" x14ac:dyDescent="0.2">
      <c r="A18" s="789"/>
      <c r="B18" s="765"/>
      <c r="C18" s="275" t="str">
        <f>C$4</f>
        <v>USA Canada</v>
      </c>
      <c r="D18" s="276">
        <f>D4*Parameters!$K$32*Parameters!$B$7*Parameters!$C$7</f>
        <v>0</v>
      </c>
      <c r="E18" s="277">
        <f>(E4*Parameters!$K$32*Parameters!$B$7*Parameters!$C$7)+(D11*Parameters!$C$7*Parameters!$B$7*3)</f>
        <v>0</v>
      </c>
      <c r="F18" s="277">
        <f>(F4*Parameters!$K$32*Parameters!$B$7*Parameters!$C$7)+(E11*Parameters!$C$7*Parameters!$B$7*3)</f>
        <v>0</v>
      </c>
      <c r="G18" s="277">
        <f>(G4*Parameters!$K$32*Parameters!$B$7*Parameters!$C$7)+(F11*Parameters!$C$7*Parameters!$B$7*3)</f>
        <v>0</v>
      </c>
      <c r="H18" s="278">
        <f>SUM(D18:G18)</f>
        <v>0</v>
      </c>
      <c r="I18" s="277">
        <f>(I4*Parameters!$K$32*Parameters!$B$7*Parameters!$C$7)+(G11*Parameters!$C$7*Parameters!$B$7*3)</f>
        <v>0</v>
      </c>
      <c r="J18" s="277">
        <f>(J4*Parameters!$K$32*Parameters!$B$7*Parameters!$C$7)+(I11*Parameters!$C$7*Parameters!$B$7*3)</f>
        <v>0</v>
      </c>
      <c r="K18" s="277">
        <f>(K4*Parameters!$K$32*Parameters!$B$7*Parameters!$C$7)+(J11*Parameters!$C$7*Parameters!$B$7*3)</f>
        <v>0</v>
      </c>
      <c r="L18" s="277">
        <f>(L4*Parameters!$K$32*Parameters!$B$7*Parameters!$C$7)+(K11*Parameters!$C$7*Parameters!$B$7*3)</f>
        <v>0</v>
      </c>
      <c r="M18" s="278">
        <f>SUM(I18:L18)</f>
        <v>0</v>
      </c>
      <c r="N18" s="277">
        <f>(N4*Parameters!$K$32*Parameters!$B$7*Parameters!$C$7)+(L11*Parameters!$C$7*Parameters!$B$7*3)</f>
        <v>8700</v>
      </c>
      <c r="O18" s="277">
        <f>(O4*Parameters!$K$32*Parameters!$B$7*Parameters!$C$7)+(N11*Parameters!$C$7*Parameters!$B$7*3)</f>
        <v>26100</v>
      </c>
      <c r="P18" s="277">
        <f>(P4*Parameters!$K$32*Parameters!$B$7*Parameters!$C$7)+(O11*Parameters!$C$7*Parameters!$B$7*3)</f>
        <v>43500</v>
      </c>
      <c r="Q18" s="277">
        <f>(Q4*Parameters!$K$32*Parameters!$B$7*Parameters!$C$7)+(P11*Parameters!$C$7*Parameters!$B$7*3)</f>
        <v>60900</v>
      </c>
      <c r="R18" s="278">
        <f>SUM(N18:Q18)</f>
        <v>139200</v>
      </c>
      <c r="S18" s="277">
        <f>(S4*Parameters!$K$32*Parameters!$B$7*Parameters!$C$7)+(Q11*Parameters!$C$7*Parameters!$B$7*3)</f>
        <v>84216</v>
      </c>
      <c r="T18" s="277">
        <f>(T4*Parameters!$K$32*Parameters!$B$7*Parameters!$C$7)+(S11*Parameters!$C$7*Parameters!$B$7*3)</f>
        <v>113448</v>
      </c>
      <c r="U18" s="277">
        <f>(U4*Parameters!$K$32*Parameters!$B$7*Parameters!$C$7)+(T11*Parameters!$C$7*Parameters!$B$7*3)</f>
        <v>142680</v>
      </c>
      <c r="V18" s="277">
        <f>(V4*Parameters!$K$32*Parameters!$B$7*Parameters!$C$7)+(U11*Parameters!$C$7*Parameters!$B$7*3)</f>
        <v>172608</v>
      </c>
      <c r="W18" s="278">
        <f>SUM(S18:V18)</f>
        <v>512952</v>
      </c>
      <c r="X18" s="277">
        <f>(X4*Parameters!$K$32*Parameters!$B$7*Parameters!$C$7)+(V11*Parameters!$C$7*Parameters!$B$7*3)</f>
        <v>212280</v>
      </c>
      <c r="Y18" s="277">
        <f>(Y4*Parameters!$K$32*Parameters!$B$7*Parameters!$C$7)+(X11*Parameters!$C$7*Parameters!$B$7*3)</f>
        <v>261000</v>
      </c>
      <c r="Z18" s="277">
        <f>(Z4*Parameters!$K$32*Parameters!$B$7*Parameters!$C$7)+(Y11*Parameters!$C$7*Parameters!$B$7*3)</f>
        <v>309720</v>
      </c>
      <c r="AA18" s="277">
        <f>(AA4*Parameters!$K$32*Parameters!$B$7*Parameters!$C$7)+(Z11*Parameters!$C$7*Parameters!$B$7*3)</f>
        <v>358440</v>
      </c>
      <c r="AB18" s="278">
        <f>SUM(X18:AA18)</f>
        <v>1141440</v>
      </c>
      <c r="AC18" s="279">
        <f>H18+M18+R18+W18+AB18</f>
        <v>1793592</v>
      </c>
    </row>
    <row r="19" spans="1:29" ht="13.05" customHeight="1" x14ac:dyDescent="0.2">
      <c r="A19" s="789"/>
      <c r="B19" s="765"/>
      <c r="C19" s="207" t="str">
        <f>C$5</f>
        <v>Europe</v>
      </c>
      <c r="D19" s="196">
        <f>D5*Parameters!$K$32*Parameters!$B$8*Parameters!$C$8</f>
        <v>0</v>
      </c>
      <c r="E19" s="189">
        <f>(E5*Parameters!$K$32*Parameters!$B$8*Parameters!$C$8)+(D12*Parameters!$C$8*Parameters!$B$8*3)</f>
        <v>0</v>
      </c>
      <c r="F19" s="189">
        <f>(F5*Parameters!$K$32*Parameters!$B$8*Parameters!$C$8)+(E12*Parameters!$C$8*Parameters!$B$8*3)</f>
        <v>3132</v>
      </c>
      <c r="G19" s="189">
        <f>(G5*Parameters!$K$32*Parameters!$B$8*Parameters!$C$8)+(F12*Parameters!$C$8*Parameters!$B$8*3)</f>
        <v>13572</v>
      </c>
      <c r="H19" s="197">
        <f>SUM(D19:G19)</f>
        <v>16704</v>
      </c>
      <c r="I19" s="189">
        <f>(I5*Parameters!$K$32*Parameters!$B$8*Parameters!$C$8)+(G12*Parameters!$C$8*Parameters!$B$8*3)</f>
        <v>32016</v>
      </c>
      <c r="J19" s="189">
        <f>(J5*Parameters!$K$32*Parameters!$B$8*Parameters!$C$8)+(I12*Parameters!$C$8*Parameters!$B$8*3)</f>
        <v>54288</v>
      </c>
      <c r="K19" s="189">
        <f>(K5*Parameters!$K$32*Parameters!$B$8*Parameters!$C$8)+(J12*Parameters!$C$8*Parameters!$B$8*3)</f>
        <v>76560</v>
      </c>
      <c r="L19" s="189">
        <f>(L5*Parameters!$K$32*Parameters!$B$8*Parameters!$C$8)+(K12*Parameters!$C$8*Parameters!$B$8*3)</f>
        <v>99528</v>
      </c>
      <c r="M19" s="197">
        <f>SUM(I19:L19)</f>
        <v>262392</v>
      </c>
      <c r="N19" s="189">
        <f>(N5*Parameters!$K$32*Parameters!$B$8*Parameters!$C$8)+(L12*Parameters!$C$8*Parameters!$B$8*3)</f>
        <v>127716</v>
      </c>
      <c r="O19" s="189">
        <f>(O5*Parameters!$K$32*Parameters!$B$8*Parameters!$C$8)+(N12*Parameters!$C$8*Parameters!$B$8*3)</f>
        <v>160428</v>
      </c>
      <c r="P19" s="189">
        <f>(P5*Parameters!$K$32*Parameters!$B$8*Parameters!$C$8)+(O12*Parameters!$C$8*Parameters!$B$8*3)</f>
        <v>193140</v>
      </c>
      <c r="Q19" s="189">
        <f>(Q5*Parameters!$K$32*Parameters!$B$8*Parameters!$C$8)+(P12*Parameters!$C$8*Parameters!$B$8*3)</f>
        <v>226548</v>
      </c>
      <c r="R19" s="197">
        <f>SUM(N19:Q19)</f>
        <v>707832</v>
      </c>
      <c r="S19" s="189">
        <f>(S5*Parameters!$K$32*Parameters!$B$8*Parameters!$C$8)+(Q12*Parameters!$C$8*Parameters!$B$8*3)</f>
        <v>264480</v>
      </c>
      <c r="T19" s="189">
        <f>(T5*Parameters!$K$32*Parameters!$B$8*Parameters!$C$8)+(S12*Parameters!$C$8*Parameters!$B$8*3)</f>
        <v>306240</v>
      </c>
      <c r="U19" s="189">
        <f>(U5*Parameters!$K$32*Parameters!$B$8*Parameters!$C$8)+(T12*Parameters!$C$8*Parameters!$B$8*3)</f>
        <v>348000</v>
      </c>
      <c r="V19" s="189">
        <f>(V5*Parameters!$K$32*Parameters!$B$8*Parameters!$C$8)+(U12*Parameters!$C$8*Parameters!$B$8*3)</f>
        <v>389760</v>
      </c>
      <c r="W19" s="197">
        <f>SUM(S19:V19)</f>
        <v>1308480</v>
      </c>
      <c r="X19" s="189">
        <f>(X5*Parameters!$K$32*Parameters!$B$8*Parameters!$C$8)+(V12*Parameters!$C$8*Parameters!$B$8*3)</f>
        <v>426996</v>
      </c>
      <c r="Y19" s="189">
        <f>(Y5*Parameters!$K$32*Parameters!$B$8*Parameters!$C$8)+(X12*Parameters!$C$8*Parameters!$B$8*3)</f>
        <v>459708</v>
      </c>
      <c r="Z19" s="189">
        <f>(Z5*Parameters!$K$32*Parameters!$B$8*Parameters!$C$8)+(Y12*Parameters!$C$8*Parameters!$B$8*3)</f>
        <v>492420</v>
      </c>
      <c r="AA19" s="189">
        <f>(AA5*Parameters!$K$32*Parameters!$B$8*Parameters!$C$8)+(Z12*Parameters!$C$8*Parameters!$B$8*3)</f>
        <v>525828</v>
      </c>
      <c r="AB19" s="197">
        <f>SUM(X19:AA19)</f>
        <v>1904952</v>
      </c>
      <c r="AC19" s="199">
        <f>H19+M19+R19+W19+AB19</f>
        <v>4200360</v>
      </c>
    </row>
    <row r="20" spans="1:29" ht="13.05" customHeight="1" x14ac:dyDescent="0.2">
      <c r="A20" s="789"/>
      <c r="B20" s="765"/>
      <c r="C20" s="207" t="str">
        <f>C$6</f>
        <v>Africa</v>
      </c>
      <c r="D20" s="196">
        <f>D6*Parameters!$K$32*Parameters!$B$9*Parameters!$C$9</f>
        <v>0</v>
      </c>
      <c r="E20" s="189">
        <f>(E6*Parameters!$K$32*Parameters!$B$9*Parameters!$C$9)+(D13*Parameters!$C$9*Parameters!$B$9*3)</f>
        <v>0</v>
      </c>
      <c r="F20" s="189">
        <f>(F6*Parameters!$K$32*Parameters!$B$9*Parameters!$C$9)+(E13*Parameters!$C$9*Parameters!$B$9*3)</f>
        <v>0</v>
      </c>
      <c r="G20" s="189">
        <f>(G6*Parameters!$K$32*Parameters!$B$9*Parameters!$C$9)+(F13*Parameters!$C$9*Parameters!$B$9*3)</f>
        <v>0</v>
      </c>
      <c r="H20" s="197">
        <f>SUM(D20:G20)</f>
        <v>0</v>
      </c>
      <c r="I20" s="189">
        <f>(I6*Parameters!$K$32*Parameters!$B$9*Parameters!$C$9)+(G13*Parameters!$C$9*Parameters!$B$9*3)</f>
        <v>7656</v>
      </c>
      <c r="J20" s="189">
        <f>(J6*Parameters!$K$32*Parameters!$B$9*Parameters!$C$9)+(I13*Parameters!$C$9*Parameters!$B$9*3)</f>
        <v>22968</v>
      </c>
      <c r="K20" s="189">
        <f>(K6*Parameters!$K$32*Parameters!$B$9*Parameters!$C$9)+(J13*Parameters!$C$9*Parameters!$B$9*3)</f>
        <v>38280</v>
      </c>
      <c r="L20" s="189">
        <f>(L6*Parameters!$K$32*Parameters!$B$9*Parameters!$C$9)+(K13*Parameters!$C$9*Parameters!$B$9*3)</f>
        <v>54288</v>
      </c>
      <c r="M20" s="197">
        <f>SUM(I20:L20)</f>
        <v>123192</v>
      </c>
      <c r="N20" s="189">
        <f>(N6*Parameters!$K$32*Parameters!$B$9*Parameters!$C$9)+(L13*Parameters!$C$9*Parameters!$B$9*3)</f>
        <v>71340</v>
      </c>
      <c r="O20" s="189">
        <f>(O6*Parameters!$K$32*Parameters!$B$9*Parameters!$C$9)+(N13*Parameters!$C$9*Parameters!$B$9*3)</f>
        <v>88740</v>
      </c>
      <c r="P20" s="189">
        <f>(P6*Parameters!$K$32*Parameters!$B$9*Parameters!$C$9)+(O13*Parameters!$C$9*Parameters!$B$9*3)</f>
        <v>106140</v>
      </c>
      <c r="Q20" s="189">
        <f>(Q6*Parameters!$K$32*Parameters!$B$9*Parameters!$C$9)+(P13*Parameters!$C$9*Parameters!$B$9*3)</f>
        <v>123540</v>
      </c>
      <c r="R20" s="197">
        <f>SUM(N20:Q20)</f>
        <v>389760</v>
      </c>
      <c r="S20" s="189">
        <f>(S6*Parameters!$K$32*Parameters!$B$9*Parameters!$C$9)+(Q13*Parameters!$C$9*Parameters!$B$9*3)</f>
        <v>142680</v>
      </c>
      <c r="T20" s="189">
        <f>(T6*Parameters!$K$32*Parameters!$B$9*Parameters!$C$9)+(S13*Parameters!$C$9*Parameters!$B$9*3)</f>
        <v>163560</v>
      </c>
      <c r="U20" s="189">
        <f>(U6*Parameters!$K$32*Parameters!$B$9*Parameters!$C$9)+(T13*Parameters!$C$9*Parameters!$B$9*3)</f>
        <v>184440</v>
      </c>
      <c r="V20" s="189">
        <f>(V6*Parameters!$K$32*Parameters!$B$9*Parameters!$C$9)+(U13*Parameters!$C$9*Parameters!$B$9*3)</f>
        <v>205320</v>
      </c>
      <c r="W20" s="197">
        <f>SUM(S20:V20)</f>
        <v>696000</v>
      </c>
      <c r="X20" s="189">
        <f>(X6*Parameters!$K$32*Parameters!$B$9*Parameters!$C$9)+(V13*Parameters!$C$9*Parameters!$B$9*3)</f>
        <v>223416</v>
      </c>
      <c r="Y20" s="189">
        <f>(Y6*Parameters!$K$32*Parameters!$B$9*Parameters!$C$9)+(X13*Parameters!$C$9*Parameters!$B$9*3)</f>
        <v>238728</v>
      </c>
      <c r="Z20" s="189">
        <f>(Z6*Parameters!$K$32*Parameters!$B$9*Parameters!$C$9)+(Y13*Parameters!$C$9*Parameters!$B$9*3)</f>
        <v>254040</v>
      </c>
      <c r="AA20" s="189">
        <f>(AA6*Parameters!$K$32*Parameters!$B$9*Parameters!$C$9)+(Z13*Parameters!$C$9*Parameters!$B$9*3)</f>
        <v>270048</v>
      </c>
      <c r="AB20" s="197">
        <f>SUM(X20:AA20)</f>
        <v>986232</v>
      </c>
      <c r="AC20" s="199">
        <f>H20+M20+R20+W20+AB20</f>
        <v>2195184</v>
      </c>
    </row>
    <row r="21" spans="1:29" ht="13.05" customHeight="1" thickBot="1" x14ac:dyDescent="0.25">
      <c r="A21" s="789"/>
      <c r="B21" s="765"/>
      <c r="C21" s="208" t="str">
        <f>C$7</f>
        <v>Asia</v>
      </c>
      <c r="D21" s="200">
        <f>D7*Parameters!$K$32*Parameters!$B$10*Parameters!$C$10</f>
        <v>0</v>
      </c>
      <c r="E21" s="201">
        <f>(E7*Parameters!$K$32*Parameters!$B$10*Parameters!$C$10)+(D14*Parameters!$C$10*Parameters!$B$10*3)</f>
        <v>0</v>
      </c>
      <c r="F21" s="201">
        <f>(F7*Parameters!$K$32*Parameters!$B$10*Parameters!$C$10)+(E14*Parameters!$C$10*Parameters!$B$10*3)</f>
        <v>0</v>
      </c>
      <c r="G21" s="201">
        <f>(G7*Parameters!$K$32*Parameters!$B$10*Parameters!$C$10)+(F14*Parameters!$C$10*Parameters!$B$10*3)</f>
        <v>0</v>
      </c>
      <c r="H21" s="202">
        <f>SUM(D21:G21)</f>
        <v>0</v>
      </c>
      <c r="I21" s="201">
        <f>(I7*Parameters!$K$32*Parameters!$B$10*Parameters!$C$10)+(G14*Parameters!$C$10*Parameters!$B$10*3)</f>
        <v>0</v>
      </c>
      <c r="J21" s="201">
        <f>(J7*Parameters!$K$32*Parameters!$B$10*Parameters!$C$10)+(I14*Parameters!$C$10*Parameters!$B$10*3)</f>
        <v>0</v>
      </c>
      <c r="K21" s="201">
        <f>(K7*Parameters!$K$32*Parameters!$B$10*Parameters!$C$10)+(J14*Parameters!$C$10*Parameters!$B$10*3)</f>
        <v>3480</v>
      </c>
      <c r="L21" s="201">
        <f>(L7*Parameters!$K$32*Parameters!$B$10*Parameters!$C$10)+(K14*Parameters!$C$10*Parameters!$B$10*3)</f>
        <v>10440</v>
      </c>
      <c r="M21" s="202">
        <f>SUM(I21:L21)</f>
        <v>13920</v>
      </c>
      <c r="N21" s="201">
        <f>(N7*Parameters!$K$32*Parameters!$B$10*Parameters!$C$10)+(L14*Parameters!$C$10*Parameters!$B$10*3)</f>
        <v>15660</v>
      </c>
      <c r="O21" s="201">
        <f>(O7*Parameters!$K$32*Parameters!$B$10*Parameters!$C$10)+(N14*Parameters!$C$10*Parameters!$B$10*3)</f>
        <v>19140</v>
      </c>
      <c r="P21" s="201">
        <f>(P7*Parameters!$K$32*Parameters!$B$10*Parameters!$C$10)+(O14*Parameters!$C$10*Parameters!$B$10*3)</f>
        <v>22620</v>
      </c>
      <c r="Q21" s="201">
        <f>(Q7*Parameters!$K$32*Parameters!$B$10*Parameters!$C$10)+(P14*Parameters!$C$10*Parameters!$B$10*3)</f>
        <v>26100</v>
      </c>
      <c r="R21" s="202">
        <f>SUM(N21:Q21)</f>
        <v>83520</v>
      </c>
      <c r="S21" s="201">
        <f>(S7*Parameters!$K$32*Parameters!$B$10*Parameters!$C$10)+(Q14*Parameters!$C$10*Parameters!$B$10*3)</f>
        <v>28536</v>
      </c>
      <c r="T21" s="201">
        <f>(T7*Parameters!$K$32*Parameters!$B$10*Parameters!$C$10)+(S14*Parameters!$C$10*Parameters!$B$10*3)</f>
        <v>29928</v>
      </c>
      <c r="U21" s="201">
        <f>(U7*Parameters!$K$32*Parameters!$B$10*Parameters!$C$10)+(T14*Parameters!$C$10*Parameters!$B$10*3)</f>
        <v>31320</v>
      </c>
      <c r="V21" s="201">
        <f>(V7*Parameters!$K$32*Parameters!$B$10*Parameters!$C$10)+(U14*Parameters!$C$10*Parameters!$B$10*3)</f>
        <v>33408</v>
      </c>
      <c r="W21" s="202">
        <f>SUM(S21:V21)</f>
        <v>123192</v>
      </c>
      <c r="X21" s="201">
        <f>(X7*Parameters!$K$32*Parameters!$B$10*Parameters!$C$10)+(V14*Parameters!$C$10*Parameters!$B$10*3)</f>
        <v>34800</v>
      </c>
      <c r="Y21" s="201">
        <f>(Y7*Parameters!$K$32*Parameters!$B$10*Parameters!$C$10)+(X14*Parameters!$C$10*Parameters!$B$10*3)</f>
        <v>34800</v>
      </c>
      <c r="Z21" s="201">
        <f>(Z7*Parameters!$K$32*Parameters!$B$10*Parameters!$C$10)+(Y14*Parameters!$C$10*Parameters!$B$10*3)</f>
        <v>34800</v>
      </c>
      <c r="AA21" s="201">
        <f>(AA7*Parameters!$K$32*Parameters!$B$10*Parameters!$C$10)+(Z14*Parameters!$C$10*Parameters!$B$10*3)</f>
        <v>34800</v>
      </c>
      <c r="AB21" s="202">
        <f>SUM(X21:AA21)</f>
        <v>139200</v>
      </c>
      <c r="AC21" s="203">
        <f>H21+M21+R21+W21+AB21</f>
        <v>359832</v>
      </c>
    </row>
    <row r="22" spans="1:29" ht="13.05" customHeight="1" thickBot="1" x14ac:dyDescent="0.25">
      <c r="A22" s="789"/>
      <c r="B22" s="765"/>
      <c r="C22" s="420" t="s">
        <v>253</v>
      </c>
      <c r="D22" s="418">
        <f t="shared" ref="D22:AC22" si="10">SUM(D18:D21)</f>
        <v>0</v>
      </c>
      <c r="E22" s="419">
        <f t="shared" si="10"/>
        <v>0</v>
      </c>
      <c r="F22" s="419">
        <f t="shared" si="10"/>
        <v>3132</v>
      </c>
      <c r="G22" s="419">
        <f t="shared" si="10"/>
        <v>13572</v>
      </c>
      <c r="H22" s="419">
        <f t="shared" si="10"/>
        <v>16704</v>
      </c>
      <c r="I22" s="418">
        <f t="shared" si="10"/>
        <v>39672</v>
      </c>
      <c r="J22" s="419">
        <f t="shared" si="10"/>
        <v>77256</v>
      </c>
      <c r="K22" s="419">
        <f t="shared" si="10"/>
        <v>118320</v>
      </c>
      <c r="L22" s="419">
        <f t="shared" si="10"/>
        <v>164256</v>
      </c>
      <c r="M22" s="419">
        <f t="shared" si="10"/>
        <v>399504</v>
      </c>
      <c r="N22" s="418">
        <f t="shared" si="10"/>
        <v>223416</v>
      </c>
      <c r="O22" s="419">
        <f t="shared" si="10"/>
        <v>294408</v>
      </c>
      <c r="P22" s="419">
        <f t="shared" si="10"/>
        <v>365400</v>
      </c>
      <c r="Q22" s="419">
        <f t="shared" si="10"/>
        <v>437088</v>
      </c>
      <c r="R22" s="419">
        <f t="shared" si="10"/>
        <v>1320312</v>
      </c>
      <c r="S22" s="418">
        <f t="shared" si="10"/>
        <v>519912</v>
      </c>
      <c r="T22" s="419">
        <f t="shared" si="10"/>
        <v>613176</v>
      </c>
      <c r="U22" s="419">
        <f t="shared" si="10"/>
        <v>706440</v>
      </c>
      <c r="V22" s="419">
        <f t="shared" si="10"/>
        <v>801096</v>
      </c>
      <c r="W22" s="419">
        <f t="shared" si="10"/>
        <v>2640624</v>
      </c>
      <c r="X22" s="418">
        <f t="shared" si="10"/>
        <v>897492</v>
      </c>
      <c r="Y22" s="419">
        <f t="shared" si="10"/>
        <v>994236</v>
      </c>
      <c r="Z22" s="419">
        <f t="shared" si="10"/>
        <v>1090980</v>
      </c>
      <c r="AA22" s="419">
        <f t="shared" si="10"/>
        <v>1189116</v>
      </c>
      <c r="AB22" s="425">
        <f t="shared" si="10"/>
        <v>4171824</v>
      </c>
      <c r="AC22" s="431">
        <f t="shared" si="10"/>
        <v>8548968</v>
      </c>
    </row>
    <row r="23" spans="1:29" ht="13.05" customHeight="1" thickBot="1" x14ac:dyDescent="0.25">
      <c r="A23" s="789"/>
      <c r="B23" s="766"/>
      <c r="C23" s="416" t="s">
        <v>139</v>
      </c>
      <c r="D23" s="204">
        <f t="shared" ref="D23:AC23" si="11">D17+D22</f>
        <v>1740</v>
      </c>
      <c r="E23" s="205">
        <f t="shared" si="11"/>
        <v>8700</v>
      </c>
      <c r="F23" s="205">
        <f t="shared" si="11"/>
        <v>22272</v>
      </c>
      <c r="G23" s="205">
        <f t="shared" si="11"/>
        <v>43152</v>
      </c>
      <c r="H23" s="205">
        <f t="shared" si="11"/>
        <v>75864</v>
      </c>
      <c r="I23" s="204">
        <f t="shared" si="11"/>
        <v>91872</v>
      </c>
      <c r="J23" s="205">
        <f t="shared" si="11"/>
        <v>164256</v>
      </c>
      <c r="K23" s="205">
        <f t="shared" si="11"/>
        <v>240120</v>
      </c>
      <c r="L23" s="205">
        <f t="shared" si="11"/>
        <v>320856</v>
      </c>
      <c r="M23" s="205">
        <f t="shared" si="11"/>
        <v>817104</v>
      </c>
      <c r="N23" s="204">
        <f t="shared" si="11"/>
        <v>420036</v>
      </c>
      <c r="O23" s="205">
        <f t="shared" si="11"/>
        <v>536268</v>
      </c>
      <c r="P23" s="205">
        <f t="shared" si="11"/>
        <v>652500</v>
      </c>
      <c r="Q23" s="205">
        <f t="shared" si="11"/>
        <v>769428</v>
      </c>
      <c r="R23" s="205">
        <f t="shared" si="11"/>
        <v>2378232</v>
      </c>
      <c r="S23" s="204">
        <f t="shared" si="11"/>
        <v>898188</v>
      </c>
      <c r="T23" s="205">
        <f t="shared" si="11"/>
        <v>1038084</v>
      </c>
      <c r="U23" s="205">
        <f t="shared" si="11"/>
        <v>1177980</v>
      </c>
      <c r="V23" s="205">
        <f t="shared" si="11"/>
        <v>1319964</v>
      </c>
      <c r="W23" s="205">
        <f t="shared" si="11"/>
        <v>4434216</v>
      </c>
      <c r="X23" s="204">
        <f t="shared" si="11"/>
        <v>1468908</v>
      </c>
      <c r="Y23" s="205">
        <f t="shared" si="11"/>
        <v>1622724</v>
      </c>
      <c r="Z23" s="205">
        <f t="shared" si="11"/>
        <v>1776540</v>
      </c>
      <c r="AA23" s="205">
        <f t="shared" si="11"/>
        <v>1932444</v>
      </c>
      <c r="AB23" s="426">
        <f t="shared" si="11"/>
        <v>6800616</v>
      </c>
      <c r="AC23" s="432">
        <f t="shared" si="11"/>
        <v>14506032</v>
      </c>
    </row>
    <row r="24" spans="1:29" ht="13.05" customHeight="1" x14ac:dyDescent="0.2">
      <c r="A24" s="789"/>
      <c r="B24" s="764" t="s">
        <v>379</v>
      </c>
      <c r="C24" s="206" t="str">
        <f>C$3</f>
        <v>Liftoil</v>
      </c>
      <c r="D24" s="218">
        <f>D3*Parameters!$F$6*Parameters!$K$32</f>
        <v>22500</v>
      </c>
      <c r="E24" s="219">
        <f>(E3*Parameters!$F$6*Parameters!$K$32)+(D10*Parameters!$F$6*3)</f>
        <v>112500</v>
      </c>
      <c r="F24" s="219">
        <f>(F3*Parameters!$F$6*Parameters!$K$32)+(E10*Parameters!$F$6*3)</f>
        <v>247500</v>
      </c>
      <c r="G24" s="219">
        <f>(G3*Parameters!$F$6*Parameters!$K$32)+(F10*Parameters!$F$6*3)</f>
        <v>382500</v>
      </c>
      <c r="H24" s="220">
        <f>SUM(D24:G24)</f>
        <v>765000</v>
      </c>
      <c r="I24" s="219">
        <f>(I3*Parameters!$F$6*Parameters!$K$32)+(G10*Parameters!$F$6*3)</f>
        <v>675000</v>
      </c>
      <c r="J24" s="219">
        <f>(J3*Parameters!$F$6*Parameters!$K$32)+(I10*Parameters!$F$6*3)</f>
        <v>1125000</v>
      </c>
      <c r="K24" s="219">
        <f>(K3*Parameters!$F$6*Parameters!$K$32)+(J10*Parameters!$F$6*3)</f>
        <v>1575000</v>
      </c>
      <c r="L24" s="219">
        <f>(L3*Parameters!$F$6*Parameters!$K$32)+(K10*Parameters!$F$6*3)</f>
        <v>2025000</v>
      </c>
      <c r="M24" s="220">
        <f>SUM(I24:L24)</f>
        <v>5400000</v>
      </c>
      <c r="N24" s="219">
        <f>(N3*Parameters!$F$6*Parameters!$K$32)+(L10*Parameters!$F$6*3)</f>
        <v>2542500</v>
      </c>
      <c r="O24" s="219">
        <f>(O3*Parameters!$F$6*Parameters!$K$32)+(N10*Parameters!$F$6*3)</f>
        <v>3127500</v>
      </c>
      <c r="P24" s="219">
        <f>(P3*Parameters!$F$6*Parameters!$K$32)+(O10*Parameters!$F$6*3)</f>
        <v>3712500</v>
      </c>
      <c r="Q24" s="219">
        <f>(Q3*Parameters!$F$6*Parameters!$K$32)+(P10*Parameters!$F$6*3)</f>
        <v>4297500</v>
      </c>
      <c r="R24" s="220">
        <f>SUM(N24:Q24)</f>
        <v>13680000</v>
      </c>
      <c r="S24" s="219">
        <f>(S3*Parameters!$F$6*Parameters!$K$32)+(Q10*Parameters!$F$6*3)</f>
        <v>4891500</v>
      </c>
      <c r="T24" s="219">
        <f>(T3*Parameters!$F$6*Parameters!$K$32)+(S10*Parameters!$F$6*3)</f>
        <v>5494500</v>
      </c>
      <c r="U24" s="219">
        <f>(U3*Parameters!$F$6*Parameters!$K$32)+(T10*Parameters!$F$6*3)</f>
        <v>6097500</v>
      </c>
      <c r="V24" s="219">
        <f>(V3*Parameters!$F$6*Parameters!$K$32)+(U10*Parameters!$F$6*3)</f>
        <v>6709500</v>
      </c>
      <c r="W24" s="220">
        <f>SUM(S24:V24)</f>
        <v>23193000</v>
      </c>
      <c r="X24" s="219">
        <f>(X3*Parameters!$F$6*Parameters!$K$32)+(V10*Parameters!$F$6*3)</f>
        <v>7389000</v>
      </c>
      <c r="Y24" s="219">
        <f>(Y3*Parameters!$F$6*Parameters!$K$32)+(X10*Parameters!$F$6*3)</f>
        <v>8127000</v>
      </c>
      <c r="Z24" s="219">
        <f>(Z3*Parameters!$F$6*Parameters!$K$32)+(Y10*Parameters!$F$6*3)</f>
        <v>8865000</v>
      </c>
      <c r="AA24" s="219">
        <f>(AA3*Parameters!$F$6*Parameters!$K$32)+(Z10*Parameters!$F$6*3)</f>
        <v>9612000</v>
      </c>
      <c r="AB24" s="220">
        <f>SUM(X24:AA24)</f>
        <v>33993000</v>
      </c>
      <c r="AC24" s="233">
        <f>H24+M24+R24+W24+AB24</f>
        <v>77031000</v>
      </c>
    </row>
    <row r="25" spans="1:29" ht="13.05" customHeight="1" x14ac:dyDescent="0.2">
      <c r="A25" s="789"/>
      <c r="B25" s="765"/>
      <c r="C25" s="275" t="str">
        <f>C$4</f>
        <v>USA Canada</v>
      </c>
      <c r="D25" s="284">
        <f>D4*Parameters!$F$7*Parameters!$K$32</f>
        <v>0</v>
      </c>
      <c r="E25" s="285">
        <f>(E4*Parameters!$F$7*Parameters!$K$32)+(D11*Parameters!$F$7*3)</f>
        <v>0</v>
      </c>
      <c r="F25" s="285">
        <f>(F4*Parameters!$F$7*Parameters!$K$32)+(E11*Parameters!$F$7*3)</f>
        <v>0</v>
      </c>
      <c r="G25" s="285">
        <f>(G4*Parameters!$F$7*Parameters!$K$32)+(F11*Parameters!$F$7*3)</f>
        <v>0</v>
      </c>
      <c r="H25" s="286">
        <f>SUM(D25:G25)</f>
        <v>0</v>
      </c>
      <c r="I25" s="285">
        <f>(I4*Parameters!$F$7*Parameters!$K$32)+(G11*Parameters!$F$7*3)</f>
        <v>0</v>
      </c>
      <c r="J25" s="285">
        <f>(J4*Parameters!$F$7*Parameters!$K$32)+(I11*Parameters!$F$7*3)</f>
        <v>0</v>
      </c>
      <c r="K25" s="285">
        <f>(K4*Parameters!$F$7*Parameters!$K$32)+(J11*Parameters!$F$7*3)</f>
        <v>0</v>
      </c>
      <c r="L25" s="285">
        <f>(L4*Parameters!$F$7*Parameters!$K$32)+(K11*Parameters!$F$7*3)</f>
        <v>0</v>
      </c>
      <c r="M25" s="286">
        <f>SUM(I25:L25)</f>
        <v>0</v>
      </c>
      <c r="N25" s="285">
        <f>(N4*Parameters!$F$7*Parameters!$K$32)+(L11*Parameters!$F$7*3)</f>
        <v>112500</v>
      </c>
      <c r="O25" s="285">
        <f>(O4*Parameters!$F$7*Parameters!$K$32)+(N11*Parameters!$F$7*3)</f>
        <v>337500</v>
      </c>
      <c r="P25" s="285">
        <f>(P4*Parameters!$F$7*Parameters!$K$32)+(O11*Parameters!$F$7*3)</f>
        <v>562500</v>
      </c>
      <c r="Q25" s="285">
        <f>(Q4*Parameters!$F$7*Parameters!$K$32)+(P11*Parameters!$F$7*3)</f>
        <v>787500</v>
      </c>
      <c r="R25" s="286">
        <f>SUM(N25:Q25)</f>
        <v>1800000</v>
      </c>
      <c r="S25" s="285">
        <f>(S4*Parameters!$F$7*Parameters!$K$32)+(Q11*Parameters!$F$7*3)</f>
        <v>1089000</v>
      </c>
      <c r="T25" s="285">
        <f>(T4*Parameters!$F$7*Parameters!$K$32)+(S11*Parameters!$F$7*3)</f>
        <v>1467000</v>
      </c>
      <c r="U25" s="285">
        <f>(U4*Parameters!$F$7*Parameters!$K$32)+(T11*Parameters!$F$7*3)</f>
        <v>1845000</v>
      </c>
      <c r="V25" s="285">
        <f>(V4*Parameters!$F$7*Parameters!$K$32)+(U11*Parameters!$F$7*3)</f>
        <v>2232000</v>
      </c>
      <c r="W25" s="286">
        <f>SUM(S25:V25)</f>
        <v>6633000</v>
      </c>
      <c r="X25" s="285">
        <f>(X4*Parameters!$F$7*Parameters!$K$32)+(V11*Parameters!$F$7*3)</f>
        <v>2745000</v>
      </c>
      <c r="Y25" s="285">
        <f>(Y4*Parameters!$F$7*Parameters!$K$32)+(X11*Parameters!$F$7*3)</f>
        <v>3375000</v>
      </c>
      <c r="Z25" s="285">
        <f>(Z4*Parameters!$F$7*Parameters!$K$32)+(Y11*Parameters!$F$7*3)</f>
        <v>4005000</v>
      </c>
      <c r="AA25" s="285">
        <f>(AA4*Parameters!$F$7*Parameters!$K$32)+(Z11*Parameters!$F$7*3)</f>
        <v>4635000</v>
      </c>
      <c r="AB25" s="286">
        <f>SUM(X25:AA25)</f>
        <v>14760000</v>
      </c>
      <c r="AC25" s="287">
        <f>H25+M25+R25+W25+AB25</f>
        <v>23193000</v>
      </c>
    </row>
    <row r="26" spans="1:29" x14ac:dyDescent="0.2">
      <c r="A26" s="789"/>
      <c r="B26" s="765"/>
      <c r="C26" s="207" t="str">
        <f>C$5</f>
        <v>Europe</v>
      </c>
      <c r="D26" s="221">
        <f>D5*Parameters!$F$8*Parameters!$K$32</f>
        <v>0</v>
      </c>
      <c r="E26" s="222">
        <f>(E5*Parameters!$F$8*Parameters!$K$32)+(D12*Parameters!$F$8*3)</f>
        <v>0</v>
      </c>
      <c r="F26" s="222">
        <f>(F5*Parameters!$F$8*Parameters!$K$32)+(E12*Parameters!$F$8*3)</f>
        <v>40500</v>
      </c>
      <c r="G26" s="222">
        <f>(G5*Parameters!$F$8*Parameters!$K$32)+(F12*Parameters!$F$8*3)</f>
        <v>175500</v>
      </c>
      <c r="H26" s="223">
        <f>SUM(D26:G26)</f>
        <v>216000</v>
      </c>
      <c r="I26" s="222">
        <f>(I5*Parameters!$F$8*Parameters!$K$32)+(G12*Parameters!$F$8*3)</f>
        <v>414000</v>
      </c>
      <c r="J26" s="222">
        <f>(J5*Parameters!$F$8*Parameters!$K$32)+(I12*Parameters!$F$8*3)</f>
        <v>702000</v>
      </c>
      <c r="K26" s="222">
        <f>(K5*Parameters!$F$8*Parameters!$K$32)+(J12*Parameters!$F$8*3)</f>
        <v>990000</v>
      </c>
      <c r="L26" s="222">
        <f>(L5*Parameters!$F$8*Parameters!$K$32)+(K12*Parameters!$F$8*3)</f>
        <v>1287000</v>
      </c>
      <c r="M26" s="223">
        <f>SUM(I26:L26)</f>
        <v>3393000</v>
      </c>
      <c r="N26" s="222">
        <f>(N5*Parameters!$F$8*Parameters!$K$32)+(L12*Parameters!$F$8*3)</f>
        <v>1651500</v>
      </c>
      <c r="O26" s="222">
        <f>(O5*Parameters!$F$8*Parameters!$K$32)+(N12*Parameters!$F$8*3)</f>
        <v>2074500</v>
      </c>
      <c r="P26" s="222">
        <f>(P5*Parameters!$F$8*Parameters!$K$32)+(O12*Parameters!$F$8*3)</f>
        <v>2497500</v>
      </c>
      <c r="Q26" s="222">
        <f>(Q5*Parameters!$F$8*Parameters!$K$32)+(P12*Parameters!$F$8*3)</f>
        <v>2929500</v>
      </c>
      <c r="R26" s="223">
        <f>SUM(N26:Q26)</f>
        <v>9153000</v>
      </c>
      <c r="S26" s="222">
        <f>(S5*Parameters!$F$8*Parameters!$K$32)+(Q12*Parameters!$F$8*3)</f>
        <v>3420000</v>
      </c>
      <c r="T26" s="222">
        <f>(T5*Parameters!$F$8*Parameters!$K$32)+(S12*Parameters!$F$8*3)</f>
        <v>3960000</v>
      </c>
      <c r="U26" s="222">
        <f>(U5*Parameters!$F$8*Parameters!$K$32)+(T12*Parameters!$F$8*3)</f>
        <v>4500000</v>
      </c>
      <c r="V26" s="222">
        <f>(V5*Parameters!$F$8*Parameters!$K$32)+(U12*Parameters!$F$8*3)</f>
        <v>5040000</v>
      </c>
      <c r="W26" s="223">
        <f>SUM(S26:V26)</f>
        <v>16920000</v>
      </c>
      <c r="X26" s="222">
        <f>(X5*Parameters!$F$8*Parameters!$K$32)+(V12*Parameters!$F$8*3)</f>
        <v>5521500</v>
      </c>
      <c r="Y26" s="222">
        <f>(Y5*Parameters!$F$8*Parameters!$K$32)+(X12*Parameters!$F$8*3)</f>
        <v>5944500</v>
      </c>
      <c r="Z26" s="222">
        <f>(Z5*Parameters!$F$8*Parameters!$K$32)+(Y12*Parameters!$F$8*3)</f>
        <v>6367500</v>
      </c>
      <c r="AA26" s="222">
        <f>(AA5*Parameters!$F$8*Parameters!$K$32)+(Z12*Parameters!$F$8*3)</f>
        <v>6799500</v>
      </c>
      <c r="AB26" s="223">
        <f>SUM(X26:AA26)</f>
        <v>24633000</v>
      </c>
      <c r="AC26" s="234">
        <f>H26+M26+R26+W26+AB26</f>
        <v>54315000</v>
      </c>
    </row>
    <row r="27" spans="1:29" x14ac:dyDescent="0.2">
      <c r="A27" s="789"/>
      <c r="B27" s="765"/>
      <c r="C27" s="207" t="str">
        <f>C$6</f>
        <v>Africa</v>
      </c>
      <c r="D27" s="221">
        <f>D6*Parameters!$F$9*Parameters!$K$32</f>
        <v>0</v>
      </c>
      <c r="E27" s="222">
        <f>(E6*Parameters!$F$9*Parameters!$K$32)+(D13*Parameters!$F$9*3)</f>
        <v>0</v>
      </c>
      <c r="F27" s="222">
        <f>(F6*Parameters!$F$9*Parameters!$K$32)+(E13*Parameters!$F$9*3)</f>
        <v>0</v>
      </c>
      <c r="G27" s="222">
        <f>(G6*Parameters!$F$9*Parameters!$K$32)+(F13*Parameters!$F$9*3)</f>
        <v>0</v>
      </c>
      <c r="H27" s="223">
        <f>SUM(D27:G27)</f>
        <v>0</v>
      </c>
      <c r="I27" s="222">
        <f>(I6*Parameters!$F$9*Parameters!$K$32)+(G13*Parameters!$F$9*3)</f>
        <v>99000</v>
      </c>
      <c r="J27" s="222">
        <f>(J6*Parameters!$F$9*Parameters!$K$32)+(I13*Parameters!$F$9*3)</f>
        <v>297000</v>
      </c>
      <c r="K27" s="222">
        <f>(K6*Parameters!$F$9*Parameters!$K$32)+(J13*Parameters!$F$9*3)</f>
        <v>495000</v>
      </c>
      <c r="L27" s="222">
        <f>(L6*Parameters!$F$9*Parameters!$K$32)+(K13*Parameters!$F$9*3)</f>
        <v>702000</v>
      </c>
      <c r="M27" s="223">
        <f>SUM(I27:L27)</f>
        <v>1593000</v>
      </c>
      <c r="N27" s="222">
        <f>(N6*Parameters!$F$9*Parameters!$K$32)+(L13*Parameters!$F$9*3)</f>
        <v>922500</v>
      </c>
      <c r="O27" s="222">
        <f>(O6*Parameters!$F$9*Parameters!$K$32)+(N13*Parameters!$F$9*3)</f>
        <v>1147500</v>
      </c>
      <c r="P27" s="222">
        <f>(P6*Parameters!$F$9*Parameters!$K$32)+(O13*Parameters!$F$9*3)</f>
        <v>1372500</v>
      </c>
      <c r="Q27" s="222">
        <f>(Q6*Parameters!$F$9*Parameters!$K$32)+(P13*Parameters!$F$9*3)</f>
        <v>1597500</v>
      </c>
      <c r="R27" s="223">
        <f>SUM(N27:Q27)</f>
        <v>5040000</v>
      </c>
      <c r="S27" s="222">
        <f>(S6*Parameters!$F$9*Parameters!$K$32)+(Q13*Parameters!$F$9*3)</f>
        <v>1845000</v>
      </c>
      <c r="T27" s="222">
        <f>(T6*Parameters!$F$9*Parameters!$K$32)+(S13*Parameters!$F$9*3)</f>
        <v>2115000</v>
      </c>
      <c r="U27" s="222">
        <f>(U6*Parameters!$F$9*Parameters!$K$32)+(T13*Parameters!$F$9*3)</f>
        <v>2385000</v>
      </c>
      <c r="V27" s="222">
        <f>(V6*Parameters!$F$9*Parameters!$K$32)+(U13*Parameters!$F$9*3)</f>
        <v>2655000</v>
      </c>
      <c r="W27" s="223">
        <f>SUM(S27:V27)</f>
        <v>9000000</v>
      </c>
      <c r="X27" s="222">
        <f>(X6*Parameters!$F$9*Parameters!$K$32)+(V13*Parameters!$F$9*3)</f>
        <v>2889000</v>
      </c>
      <c r="Y27" s="222">
        <f>(Y6*Parameters!$F$9*Parameters!$K$32)+(X13*Parameters!$F$9*3)</f>
        <v>3087000</v>
      </c>
      <c r="Z27" s="222">
        <f>(Z6*Parameters!$F$9*Parameters!$K$32)+(Y13*Parameters!$F$9*3)</f>
        <v>3285000</v>
      </c>
      <c r="AA27" s="222">
        <f>(AA6*Parameters!$F$9*Parameters!$K$32)+(Z13*Parameters!$F$9*3)</f>
        <v>3492000</v>
      </c>
      <c r="AB27" s="223">
        <f>SUM(X27:AA27)</f>
        <v>12753000</v>
      </c>
      <c r="AC27" s="234">
        <f>H27+M27+R27+W27+AB27</f>
        <v>28386000</v>
      </c>
    </row>
    <row r="28" spans="1:29" ht="13.2" thickBot="1" x14ac:dyDescent="0.25">
      <c r="A28" s="789"/>
      <c r="B28" s="765"/>
      <c r="C28" s="208" t="str">
        <f>C$7</f>
        <v>Asia</v>
      </c>
      <c r="D28" s="224">
        <f>D7*Parameters!$F$10*Parameters!$K$32</f>
        <v>0</v>
      </c>
      <c r="E28" s="225">
        <f>(E7*Parameters!$F$9*Parameters!$K$32)+(D14*Parameters!$F$9*3)</f>
        <v>0</v>
      </c>
      <c r="F28" s="225">
        <f>(F7*Parameters!$F$9*Parameters!$K$32)+(E14*Parameters!$F$9*3)</f>
        <v>0</v>
      </c>
      <c r="G28" s="225">
        <f>(G7*Parameters!$F$9*Parameters!$K$32)+(F14*Parameters!$F$9*3)</f>
        <v>0</v>
      </c>
      <c r="H28" s="226">
        <f>SUM(D28:G28)</f>
        <v>0</v>
      </c>
      <c r="I28" s="225">
        <f>(I7*Parameters!$F$9*Parameters!$K$32)+(G14*Parameters!$F$9*3)</f>
        <v>0</v>
      </c>
      <c r="J28" s="225">
        <f>(J7*Parameters!$F$9*Parameters!$K$32)+(I14*Parameters!$F$9*3)</f>
        <v>0</v>
      </c>
      <c r="K28" s="225">
        <f>(K7*Parameters!$F$9*Parameters!$K$32)+(J14*Parameters!$F$9*3)</f>
        <v>45000</v>
      </c>
      <c r="L28" s="225">
        <f>(L7*Parameters!$F$9*Parameters!$K$32)+(K14*Parameters!$F$9*3)</f>
        <v>135000</v>
      </c>
      <c r="M28" s="226">
        <f>SUM(I28:L28)</f>
        <v>180000</v>
      </c>
      <c r="N28" s="225">
        <f>(N7*Parameters!$F$9*Parameters!$K$32)+(L14*Parameters!$F$9*3)</f>
        <v>202500</v>
      </c>
      <c r="O28" s="225">
        <f>(O7*Parameters!$F$9*Parameters!$K$32)+(N14*Parameters!$F$9*3)</f>
        <v>247500</v>
      </c>
      <c r="P28" s="225">
        <f>(P7*Parameters!$F$9*Parameters!$K$32)+(O14*Parameters!$F$9*3)</f>
        <v>292500</v>
      </c>
      <c r="Q28" s="225">
        <f>(Q7*Parameters!$F$9*Parameters!$K$32)+(P14*Parameters!$F$9*3)</f>
        <v>337500</v>
      </c>
      <c r="R28" s="226">
        <f>SUM(N28:Q28)</f>
        <v>1080000</v>
      </c>
      <c r="S28" s="225">
        <f>(S7*Parameters!$F$9*Parameters!$K$32)+(Q14*Parameters!$F$9*3)</f>
        <v>369000</v>
      </c>
      <c r="T28" s="225">
        <f>(T7*Parameters!$F$9*Parameters!$K$32)+(S14*Parameters!$F$9*3)</f>
        <v>387000</v>
      </c>
      <c r="U28" s="225">
        <f>(U7*Parameters!$F$9*Parameters!$K$32)+(T14*Parameters!$F$9*3)</f>
        <v>405000</v>
      </c>
      <c r="V28" s="225">
        <f>(V7*Parameters!$F$9*Parameters!$K$32)+(U14*Parameters!$F$9*3)</f>
        <v>432000</v>
      </c>
      <c r="W28" s="226">
        <f>SUM(S28:V28)</f>
        <v>1593000</v>
      </c>
      <c r="X28" s="225">
        <f>(X7*Parameters!$F$9*Parameters!$K$32)+(V14*Parameters!$F$9*3)</f>
        <v>450000</v>
      </c>
      <c r="Y28" s="225">
        <f>(Y7*Parameters!$F$9*Parameters!$K$32)+(X14*Parameters!$F$9*3)</f>
        <v>450000</v>
      </c>
      <c r="Z28" s="225">
        <f>(Z7*Parameters!$F$9*Parameters!$K$32)+(Y14*Parameters!$F$9*3)</f>
        <v>450000</v>
      </c>
      <c r="AA28" s="225">
        <f>(AA7*Parameters!$F$9*Parameters!$K$32)+(Z14*Parameters!$F$9*3)</f>
        <v>450000</v>
      </c>
      <c r="AB28" s="226">
        <f>SUM(X28:AA28)</f>
        <v>1800000</v>
      </c>
      <c r="AC28" s="235">
        <f>H28+M28+R28+W28+AB28</f>
        <v>4653000</v>
      </c>
    </row>
    <row r="29" spans="1:29" ht="13.2" thickBot="1" x14ac:dyDescent="0.25">
      <c r="A29" s="789"/>
      <c r="B29" s="765"/>
      <c r="C29" s="420" t="s">
        <v>253</v>
      </c>
      <c r="D29" s="436">
        <f t="shared" ref="D29:AC29" si="12">SUM(D25:D28)</f>
        <v>0</v>
      </c>
      <c r="E29" s="437">
        <f t="shared" si="12"/>
        <v>0</v>
      </c>
      <c r="F29" s="437">
        <f t="shared" si="12"/>
        <v>40500</v>
      </c>
      <c r="G29" s="437">
        <f t="shared" si="12"/>
        <v>175500</v>
      </c>
      <c r="H29" s="438">
        <f t="shared" si="12"/>
        <v>216000</v>
      </c>
      <c r="I29" s="436">
        <f t="shared" si="12"/>
        <v>513000</v>
      </c>
      <c r="J29" s="437">
        <f t="shared" si="12"/>
        <v>999000</v>
      </c>
      <c r="K29" s="437">
        <f t="shared" si="12"/>
        <v>1530000</v>
      </c>
      <c r="L29" s="437">
        <f t="shared" si="12"/>
        <v>2124000</v>
      </c>
      <c r="M29" s="438">
        <f t="shared" si="12"/>
        <v>5166000</v>
      </c>
      <c r="N29" s="436">
        <f t="shared" si="12"/>
        <v>2889000</v>
      </c>
      <c r="O29" s="437">
        <f t="shared" si="12"/>
        <v>3807000</v>
      </c>
      <c r="P29" s="437">
        <f t="shared" si="12"/>
        <v>4725000</v>
      </c>
      <c r="Q29" s="437">
        <f t="shared" si="12"/>
        <v>5652000</v>
      </c>
      <c r="R29" s="438">
        <f t="shared" si="12"/>
        <v>17073000</v>
      </c>
      <c r="S29" s="436">
        <f t="shared" si="12"/>
        <v>6723000</v>
      </c>
      <c r="T29" s="437">
        <f t="shared" si="12"/>
        <v>7929000</v>
      </c>
      <c r="U29" s="437">
        <f t="shared" si="12"/>
        <v>9135000</v>
      </c>
      <c r="V29" s="437">
        <f t="shared" si="12"/>
        <v>10359000</v>
      </c>
      <c r="W29" s="438">
        <f t="shared" si="12"/>
        <v>34146000</v>
      </c>
      <c r="X29" s="436">
        <f t="shared" si="12"/>
        <v>11605500</v>
      </c>
      <c r="Y29" s="437">
        <f t="shared" si="12"/>
        <v>12856500</v>
      </c>
      <c r="Z29" s="437">
        <f t="shared" si="12"/>
        <v>14107500</v>
      </c>
      <c r="AA29" s="437">
        <f t="shared" si="12"/>
        <v>15376500</v>
      </c>
      <c r="AB29" s="438">
        <f t="shared" si="12"/>
        <v>53946000</v>
      </c>
      <c r="AC29" s="438">
        <f t="shared" si="12"/>
        <v>110547000</v>
      </c>
    </row>
    <row r="30" spans="1:29" ht="13.2" thickBot="1" x14ac:dyDescent="0.25">
      <c r="A30" s="789"/>
      <c r="B30" s="766"/>
      <c r="C30" s="416" t="s">
        <v>139</v>
      </c>
      <c r="D30" s="433">
        <f t="shared" ref="D30:AC30" si="13">D24+D29</f>
        <v>22500</v>
      </c>
      <c r="E30" s="434">
        <f t="shared" si="13"/>
        <v>112500</v>
      </c>
      <c r="F30" s="434">
        <f t="shared" si="13"/>
        <v>288000</v>
      </c>
      <c r="G30" s="434">
        <f t="shared" si="13"/>
        <v>558000</v>
      </c>
      <c r="H30" s="435">
        <f t="shared" si="13"/>
        <v>981000</v>
      </c>
      <c r="I30" s="433">
        <f t="shared" si="13"/>
        <v>1188000</v>
      </c>
      <c r="J30" s="434">
        <f t="shared" si="13"/>
        <v>2124000</v>
      </c>
      <c r="K30" s="434">
        <f t="shared" si="13"/>
        <v>3105000</v>
      </c>
      <c r="L30" s="434">
        <f t="shared" si="13"/>
        <v>4149000</v>
      </c>
      <c r="M30" s="435">
        <f t="shared" si="13"/>
        <v>10566000</v>
      </c>
      <c r="N30" s="433">
        <f t="shared" si="13"/>
        <v>5431500</v>
      </c>
      <c r="O30" s="434">
        <f t="shared" si="13"/>
        <v>6934500</v>
      </c>
      <c r="P30" s="434">
        <f t="shared" si="13"/>
        <v>8437500</v>
      </c>
      <c r="Q30" s="434">
        <f t="shared" si="13"/>
        <v>9949500</v>
      </c>
      <c r="R30" s="435">
        <f t="shared" si="13"/>
        <v>30753000</v>
      </c>
      <c r="S30" s="433">
        <f t="shared" si="13"/>
        <v>11614500</v>
      </c>
      <c r="T30" s="434">
        <f t="shared" si="13"/>
        <v>13423500</v>
      </c>
      <c r="U30" s="434">
        <f t="shared" si="13"/>
        <v>15232500</v>
      </c>
      <c r="V30" s="434">
        <f t="shared" si="13"/>
        <v>17068500</v>
      </c>
      <c r="W30" s="435">
        <f t="shared" si="13"/>
        <v>57339000</v>
      </c>
      <c r="X30" s="433">
        <f t="shared" si="13"/>
        <v>18994500</v>
      </c>
      <c r="Y30" s="434">
        <f t="shared" si="13"/>
        <v>20983500</v>
      </c>
      <c r="Z30" s="434">
        <f t="shared" si="13"/>
        <v>22972500</v>
      </c>
      <c r="AA30" s="434">
        <f t="shared" si="13"/>
        <v>24988500</v>
      </c>
      <c r="AB30" s="435">
        <f t="shared" si="13"/>
        <v>87939000</v>
      </c>
      <c r="AC30" s="435">
        <f t="shared" si="13"/>
        <v>187578000</v>
      </c>
    </row>
    <row r="31" spans="1:29" ht="13.05" customHeight="1" x14ac:dyDescent="0.2">
      <c r="A31" s="789"/>
      <c r="B31" s="764" t="s">
        <v>168</v>
      </c>
      <c r="C31" s="206" t="str">
        <f>C$3</f>
        <v>Liftoil</v>
      </c>
      <c r="D31" s="218">
        <f>D17*Parameters!$E$6</f>
        <v>29580</v>
      </c>
      <c r="E31" s="219">
        <f>E17*Parameters!$E$6</f>
        <v>147900</v>
      </c>
      <c r="F31" s="219">
        <f>F17*Parameters!$E$6</f>
        <v>325380</v>
      </c>
      <c r="G31" s="219">
        <f>G17*Parameters!$E$6</f>
        <v>502860</v>
      </c>
      <c r="H31" s="220">
        <f>SUM(D31:G31)</f>
        <v>1005720</v>
      </c>
      <c r="I31" s="219">
        <f>I17*Parameters!$E$6</f>
        <v>887400</v>
      </c>
      <c r="J31" s="219">
        <f>J17*Parameters!$E$6</f>
        <v>1479000</v>
      </c>
      <c r="K31" s="219">
        <f>K17*Parameters!$E$6</f>
        <v>2070600</v>
      </c>
      <c r="L31" s="219">
        <f>L17*Parameters!$E$6</f>
        <v>2662200</v>
      </c>
      <c r="M31" s="220">
        <f>SUM(I31:L31)</f>
        <v>7099200</v>
      </c>
      <c r="N31" s="219">
        <f>N17*Parameters!$E$6</f>
        <v>3342540</v>
      </c>
      <c r="O31" s="219">
        <f>O17*Parameters!$E$6</f>
        <v>4111620</v>
      </c>
      <c r="P31" s="219">
        <f>P17*Parameters!$E$6</f>
        <v>4880700</v>
      </c>
      <c r="Q31" s="219">
        <f>Q17*Parameters!$E$6</f>
        <v>5649780</v>
      </c>
      <c r="R31" s="220">
        <f>SUM(N31:Q31)</f>
        <v>17984640</v>
      </c>
      <c r="S31" s="219">
        <f>S17*Parameters!$E$6</f>
        <v>6430692</v>
      </c>
      <c r="T31" s="219">
        <f>T17*Parameters!$E$6</f>
        <v>7223436</v>
      </c>
      <c r="U31" s="219">
        <f>U17*Parameters!$E$6</f>
        <v>8016180</v>
      </c>
      <c r="V31" s="219">
        <f>V17*Parameters!$E$6</f>
        <v>8820756</v>
      </c>
      <c r="W31" s="220">
        <f>SUM(S31:V31)</f>
        <v>30491064</v>
      </c>
      <c r="X31" s="219">
        <f>X17*Parameters!$E$6</f>
        <v>9714072</v>
      </c>
      <c r="Y31" s="219">
        <f>Y17*Parameters!$E$6</f>
        <v>10684296</v>
      </c>
      <c r="Z31" s="219">
        <f>Z17*Parameters!$E$6</f>
        <v>11654520</v>
      </c>
      <c r="AA31" s="219">
        <f>AA17*Parameters!$E$6</f>
        <v>12636576</v>
      </c>
      <c r="AB31" s="220">
        <f>SUM(X31:AA31)</f>
        <v>44689464</v>
      </c>
      <c r="AC31" s="233">
        <f>H31+M31+R31+W31+AB31</f>
        <v>101270088</v>
      </c>
    </row>
    <row r="32" spans="1:29" ht="13.05" customHeight="1" x14ac:dyDescent="0.2">
      <c r="A32" s="789"/>
      <c r="B32" s="765"/>
      <c r="C32" s="275" t="str">
        <f>C$4</f>
        <v>USA Canada</v>
      </c>
      <c r="D32" s="284">
        <f>D18*Parameters!$E$7</f>
        <v>0</v>
      </c>
      <c r="E32" s="285">
        <f>E18*Parameters!$E$7</f>
        <v>0</v>
      </c>
      <c r="F32" s="285">
        <f>F18*Parameters!$E$7</f>
        <v>0</v>
      </c>
      <c r="G32" s="285">
        <f>G18*Parameters!$E$7</f>
        <v>0</v>
      </c>
      <c r="H32" s="286">
        <f>SUM(D32:G32)</f>
        <v>0</v>
      </c>
      <c r="I32" s="285">
        <f>I18*Parameters!$E$7</f>
        <v>0</v>
      </c>
      <c r="J32" s="285">
        <f>J18*Parameters!$E$7</f>
        <v>0</v>
      </c>
      <c r="K32" s="285">
        <f>K18*Parameters!$E$7</f>
        <v>0</v>
      </c>
      <c r="L32" s="285">
        <f>L18*Parameters!$E$7</f>
        <v>0</v>
      </c>
      <c r="M32" s="286">
        <f>SUM(I32:L32)</f>
        <v>0</v>
      </c>
      <c r="N32" s="285">
        <f>N18*Parameters!$E$7</f>
        <v>147900</v>
      </c>
      <c r="O32" s="285">
        <f>O18*Parameters!$E$7</f>
        <v>443700</v>
      </c>
      <c r="P32" s="285">
        <f>P18*Parameters!$E$7</f>
        <v>739500</v>
      </c>
      <c r="Q32" s="285">
        <f>Q18*Parameters!$E$7</f>
        <v>1035300</v>
      </c>
      <c r="R32" s="286">
        <f>SUM(N32:Q32)</f>
        <v>2366400</v>
      </c>
      <c r="S32" s="285">
        <f>S18*Parameters!$E$7</f>
        <v>1431672</v>
      </c>
      <c r="T32" s="285">
        <f>T18*Parameters!$E$7</f>
        <v>1928616</v>
      </c>
      <c r="U32" s="285">
        <f>U18*Parameters!$E$7</f>
        <v>2425560</v>
      </c>
      <c r="V32" s="285">
        <f>V18*Parameters!$E$7</f>
        <v>2934336</v>
      </c>
      <c r="W32" s="286">
        <f>SUM(S32:V32)</f>
        <v>8720184</v>
      </c>
      <c r="X32" s="285">
        <f>X18*Parameters!$E$7</f>
        <v>3608760</v>
      </c>
      <c r="Y32" s="285">
        <f>Y18*Parameters!$E$7</f>
        <v>4437000</v>
      </c>
      <c r="Z32" s="285">
        <f>Z18*Parameters!$E$7</f>
        <v>5265240</v>
      </c>
      <c r="AA32" s="285">
        <f>AA18*Parameters!$E$7</f>
        <v>6093480</v>
      </c>
      <c r="AB32" s="286">
        <f>SUM(X32:AA32)</f>
        <v>19404480</v>
      </c>
      <c r="AC32" s="287">
        <f>H32+M32+R32+W32+AB32</f>
        <v>30491064</v>
      </c>
    </row>
    <row r="33" spans="1:30" x14ac:dyDescent="0.2">
      <c r="A33" s="789"/>
      <c r="B33" s="765"/>
      <c r="C33" s="207" t="str">
        <f>C$5</f>
        <v>Europe</v>
      </c>
      <c r="D33" s="221">
        <f>D19*Parameters!$E$8</f>
        <v>0</v>
      </c>
      <c r="E33" s="222">
        <f>E19*Parameters!$E$8</f>
        <v>0</v>
      </c>
      <c r="F33" s="222">
        <f>F19*Parameters!$E$8</f>
        <v>53244</v>
      </c>
      <c r="G33" s="222">
        <f>G19*Parameters!$E$8</f>
        <v>230724</v>
      </c>
      <c r="H33" s="223">
        <f>SUM(D33:G33)</f>
        <v>283968</v>
      </c>
      <c r="I33" s="222">
        <f>I19*Parameters!$E$8</f>
        <v>544272</v>
      </c>
      <c r="J33" s="222">
        <f>J19*Parameters!$E$8</f>
        <v>922896</v>
      </c>
      <c r="K33" s="222">
        <f>K19*Parameters!$E$8</f>
        <v>1301520</v>
      </c>
      <c r="L33" s="222">
        <f>L19*Parameters!$E$8</f>
        <v>1691976</v>
      </c>
      <c r="M33" s="223">
        <f>SUM(I33:L33)</f>
        <v>4460664</v>
      </c>
      <c r="N33" s="222">
        <f>N19*Parameters!$E$8</f>
        <v>2171172</v>
      </c>
      <c r="O33" s="222">
        <f>O19*Parameters!$E$8</f>
        <v>2727276</v>
      </c>
      <c r="P33" s="222">
        <f>P19*Parameters!$E$8</f>
        <v>3283380</v>
      </c>
      <c r="Q33" s="222">
        <f>Q19*Parameters!$E$8</f>
        <v>3851316</v>
      </c>
      <c r="R33" s="223">
        <f>SUM(N33:Q33)</f>
        <v>12033144</v>
      </c>
      <c r="S33" s="222">
        <f>S19*Parameters!$E$8</f>
        <v>4496160</v>
      </c>
      <c r="T33" s="222">
        <f>T19*Parameters!$E$8</f>
        <v>5206080</v>
      </c>
      <c r="U33" s="222">
        <f>U19*Parameters!$E$8</f>
        <v>5916000</v>
      </c>
      <c r="V33" s="222">
        <f>V19*Parameters!$E$8</f>
        <v>6625920</v>
      </c>
      <c r="W33" s="223">
        <f>SUM(S33:V33)</f>
        <v>22244160</v>
      </c>
      <c r="X33" s="222">
        <f>X19*Parameters!$E$8</f>
        <v>7258932</v>
      </c>
      <c r="Y33" s="222">
        <f>Y19*Parameters!$E$8</f>
        <v>7815036</v>
      </c>
      <c r="Z33" s="222">
        <f>Z19*Parameters!$E$8</f>
        <v>8371140</v>
      </c>
      <c r="AA33" s="222">
        <f>AA19*Parameters!$E$8</f>
        <v>8939076</v>
      </c>
      <c r="AB33" s="223">
        <f>SUM(X33:AA33)</f>
        <v>32384184</v>
      </c>
      <c r="AC33" s="234">
        <f>H33+M33+R33+W33+AB33</f>
        <v>71406120</v>
      </c>
    </row>
    <row r="34" spans="1:30" x14ac:dyDescent="0.2">
      <c r="A34" s="789"/>
      <c r="B34" s="765"/>
      <c r="C34" s="207" t="str">
        <f>C$6</f>
        <v>Africa</v>
      </c>
      <c r="D34" s="221">
        <f>D20*Parameters!$E$9</f>
        <v>0</v>
      </c>
      <c r="E34" s="222">
        <f>E20*Parameters!$E$9</f>
        <v>0</v>
      </c>
      <c r="F34" s="222">
        <f>F20*Parameters!$E$9</f>
        <v>0</v>
      </c>
      <c r="G34" s="222">
        <f>G20*Parameters!$E$9</f>
        <v>0</v>
      </c>
      <c r="H34" s="223">
        <f>SUM(D34:G34)</f>
        <v>0</v>
      </c>
      <c r="I34" s="222">
        <f>I20*Parameters!$E$9</f>
        <v>130152</v>
      </c>
      <c r="J34" s="222">
        <f>J20*Parameters!$E$9</f>
        <v>390456</v>
      </c>
      <c r="K34" s="222">
        <f>K20*Parameters!$E$9</f>
        <v>650760</v>
      </c>
      <c r="L34" s="222">
        <f>L20*Parameters!$E$9</f>
        <v>922896</v>
      </c>
      <c r="M34" s="223">
        <f>SUM(I34:L34)</f>
        <v>2094264</v>
      </c>
      <c r="N34" s="222">
        <f>N20*Parameters!$E$9</f>
        <v>1212780</v>
      </c>
      <c r="O34" s="222">
        <f>O20*Parameters!$E$9</f>
        <v>1508580</v>
      </c>
      <c r="P34" s="222">
        <f>P20*Parameters!$E$9</f>
        <v>1804380</v>
      </c>
      <c r="Q34" s="222">
        <f>Q20*Parameters!$E$9</f>
        <v>2100180</v>
      </c>
      <c r="R34" s="223">
        <f>SUM(N34:Q34)</f>
        <v>6625920</v>
      </c>
      <c r="S34" s="222">
        <f>S20*Parameters!$E$9</f>
        <v>2425560</v>
      </c>
      <c r="T34" s="222">
        <f>T20*Parameters!$E$9</f>
        <v>2780520</v>
      </c>
      <c r="U34" s="222">
        <f>U20*Parameters!$E$9</f>
        <v>3135480</v>
      </c>
      <c r="V34" s="222">
        <f>V20*Parameters!$E$9</f>
        <v>3490440</v>
      </c>
      <c r="W34" s="223">
        <f>SUM(S34:V34)</f>
        <v>11832000</v>
      </c>
      <c r="X34" s="222">
        <f>X20*Parameters!$E$9</f>
        <v>3798072</v>
      </c>
      <c r="Y34" s="222">
        <f>Y20*Parameters!$E$9</f>
        <v>4058376</v>
      </c>
      <c r="Z34" s="222">
        <f>Z20*Parameters!$E$9</f>
        <v>4318680</v>
      </c>
      <c r="AA34" s="222">
        <f>AA20*Parameters!$E$9</f>
        <v>4590816</v>
      </c>
      <c r="AB34" s="223">
        <f>SUM(X34:AA34)</f>
        <v>16765944</v>
      </c>
      <c r="AC34" s="234">
        <f>H34+M34+R34+W34+AB34</f>
        <v>37318128</v>
      </c>
    </row>
    <row r="35" spans="1:30" ht="13.2" thickBot="1" x14ac:dyDescent="0.25">
      <c r="A35" s="789"/>
      <c r="B35" s="765"/>
      <c r="C35" s="208" t="str">
        <f>C$7</f>
        <v>Asia</v>
      </c>
      <c r="D35" s="224">
        <f>D21*Parameters!$E$10</f>
        <v>0</v>
      </c>
      <c r="E35" s="225">
        <f>E21*Parameters!$E$10</f>
        <v>0</v>
      </c>
      <c r="F35" s="225">
        <f>F21*Parameters!$E$10</f>
        <v>0</v>
      </c>
      <c r="G35" s="225">
        <f>G21*Parameters!$E$10</f>
        <v>0</v>
      </c>
      <c r="H35" s="226">
        <f>SUM(D35:G35)</f>
        <v>0</v>
      </c>
      <c r="I35" s="225">
        <f>I21*Parameters!$E$10</f>
        <v>0</v>
      </c>
      <c r="J35" s="225">
        <f>J21*Parameters!$E$10</f>
        <v>0</v>
      </c>
      <c r="K35" s="225">
        <f>K21*Parameters!$E$10</f>
        <v>59160</v>
      </c>
      <c r="L35" s="225">
        <f>L21*Parameters!$E$10</f>
        <v>177480</v>
      </c>
      <c r="M35" s="226">
        <f>SUM(I35:L35)</f>
        <v>236640</v>
      </c>
      <c r="N35" s="225">
        <f>N21*Parameters!$E$10</f>
        <v>266220</v>
      </c>
      <c r="O35" s="225">
        <f>O21*Parameters!$E$10</f>
        <v>325380</v>
      </c>
      <c r="P35" s="225">
        <f>P21*Parameters!$E$10</f>
        <v>384540</v>
      </c>
      <c r="Q35" s="225">
        <f>Q21*Parameters!$E$10</f>
        <v>443700</v>
      </c>
      <c r="R35" s="226">
        <f>SUM(N35:Q35)</f>
        <v>1419840</v>
      </c>
      <c r="S35" s="225">
        <f>S21*Parameters!$E$10</f>
        <v>485112</v>
      </c>
      <c r="T35" s="225">
        <f>T21*Parameters!$E$10</f>
        <v>508776</v>
      </c>
      <c r="U35" s="225">
        <f>U21*Parameters!$E$10</f>
        <v>532440</v>
      </c>
      <c r="V35" s="225">
        <f>V21*Parameters!$E$10</f>
        <v>567936</v>
      </c>
      <c r="W35" s="226">
        <f>SUM(S35:V35)</f>
        <v>2094264</v>
      </c>
      <c r="X35" s="225">
        <f>X21*Parameters!$E$10</f>
        <v>591600</v>
      </c>
      <c r="Y35" s="225">
        <f>Y21*Parameters!$E$10</f>
        <v>591600</v>
      </c>
      <c r="Z35" s="225">
        <f>Z21*Parameters!$E$10</f>
        <v>591600</v>
      </c>
      <c r="AA35" s="225">
        <f>AA21*Parameters!$E$10</f>
        <v>591600</v>
      </c>
      <c r="AB35" s="226">
        <f>SUM(X35:AA35)</f>
        <v>2366400</v>
      </c>
      <c r="AC35" s="235">
        <f>H35+M35+R35+W35+AB35</f>
        <v>6117144</v>
      </c>
    </row>
    <row r="36" spans="1:30" ht="13.2" thickBot="1" x14ac:dyDescent="0.25">
      <c r="A36" s="789"/>
      <c r="B36" s="765"/>
      <c r="C36" s="420" t="s">
        <v>253</v>
      </c>
      <c r="D36" s="436">
        <f t="shared" ref="D36:AC36" si="14">SUM(D32:D35)</f>
        <v>0</v>
      </c>
      <c r="E36" s="437">
        <f t="shared" si="14"/>
        <v>0</v>
      </c>
      <c r="F36" s="437">
        <f t="shared" si="14"/>
        <v>53244</v>
      </c>
      <c r="G36" s="437">
        <f t="shared" si="14"/>
        <v>230724</v>
      </c>
      <c r="H36" s="438">
        <f t="shared" si="14"/>
        <v>283968</v>
      </c>
      <c r="I36" s="436">
        <f t="shared" si="14"/>
        <v>674424</v>
      </c>
      <c r="J36" s="437">
        <f t="shared" si="14"/>
        <v>1313352</v>
      </c>
      <c r="K36" s="437">
        <f t="shared" si="14"/>
        <v>2011440</v>
      </c>
      <c r="L36" s="437">
        <f t="shared" si="14"/>
        <v>2792352</v>
      </c>
      <c r="M36" s="438">
        <f t="shared" si="14"/>
        <v>6791568</v>
      </c>
      <c r="N36" s="436">
        <f t="shared" si="14"/>
        <v>3798072</v>
      </c>
      <c r="O36" s="437">
        <f t="shared" si="14"/>
        <v>5004936</v>
      </c>
      <c r="P36" s="437">
        <f t="shared" si="14"/>
        <v>6211800</v>
      </c>
      <c r="Q36" s="437">
        <f t="shared" si="14"/>
        <v>7430496</v>
      </c>
      <c r="R36" s="438">
        <f t="shared" si="14"/>
        <v>22445304</v>
      </c>
      <c r="S36" s="436">
        <f t="shared" si="14"/>
        <v>8838504</v>
      </c>
      <c r="T36" s="437">
        <f t="shared" si="14"/>
        <v>10423992</v>
      </c>
      <c r="U36" s="437">
        <f t="shared" si="14"/>
        <v>12009480</v>
      </c>
      <c r="V36" s="437">
        <f t="shared" si="14"/>
        <v>13618632</v>
      </c>
      <c r="W36" s="438">
        <f t="shared" si="14"/>
        <v>44890608</v>
      </c>
      <c r="X36" s="436">
        <f t="shared" si="14"/>
        <v>15257364</v>
      </c>
      <c r="Y36" s="437">
        <f t="shared" si="14"/>
        <v>16902012</v>
      </c>
      <c r="Z36" s="437">
        <f t="shared" si="14"/>
        <v>18546660</v>
      </c>
      <c r="AA36" s="437">
        <f t="shared" si="14"/>
        <v>20214972</v>
      </c>
      <c r="AB36" s="438">
        <f t="shared" si="14"/>
        <v>70921008</v>
      </c>
      <c r="AC36" s="438">
        <f t="shared" si="14"/>
        <v>145332456</v>
      </c>
    </row>
    <row r="37" spans="1:30" ht="13.2" thickBot="1" x14ac:dyDescent="0.25">
      <c r="A37" s="789"/>
      <c r="B37" s="766"/>
      <c r="C37" s="416" t="s">
        <v>139</v>
      </c>
      <c r="D37" s="433">
        <f t="shared" ref="D37:AC37" si="15">D31+D36</f>
        <v>29580</v>
      </c>
      <c r="E37" s="434">
        <f t="shared" si="15"/>
        <v>147900</v>
      </c>
      <c r="F37" s="434">
        <f t="shared" si="15"/>
        <v>378624</v>
      </c>
      <c r="G37" s="434">
        <f t="shared" si="15"/>
        <v>733584</v>
      </c>
      <c r="H37" s="435">
        <f t="shared" si="15"/>
        <v>1289688</v>
      </c>
      <c r="I37" s="433">
        <f t="shared" si="15"/>
        <v>1561824</v>
      </c>
      <c r="J37" s="434">
        <f t="shared" si="15"/>
        <v>2792352</v>
      </c>
      <c r="K37" s="434">
        <f t="shared" si="15"/>
        <v>4082040</v>
      </c>
      <c r="L37" s="434">
        <f t="shared" si="15"/>
        <v>5454552</v>
      </c>
      <c r="M37" s="435">
        <f t="shared" si="15"/>
        <v>13890768</v>
      </c>
      <c r="N37" s="433">
        <f t="shared" si="15"/>
        <v>7140612</v>
      </c>
      <c r="O37" s="434">
        <f t="shared" si="15"/>
        <v>9116556</v>
      </c>
      <c r="P37" s="434">
        <f t="shared" si="15"/>
        <v>11092500</v>
      </c>
      <c r="Q37" s="434">
        <f t="shared" si="15"/>
        <v>13080276</v>
      </c>
      <c r="R37" s="435">
        <f t="shared" si="15"/>
        <v>40429944</v>
      </c>
      <c r="S37" s="433">
        <f t="shared" si="15"/>
        <v>15269196</v>
      </c>
      <c r="T37" s="434">
        <f t="shared" si="15"/>
        <v>17647428</v>
      </c>
      <c r="U37" s="434">
        <f t="shared" si="15"/>
        <v>20025660</v>
      </c>
      <c r="V37" s="434">
        <f t="shared" si="15"/>
        <v>22439388</v>
      </c>
      <c r="W37" s="435">
        <f t="shared" si="15"/>
        <v>75381672</v>
      </c>
      <c r="X37" s="433">
        <f t="shared" si="15"/>
        <v>24971436</v>
      </c>
      <c r="Y37" s="434">
        <f t="shared" si="15"/>
        <v>27586308</v>
      </c>
      <c r="Z37" s="434">
        <f t="shared" si="15"/>
        <v>30201180</v>
      </c>
      <c r="AA37" s="434">
        <f t="shared" si="15"/>
        <v>32851548</v>
      </c>
      <c r="AB37" s="435">
        <f t="shared" si="15"/>
        <v>115610472</v>
      </c>
      <c r="AC37" s="435">
        <f t="shared" si="15"/>
        <v>246602544</v>
      </c>
      <c r="AD37"/>
    </row>
    <row r="38" spans="1:30" x14ac:dyDescent="0.2">
      <c r="A38" s="789"/>
      <c r="B38" s="764" t="s">
        <v>287</v>
      </c>
      <c r="C38" s="206" t="str">
        <f>C$3</f>
        <v>Liftoil</v>
      </c>
      <c r="D38" s="218">
        <f>D3*Parameters!$G6*Parameters!$H6</f>
        <v>45000</v>
      </c>
      <c r="E38" s="219">
        <f>E3*Parameters!$G6*Parameters!$H6</f>
        <v>135000</v>
      </c>
      <c r="F38" s="219">
        <f>F3*Parameters!$G6*Parameters!$H6</f>
        <v>135000</v>
      </c>
      <c r="G38" s="219">
        <f>G3*Parameters!$G6*Parameters!$H6</f>
        <v>135000</v>
      </c>
      <c r="H38" s="220">
        <f>SUM(D38:G38)</f>
        <v>450000</v>
      </c>
      <c r="I38" s="218">
        <f>I3*Parameters!$G6*Parameters!$H6</f>
        <v>450000</v>
      </c>
      <c r="J38" s="219">
        <f>J3*Parameters!$G6*Parameters!$H6</f>
        <v>450000</v>
      </c>
      <c r="K38" s="219">
        <f>K3*Parameters!$G6*Parameters!$H6</f>
        <v>450000</v>
      </c>
      <c r="L38" s="219">
        <f>L3*Parameters!$G6*Parameters!$H6</f>
        <v>450000</v>
      </c>
      <c r="M38" s="220">
        <f>SUM(I38:L38)</f>
        <v>1800000</v>
      </c>
      <c r="N38" s="218">
        <f>N3*Parameters!$G6*Parameters!$H6</f>
        <v>585000</v>
      </c>
      <c r="O38" s="219">
        <f>O3*Parameters!$G6*Parameters!$H6</f>
        <v>585000</v>
      </c>
      <c r="P38" s="219">
        <f>P3*Parameters!$G6*Parameters!$H6</f>
        <v>585000</v>
      </c>
      <c r="Q38" s="219">
        <f>Q3*Parameters!$G6*Parameters!$H6</f>
        <v>585000</v>
      </c>
      <c r="R38" s="220">
        <f>SUM(N38:Q38)</f>
        <v>2340000</v>
      </c>
      <c r="S38" s="218">
        <f>S3*Parameters!$G6*Parameters!$H6</f>
        <v>603000</v>
      </c>
      <c r="T38" s="219">
        <f>T3*Parameters!$G6*Parameters!$H6</f>
        <v>603000</v>
      </c>
      <c r="U38" s="219">
        <f>U3*Parameters!$G6*Parameters!$H6</f>
        <v>603000</v>
      </c>
      <c r="V38" s="219">
        <f>V3*Parameters!$G6*Parameters!$H6</f>
        <v>621000</v>
      </c>
      <c r="W38" s="220">
        <f>SUM(S38:V38)</f>
        <v>2430000</v>
      </c>
      <c r="X38" s="218">
        <f>X3*Parameters!$G6*Parameters!$H6</f>
        <v>738000</v>
      </c>
      <c r="Y38" s="219">
        <f>Y3*Parameters!$G6*Parameters!$H6</f>
        <v>738000</v>
      </c>
      <c r="Z38" s="219">
        <f>Z3*Parameters!$G6*Parameters!$H6</f>
        <v>738000</v>
      </c>
      <c r="AA38" s="219">
        <f>AA3*Parameters!$G6*Parameters!$H6</f>
        <v>756000</v>
      </c>
      <c r="AB38" s="220">
        <f>SUM(X38:AA38)</f>
        <v>2970000</v>
      </c>
      <c r="AC38" s="233">
        <f>H38+M38+R38+W38+AB38</f>
        <v>9990000</v>
      </c>
    </row>
    <row r="39" spans="1:30" x14ac:dyDescent="0.2">
      <c r="A39" s="789"/>
      <c r="B39" s="765"/>
      <c r="C39" s="275" t="str">
        <f>C$4</f>
        <v>USA Canada</v>
      </c>
      <c r="D39" s="284">
        <f>D4*Parameters!$G7*Parameters!$H7</f>
        <v>0</v>
      </c>
      <c r="E39" s="285">
        <f>E4*Parameters!$G7*Parameters!$H7</f>
        <v>0</v>
      </c>
      <c r="F39" s="285">
        <f>F4*Parameters!$G7*Parameters!$H7</f>
        <v>0</v>
      </c>
      <c r="G39" s="285">
        <f>G4*Parameters!$G7*Parameters!$H7</f>
        <v>0</v>
      </c>
      <c r="H39" s="286">
        <f>SUM(D39:G39)</f>
        <v>0</v>
      </c>
      <c r="I39" s="284">
        <f>I4*Parameters!$G7*Parameters!$H7</f>
        <v>0</v>
      </c>
      <c r="J39" s="285">
        <f>J4*Parameters!$G7*Parameters!$H7</f>
        <v>0</v>
      </c>
      <c r="K39" s="285">
        <f>K4*Parameters!$G7*Parameters!$H7</f>
        <v>0</v>
      </c>
      <c r="L39" s="285">
        <f>L4*Parameters!$G7*Parameters!$H7</f>
        <v>0</v>
      </c>
      <c r="M39" s="286">
        <f>SUM(I39:L39)</f>
        <v>0</v>
      </c>
      <c r="N39" s="284">
        <f>N4*Parameters!$G7*Parameters!$H7</f>
        <v>225000</v>
      </c>
      <c r="O39" s="285">
        <f>O4*Parameters!$G7*Parameters!$H7</f>
        <v>225000</v>
      </c>
      <c r="P39" s="285">
        <f>P4*Parameters!$G7*Parameters!$H7</f>
        <v>225000</v>
      </c>
      <c r="Q39" s="285">
        <f>Q4*Parameters!$G7*Parameters!$H7</f>
        <v>225000</v>
      </c>
      <c r="R39" s="286">
        <f>SUM(N39:Q39)</f>
        <v>900000</v>
      </c>
      <c r="S39" s="284">
        <f>S4*Parameters!$G7*Parameters!$H7</f>
        <v>378000</v>
      </c>
      <c r="T39" s="285">
        <f>T4*Parameters!$G7*Parameters!$H7</f>
        <v>378000</v>
      </c>
      <c r="U39" s="285">
        <f>U4*Parameters!$G7*Parameters!$H7</f>
        <v>378000</v>
      </c>
      <c r="V39" s="285">
        <f>V4*Parameters!$G7*Parameters!$H7</f>
        <v>396000</v>
      </c>
      <c r="W39" s="286">
        <f>SUM(S39:V39)</f>
        <v>1530000</v>
      </c>
      <c r="X39" s="284">
        <f>X4*Parameters!$G7*Parameters!$H7</f>
        <v>630000</v>
      </c>
      <c r="Y39" s="285">
        <f>Y4*Parameters!$G7*Parameters!$H7</f>
        <v>630000</v>
      </c>
      <c r="Z39" s="285">
        <f>Z4*Parameters!$G7*Parameters!$H7</f>
        <v>630000</v>
      </c>
      <c r="AA39" s="285">
        <f>AA4*Parameters!$G7*Parameters!$H7</f>
        <v>630000</v>
      </c>
      <c r="AB39" s="286">
        <f>SUM(X39:AA39)</f>
        <v>2520000</v>
      </c>
      <c r="AC39" s="287">
        <f>H39+M39+R39+W39+AB39</f>
        <v>4950000</v>
      </c>
    </row>
    <row r="40" spans="1:30" x14ac:dyDescent="0.2">
      <c r="A40" s="789"/>
      <c r="B40" s="765"/>
      <c r="C40" s="207" t="str">
        <f>C$5</f>
        <v>Europe</v>
      </c>
      <c r="D40" s="221">
        <f>D5*Parameters!$G8*Parameters!$H8</f>
        <v>0</v>
      </c>
      <c r="E40" s="222">
        <f>E5*Parameters!$G8*Parameters!$H8</f>
        <v>0</v>
      </c>
      <c r="F40" s="222">
        <f>F5*Parameters!$G8*Parameters!$H8</f>
        <v>81000</v>
      </c>
      <c r="G40" s="222">
        <f>G5*Parameters!$G8*Parameters!$H8</f>
        <v>189000</v>
      </c>
      <c r="H40" s="223">
        <f>SUM(D40:G40)</f>
        <v>270000</v>
      </c>
      <c r="I40" s="221">
        <f>I5*Parameters!$G8*Parameters!$H8</f>
        <v>288000</v>
      </c>
      <c r="J40" s="222">
        <f>J5*Parameters!$G8*Parameters!$H8</f>
        <v>288000</v>
      </c>
      <c r="K40" s="222">
        <f>K5*Parameters!$G8*Parameters!$H8</f>
        <v>288000</v>
      </c>
      <c r="L40" s="222">
        <f>L5*Parameters!$G8*Parameters!$H8</f>
        <v>306000</v>
      </c>
      <c r="M40" s="223">
        <f>SUM(I40:L40)</f>
        <v>1170000</v>
      </c>
      <c r="N40" s="221">
        <f>N5*Parameters!$G8*Parameters!$H8</f>
        <v>423000</v>
      </c>
      <c r="O40" s="222">
        <f>O5*Parameters!$G8*Parameters!$H8</f>
        <v>423000</v>
      </c>
      <c r="P40" s="222">
        <f>P5*Parameters!$G8*Parameters!$H8</f>
        <v>423000</v>
      </c>
      <c r="Q40" s="222">
        <f>Q5*Parameters!$G8*Parameters!$H8</f>
        <v>441000</v>
      </c>
      <c r="R40" s="223">
        <f>SUM(N40:Q40)</f>
        <v>1710000</v>
      </c>
      <c r="S40" s="221">
        <f>S5*Parameters!$G8*Parameters!$H8</f>
        <v>540000</v>
      </c>
      <c r="T40" s="222">
        <f>T5*Parameters!$G8*Parameters!$H8</f>
        <v>540000</v>
      </c>
      <c r="U40" s="222">
        <f>U5*Parameters!$G8*Parameters!$H8</f>
        <v>540000</v>
      </c>
      <c r="V40" s="222">
        <f>V5*Parameters!$G8*Parameters!$H8</f>
        <v>540000</v>
      </c>
      <c r="W40" s="223">
        <f>SUM(S40:V40)</f>
        <v>2160000</v>
      </c>
      <c r="X40" s="221">
        <f>X5*Parameters!$G8*Parameters!$H8</f>
        <v>423000</v>
      </c>
      <c r="Y40" s="222">
        <f>Y5*Parameters!$G8*Parameters!$H8</f>
        <v>423000</v>
      </c>
      <c r="Z40" s="222">
        <f>Z5*Parameters!$G8*Parameters!$H8</f>
        <v>423000</v>
      </c>
      <c r="AA40" s="222">
        <f>AA5*Parameters!$G8*Parameters!$H8</f>
        <v>441000</v>
      </c>
      <c r="AB40" s="223">
        <f>SUM(X40:AA40)</f>
        <v>1710000</v>
      </c>
      <c r="AC40" s="234">
        <f>H40+M40+R40+W40+AB40</f>
        <v>7020000</v>
      </c>
    </row>
    <row r="41" spans="1:30" x14ac:dyDescent="0.2">
      <c r="A41" s="789"/>
      <c r="B41" s="765"/>
      <c r="C41" s="207" t="str">
        <f>C$6</f>
        <v>Africa</v>
      </c>
      <c r="D41" s="221">
        <f>D6*Parameters!$G9*Parameters!$H9</f>
        <v>0</v>
      </c>
      <c r="E41" s="222">
        <f>E6*Parameters!$G9*Parameters!$H9</f>
        <v>0</v>
      </c>
      <c r="F41" s="222">
        <f>F6*Parameters!$G9*Parameters!$H9</f>
        <v>0</v>
      </c>
      <c r="G41" s="222">
        <f>G6*Parameters!$G9*Parameters!$H9</f>
        <v>0</v>
      </c>
      <c r="H41" s="223">
        <f>SUM(D41:G41)</f>
        <v>0</v>
      </c>
      <c r="I41" s="221">
        <f>I6*Parameters!$G9*Parameters!$H9</f>
        <v>198000</v>
      </c>
      <c r="J41" s="222">
        <f>J6*Parameters!$G9*Parameters!$H9</f>
        <v>198000</v>
      </c>
      <c r="K41" s="222">
        <f>K6*Parameters!$G9*Parameters!$H9</f>
        <v>198000</v>
      </c>
      <c r="L41" s="222">
        <f>L6*Parameters!$G9*Parameters!$H9</f>
        <v>216000</v>
      </c>
      <c r="M41" s="223">
        <f>SUM(I41:L41)</f>
        <v>810000</v>
      </c>
      <c r="N41" s="221">
        <f>N6*Parameters!$G9*Parameters!$H9</f>
        <v>225000</v>
      </c>
      <c r="O41" s="222">
        <f>O6*Parameters!$G9*Parameters!$H9</f>
        <v>225000</v>
      </c>
      <c r="P41" s="222">
        <f>P6*Parameters!$G9*Parameters!$H9</f>
        <v>225000</v>
      </c>
      <c r="Q41" s="222">
        <f>Q6*Parameters!$G9*Parameters!$H9</f>
        <v>225000</v>
      </c>
      <c r="R41" s="223">
        <f>SUM(N41:Q41)</f>
        <v>900000</v>
      </c>
      <c r="S41" s="221">
        <f>S6*Parameters!$G9*Parameters!$H9</f>
        <v>270000</v>
      </c>
      <c r="T41" s="222">
        <f>T6*Parameters!$G9*Parameters!$H9</f>
        <v>270000</v>
      </c>
      <c r="U41" s="222">
        <f>U6*Parameters!$G9*Parameters!$H9</f>
        <v>270000</v>
      </c>
      <c r="V41" s="222">
        <f>V6*Parameters!$G9*Parameters!$H9</f>
        <v>270000</v>
      </c>
      <c r="W41" s="223">
        <f>SUM(S41:V41)</f>
        <v>1080000</v>
      </c>
      <c r="X41" s="221">
        <f>X6*Parameters!$G9*Parameters!$H9</f>
        <v>198000</v>
      </c>
      <c r="Y41" s="222">
        <f>Y6*Parameters!$G9*Parameters!$H9</f>
        <v>198000</v>
      </c>
      <c r="Z41" s="222">
        <f>Z6*Parameters!$G9*Parameters!$H9</f>
        <v>198000</v>
      </c>
      <c r="AA41" s="222">
        <f>AA6*Parameters!$G9*Parameters!$H9</f>
        <v>216000</v>
      </c>
      <c r="AB41" s="223">
        <f>SUM(X41:AA41)</f>
        <v>810000</v>
      </c>
      <c r="AC41" s="234">
        <f>H41+M41+R41+W41+AB41</f>
        <v>3600000</v>
      </c>
    </row>
    <row r="42" spans="1:30" ht="13.2" thickBot="1" x14ac:dyDescent="0.25">
      <c r="A42" s="789"/>
      <c r="B42" s="765"/>
      <c r="C42" s="208" t="str">
        <f>C$7</f>
        <v>Asia</v>
      </c>
      <c r="D42" s="224">
        <f>D7*Parameters!$G10*Parameters!$H10</f>
        <v>0</v>
      </c>
      <c r="E42" s="225">
        <f>E7*Parameters!$G10*Parameters!$H10</f>
        <v>0</v>
      </c>
      <c r="F42" s="225">
        <f>F7*Parameters!$G10*Parameters!$H10</f>
        <v>0</v>
      </c>
      <c r="G42" s="225">
        <f>G7*Parameters!$G10*Parameters!$H10</f>
        <v>0</v>
      </c>
      <c r="H42" s="226">
        <f>SUM(D42:G42)</f>
        <v>0</v>
      </c>
      <c r="I42" s="224">
        <f>I7*Parameters!$G10*Parameters!$H10</f>
        <v>0</v>
      </c>
      <c r="J42" s="225">
        <f>J7*Parameters!$G10*Parameters!$H10</f>
        <v>0</v>
      </c>
      <c r="K42" s="225">
        <f>K7*Parameters!$G10*Parameters!$H10</f>
        <v>90000</v>
      </c>
      <c r="L42" s="225">
        <f>L7*Parameters!$G10*Parameters!$H10</f>
        <v>90000</v>
      </c>
      <c r="M42" s="226">
        <f>SUM(I42:L42)</f>
        <v>180000</v>
      </c>
      <c r="N42" s="224">
        <f>N7*Parameters!$G10*Parameters!$H10</f>
        <v>45000</v>
      </c>
      <c r="O42" s="225">
        <f>O7*Parameters!$G10*Parameters!$H10</f>
        <v>45000</v>
      </c>
      <c r="P42" s="225">
        <f>P7*Parameters!$G10*Parameters!$H10</f>
        <v>45000</v>
      </c>
      <c r="Q42" s="225">
        <f>Q7*Parameters!$G10*Parameters!$H10</f>
        <v>45000</v>
      </c>
      <c r="R42" s="226">
        <f>SUM(N42:Q42)</f>
        <v>180000</v>
      </c>
      <c r="S42" s="224">
        <f>S7*Parameters!$G10*Parameters!$H10</f>
        <v>18000</v>
      </c>
      <c r="T42" s="225">
        <f>T7*Parameters!$G10*Parameters!$H10</f>
        <v>18000</v>
      </c>
      <c r="U42" s="225">
        <f>U7*Parameters!$G10*Parameters!$H10</f>
        <v>18000</v>
      </c>
      <c r="V42" s="225">
        <f>V7*Parameters!$G10*Parameters!$H10</f>
        <v>36000</v>
      </c>
      <c r="W42" s="226">
        <f>SUM(S42:V42)</f>
        <v>90000</v>
      </c>
      <c r="X42" s="224">
        <f>X7*Parameters!$G10*Parameters!$H10</f>
        <v>0</v>
      </c>
      <c r="Y42" s="225">
        <f>Y7*Parameters!$G10*Parameters!$H10</f>
        <v>0</v>
      </c>
      <c r="Z42" s="225">
        <f>Z7*Parameters!$G10*Parameters!$H10</f>
        <v>0</v>
      </c>
      <c r="AA42" s="225">
        <f>AA7*Parameters!$G10*Parameters!$H10</f>
        <v>0</v>
      </c>
      <c r="AB42" s="226">
        <f>SUM(X42:AA42)</f>
        <v>0</v>
      </c>
      <c r="AC42" s="235">
        <f>H42+M42+R42+W42+AB42</f>
        <v>450000</v>
      </c>
    </row>
    <row r="43" spans="1:30" ht="13.2" thickBot="1" x14ac:dyDescent="0.25">
      <c r="A43" s="789"/>
      <c r="B43" s="765"/>
      <c r="C43" s="420" t="s">
        <v>253</v>
      </c>
      <c r="D43" s="436">
        <f t="shared" ref="D43:AC43" si="16">SUM(D39:D42)</f>
        <v>0</v>
      </c>
      <c r="E43" s="437">
        <f t="shared" si="16"/>
        <v>0</v>
      </c>
      <c r="F43" s="437">
        <f t="shared" si="16"/>
        <v>81000</v>
      </c>
      <c r="G43" s="437">
        <f t="shared" si="16"/>
        <v>189000</v>
      </c>
      <c r="H43" s="438">
        <f t="shared" si="16"/>
        <v>270000</v>
      </c>
      <c r="I43" s="436">
        <f t="shared" si="16"/>
        <v>486000</v>
      </c>
      <c r="J43" s="437">
        <f t="shared" si="16"/>
        <v>486000</v>
      </c>
      <c r="K43" s="437">
        <f t="shared" si="16"/>
        <v>576000</v>
      </c>
      <c r="L43" s="437">
        <f t="shared" si="16"/>
        <v>612000</v>
      </c>
      <c r="M43" s="438">
        <f t="shared" si="16"/>
        <v>2160000</v>
      </c>
      <c r="N43" s="436">
        <f t="shared" si="16"/>
        <v>918000</v>
      </c>
      <c r="O43" s="437">
        <f t="shared" si="16"/>
        <v>918000</v>
      </c>
      <c r="P43" s="437">
        <f t="shared" si="16"/>
        <v>918000</v>
      </c>
      <c r="Q43" s="437">
        <f t="shared" si="16"/>
        <v>936000</v>
      </c>
      <c r="R43" s="438">
        <f t="shared" si="16"/>
        <v>3690000</v>
      </c>
      <c r="S43" s="436">
        <f t="shared" si="16"/>
        <v>1206000</v>
      </c>
      <c r="T43" s="437">
        <f t="shared" si="16"/>
        <v>1206000</v>
      </c>
      <c r="U43" s="437">
        <f t="shared" si="16"/>
        <v>1206000</v>
      </c>
      <c r="V43" s="437">
        <f t="shared" si="16"/>
        <v>1242000</v>
      </c>
      <c r="W43" s="438">
        <f t="shared" si="16"/>
        <v>4860000</v>
      </c>
      <c r="X43" s="436">
        <f t="shared" si="16"/>
        <v>1251000</v>
      </c>
      <c r="Y43" s="437">
        <f t="shared" si="16"/>
        <v>1251000</v>
      </c>
      <c r="Z43" s="437">
        <f t="shared" si="16"/>
        <v>1251000</v>
      </c>
      <c r="AA43" s="437">
        <f t="shared" si="16"/>
        <v>1287000</v>
      </c>
      <c r="AB43" s="438">
        <f t="shared" si="16"/>
        <v>5040000</v>
      </c>
      <c r="AC43" s="438">
        <f t="shared" si="16"/>
        <v>16020000</v>
      </c>
    </row>
    <row r="44" spans="1:30" ht="13.2" thickBot="1" x14ac:dyDescent="0.25">
      <c r="A44" s="789"/>
      <c r="B44" s="766"/>
      <c r="C44" s="416" t="s">
        <v>139</v>
      </c>
      <c r="D44" s="433">
        <f t="shared" ref="D44:AC44" si="17">D38+D43</f>
        <v>45000</v>
      </c>
      <c r="E44" s="434">
        <f t="shared" si="17"/>
        <v>135000</v>
      </c>
      <c r="F44" s="434">
        <f t="shared" si="17"/>
        <v>216000</v>
      </c>
      <c r="G44" s="434">
        <f t="shared" si="17"/>
        <v>324000</v>
      </c>
      <c r="H44" s="435">
        <f t="shared" si="17"/>
        <v>720000</v>
      </c>
      <c r="I44" s="433">
        <f t="shared" si="17"/>
        <v>936000</v>
      </c>
      <c r="J44" s="434">
        <f t="shared" si="17"/>
        <v>936000</v>
      </c>
      <c r="K44" s="434">
        <f t="shared" si="17"/>
        <v>1026000</v>
      </c>
      <c r="L44" s="434">
        <f t="shared" si="17"/>
        <v>1062000</v>
      </c>
      <c r="M44" s="435">
        <f t="shared" si="17"/>
        <v>3960000</v>
      </c>
      <c r="N44" s="433">
        <f t="shared" si="17"/>
        <v>1503000</v>
      </c>
      <c r="O44" s="434">
        <f t="shared" si="17"/>
        <v>1503000</v>
      </c>
      <c r="P44" s="434">
        <f t="shared" si="17"/>
        <v>1503000</v>
      </c>
      <c r="Q44" s="434">
        <f t="shared" si="17"/>
        <v>1521000</v>
      </c>
      <c r="R44" s="435">
        <f t="shared" si="17"/>
        <v>6030000</v>
      </c>
      <c r="S44" s="433">
        <f t="shared" si="17"/>
        <v>1809000</v>
      </c>
      <c r="T44" s="434">
        <f t="shared" si="17"/>
        <v>1809000</v>
      </c>
      <c r="U44" s="434">
        <f t="shared" si="17"/>
        <v>1809000</v>
      </c>
      <c r="V44" s="434">
        <f t="shared" si="17"/>
        <v>1863000</v>
      </c>
      <c r="W44" s="435">
        <f t="shared" si="17"/>
        <v>7290000</v>
      </c>
      <c r="X44" s="433">
        <f t="shared" si="17"/>
        <v>1989000</v>
      </c>
      <c r="Y44" s="434">
        <f t="shared" si="17"/>
        <v>1989000</v>
      </c>
      <c r="Z44" s="434">
        <f t="shared" si="17"/>
        <v>1989000</v>
      </c>
      <c r="AA44" s="434">
        <f t="shared" si="17"/>
        <v>2043000</v>
      </c>
      <c r="AB44" s="435">
        <f t="shared" si="17"/>
        <v>8010000</v>
      </c>
      <c r="AC44" s="435">
        <f t="shared" si="17"/>
        <v>26010000</v>
      </c>
    </row>
    <row r="45" spans="1:30" ht="13.05" customHeight="1" x14ac:dyDescent="0.2">
      <c r="A45" s="789"/>
      <c r="B45" s="764" t="s">
        <v>334</v>
      </c>
      <c r="C45" s="206" t="str">
        <f>C$3</f>
        <v>Liftoil</v>
      </c>
      <c r="D45" s="218">
        <f t="shared" ref="D45:G49" si="18">MAX(D24,D31)</f>
        <v>29580</v>
      </c>
      <c r="E45" s="219">
        <f t="shared" si="18"/>
        <v>147900</v>
      </c>
      <c r="F45" s="219">
        <f t="shared" si="18"/>
        <v>325380</v>
      </c>
      <c r="G45" s="219">
        <f t="shared" si="18"/>
        <v>502860</v>
      </c>
      <c r="H45" s="220">
        <f>SUM(D45:G45)</f>
        <v>1005720</v>
      </c>
      <c r="I45" s="219">
        <f t="shared" ref="I45:L49" si="19">MAX(I24,I31)</f>
        <v>887400</v>
      </c>
      <c r="J45" s="219">
        <f t="shared" si="19"/>
        <v>1479000</v>
      </c>
      <c r="K45" s="219">
        <f t="shared" si="19"/>
        <v>2070600</v>
      </c>
      <c r="L45" s="219">
        <f t="shared" si="19"/>
        <v>2662200</v>
      </c>
      <c r="M45" s="220">
        <f>SUM(I45:L45)</f>
        <v>7099200</v>
      </c>
      <c r="N45" s="219">
        <f t="shared" ref="N45:Q49" si="20">MAX(N24,N31)</f>
        <v>3342540</v>
      </c>
      <c r="O45" s="219">
        <f t="shared" si="20"/>
        <v>4111620</v>
      </c>
      <c r="P45" s="219">
        <f t="shared" si="20"/>
        <v>4880700</v>
      </c>
      <c r="Q45" s="219">
        <f t="shared" si="20"/>
        <v>5649780</v>
      </c>
      <c r="R45" s="220">
        <f>SUM(N45:Q45)</f>
        <v>17984640</v>
      </c>
      <c r="S45" s="219">
        <f t="shared" ref="S45:V49" si="21">MAX(S24,S31)</f>
        <v>6430692</v>
      </c>
      <c r="T45" s="219">
        <f t="shared" si="21"/>
        <v>7223436</v>
      </c>
      <c r="U45" s="219">
        <f t="shared" si="21"/>
        <v>8016180</v>
      </c>
      <c r="V45" s="219">
        <f t="shared" si="21"/>
        <v>8820756</v>
      </c>
      <c r="W45" s="220">
        <f>SUM(S45:V45)</f>
        <v>30491064</v>
      </c>
      <c r="X45" s="219">
        <f t="shared" ref="X45:AA49" si="22">MAX(X24,X31)</f>
        <v>9714072</v>
      </c>
      <c r="Y45" s="219">
        <f t="shared" si="22"/>
        <v>10684296</v>
      </c>
      <c r="Z45" s="219">
        <f t="shared" si="22"/>
        <v>11654520</v>
      </c>
      <c r="AA45" s="219">
        <f t="shared" si="22"/>
        <v>12636576</v>
      </c>
      <c r="AB45" s="220">
        <f>SUM(X45:AA45)</f>
        <v>44689464</v>
      </c>
      <c r="AC45" s="233">
        <f>H45+M45+R45+W45+AB45</f>
        <v>101270088</v>
      </c>
      <c r="AD45"/>
    </row>
    <row r="46" spans="1:30" ht="13.05" customHeight="1" x14ac:dyDescent="0.2">
      <c r="A46" s="789"/>
      <c r="B46" s="765"/>
      <c r="C46" s="275" t="str">
        <f>C$4</f>
        <v>USA Canada</v>
      </c>
      <c r="D46" s="284">
        <f t="shared" si="18"/>
        <v>0</v>
      </c>
      <c r="E46" s="285">
        <f t="shared" si="18"/>
        <v>0</v>
      </c>
      <c r="F46" s="285">
        <f t="shared" si="18"/>
        <v>0</v>
      </c>
      <c r="G46" s="285">
        <f t="shared" si="18"/>
        <v>0</v>
      </c>
      <c r="H46" s="286">
        <f>SUM(D46:G46)</f>
        <v>0</v>
      </c>
      <c r="I46" s="285">
        <f t="shared" si="19"/>
        <v>0</v>
      </c>
      <c r="J46" s="285">
        <f t="shared" si="19"/>
        <v>0</v>
      </c>
      <c r="K46" s="285">
        <f t="shared" si="19"/>
        <v>0</v>
      </c>
      <c r="L46" s="285">
        <f t="shared" si="19"/>
        <v>0</v>
      </c>
      <c r="M46" s="286">
        <f>SUM(I46:L46)</f>
        <v>0</v>
      </c>
      <c r="N46" s="285">
        <f t="shared" si="20"/>
        <v>147900</v>
      </c>
      <c r="O46" s="285">
        <f t="shared" si="20"/>
        <v>443700</v>
      </c>
      <c r="P46" s="285">
        <f t="shared" si="20"/>
        <v>739500</v>
      </c>
      <c r="Q46" s="285">
        <f t="shared" si="20"/>
        <v>1035300</v>
      </c>
      <c r="R46" s="286">
        <f>SUM(N46:Q46)</f>
        <v>2366400</v>
      </c>
      <c r="S46" s="285">
        <f t="shared" si="21"/>
        <v>1431672</v>
      </c>
      <c r="T46" s="285">
        <f t="shared" si="21"/>
        <v>1928616</v>
      </c>
      <c r="U46" s="285">
        <f t="shared" si="21"/>
        <v>2425560</v>
      </c>
      <c r="V46" s="285">
        <f t="shared" si="21"/>
        <v>2934336</v>
      </c>
      <c r="W46" s="286">
        <f>SUM(S46:V46)</f>
        <v>8720184</v>
      </c>
      <c r="X46" s="285">
        <f t="shared" si="22"/>
        <v>3608760</v>
      </c>
      <c r="Y46" s="285">
        <f t="shared" si="22"/>
        <v>4437000</v>
      </c>
      <c r="Z46" s="285">
        <f t="shared" si="22"/>
        <v>5265240</v>
      </c>
      <c r="AA46" s="285">
        <f t="shared" si="22"/>
        <v>6093480</v>
      </c>
      <c r="AB46" s="286">
        <f>SUM(X46:AA46)</f>
        <v>19404480</v>
      </c>
      <c r="AC46" s="287">
        <f>H46+M46+R46+W46+AB46</f>
        <v>30491064</v>
      </c>
      <c r="AD46"/>
    </row>
    <row r="47" spans="1:30" x14ac:dyDescent="0.2">
      <c r="A47" s="789"/>
      <c r="B47" s="765"/>
      <c r="C47" s="207" t="str">
        <f>C$5</f>
        <v>Europe</v>
      </c>
      <c r="D47" s="221">
        <f t="shared" si="18"/>
        <v>0</v>
      </c>
      <c r="E47" s="222">
        <f t="shared" si="18"/>
        <v>0</v>
      </c>
      <c r="F47" s="222">
        <f t="shared" si="18"/>
        <v>53244</v>
      </c>
      <c r="G47" s="222">
        <f t="shared" si="18"/>
        <v>230724</v>
      </c>
      <c r="H47" s="223">
        <f>SUM(D47:G47)</f>
        <v>283968</v>
      </c>
      <c r="I47" s="222">
        <f t="shared" si="19"/>
        <v>544272</v>
      </c>
      <c r="J47" s="222">
        <f t="shared" si="19"/>
        <v>922896</v>
      </c>
      <c r="K47" s="222">
        <f t="shared" si="19"/>
        <v>1301520</v>
      </c>
      <c r="L47" s="222">
        <f t="shared" si="19"/>
        <v>1691976</v>
      </c>
      <c r="M47" s="223">
        <f>SUM(I47:L47)</f>
        <v>4460664</v>
      </c>
      <c r="N47" s="222">
        <f t="shared" si="20"/>
        <v>2171172</v>
      </c>
      <c r="O47" s="222">
        <f t="shared" si="20"/>
        <v>2727276</v>
      </c>
      <c r="P47" s="222">
        <f t="shared" si="20"/>
        <v>3283380</v>
      </c>
      <c r="Q47" s="222">
        <f t="shared" si="20"/>
        <v>3851316</v>
      </c>
      <c r="R47" s="223">
        <f>SUM(N47:Q47)</f>
        <v>12033144</v>
      </c>
      <c r="S47" s="222">
        <f t="shared" si="21"/>
        <v>4496160</v>
      </c>
      <c r="T47" s="222">
        <f t="shared" si="21"/>
        <v>5206080</v>
      </c>
      <c r="U47" s="222">
        <f t="shared" si="21"/>
        <v>5916000</v>
      </c>
      <c r="V47" s="222">
        <f t="shared" si="21"/>
        <v>6625920</v>
      </c>
      <c r="W47" s="223">
        <f>SUM(S47:V47)</f>
        <v>22244160</v>
      </c>
      <c r="X47" s="222">
        <f t="shared" si="22"/>
        <v>7258932</v>
      </c>
      <c r="Y47" s="222">
        <f t="shared" si="22"/>
        <v>7815036</v>
      </c>
      <c r="Z47" s="222">
        <f t="shared" si="22"/>
        <v>8371140</v>
      </c>
      <c r="AA47" s="222">
        <f t="shared" si="22"/>
        <v>8939076</v>
      </c>
      <c r="AB47" s="223">
        <f>SUM(X47:AA47)</f>
        <v>32384184</v>
      </c>
      <c r="AC47" s="234">
        <f>H47+M47+R47+W47+AB47</f>
        <v>71406120</v>
      </c>
      <c r="AD47"/>
    </row>
    <row r="48" spans="1:30" x14ac:dyDescent="0.2">
      <c r="A48" s="789"/>
      <c r="B48" s="765"/>
      <c r="C48" s="207" t="str">
        <f>C$6</f>
        <v>Africa</v>
      </c>
      <c r="D48" s="221">
        <f t="shared" si="18"/>
        <v>0</v>
      </c>
      <c r="E48" s="222">
        <f t="shared" si="18"/>
        <v>0</v>
      </c>
      <c r="F48" s="222">
        <f t="shared" si="18"/>
        <v>0</v>
      </c>
      <c r="G48" s="222">
        <f t="shared" si="18"/>
        <v>0</v>
      </c>
      <c r="H48" s="223">
        <f>SUM(D48:G48)</f>
        <v>0</v>
      </c>
      <c r="I48" s="222">
        <f t="shared" si="19"/>
        <v>130152</v>
      </c>
      <c r="J48" s="222">
        <f t="shared" si="19"/>
        <v>390456</v>
      </c>
      <c r="K48" s="222">
        <f t="shared" si="19"/>
        <v>650760</v>
      </c>
      <c r="L48" s="222">
        <f t="shared" si="19"/>
        <v>922896</v>
      </c>
      <c r="M48" s="223">
        <f>SUM(I48:L48)</f>
        <v>2094264</v>
      </c>
      <c r="N48" s="222">
        <f t="shared" si="20"/>
        <v>1212780</v>
      </c>
      <c r="O48" s="222">
        <f t="shared" si="20"/>
        <v>1508580</v>
      </c>
      <c r="P48" s="222">
        <f t="shared" si="20"/>
        <v>1804380</v>
      </c>
      <c r="Q48" s="222">
        <f t="shared" si="20"/>
        <v>2100180</v>
      </c>
      <c r="R48" s="223">
        <f>SUM(N48:Q48)</f>
        <v>6625920</v>
      </c>
      <c r="S48" s="222">
        <f t="shared" si="21"/>
        <v>2425560</v>
      </c>
      <c r="T48" s="222">
        <f t="shared" si="21"/>
        <v>2780520</v>
      </c>
      <c r="U48" s="222">
        <f t="shared" si="21"/>
        <v>3135480</v>
      </c>
      <c r="V48" s="222">
        <f t="shared" si="21"/>
        <v>3490440</v>
      </c>
      <c r="W48" s="223">
        <f>SUM(S48:V48)</f>
        <v>11832000</v>
      </c>
      <c r="X48" s="222">
        <f t="shared" si="22"/>
        <v>3798072</v>
      </c>
      <c r="Y48" s="222">
        <f t="shared" si="22"/>
        <v>4058376</v>
      </c>
      <c r="Z48" s="222">
        <f t="shared" si="22"/>
        <v>4318680</v>
      </c>
      <c r="AA48" s="222">
        <f t="shared" si="22"/>
        <v>4590816</v>
      </c>
      <c r="AB48" s="223">
        <f>SUM(X48:AA48)</f>
        <v>16765944</v>
      </c>
      <c r="AC48" s="234">
        <f>H48+M48+R48+W48+AB48</f>
        <v>37318128</v>
      </c>
      <c r="AD48"/>
    </row>
    <row r="49" spans="1:30" ht="13.2" thickBot="1" x14ac:dyDescent="0.25">
      <c r="A49" s="789"/>
      <c r="B49" s="765"/>
      <c r="C49" s="208" t="str">
        <f>C$7</f>
        <v>Asia</v>
      </c>
      <c r="D49" s="224">
        <f t="shared" si="18"/>
        <v>0</v>
      </c>
      <c r="E49" s="225">
        <f t="shared" si="18"/>
        <v>0</v>
      </c>
      <c r="F49" s="225">
        <f t="shared" si="18"/>
        <v>0</v>
      </c>
      <c r="G49" s="225">
        <f t="shared" si="18"/>
        <v>0</v>
      </c>
      <c r="H49" s="226">
        <f>SUM(D49:G49)</f>
        <v>0</v>
      </c>
      <c r="I49" s="225">
        <f t="shared" si="19"/>
        <v>0</v>
      </c>
      <c r="J49" s="225">
        <f t="shared" si="19"/>
        <v>0</v>
      </c>
      <c r="K49" s="225">
        <f t="shared" si="19"/>
        <v>59160</v>
      </c>
      <c r="L49" s="225">
        <f t="shared" si="19"/>
        <v>177480</v>
      </c>
      <c r="M49" s="226">
        <f>SUM(I49:L49)</f>
        <v>236640</v>
      </c>
      <c r="N49" s="225">
        <f t="shared" si="20"/>
        <v>266220</v>
      </c>
      <c r="O49" s="225">
        <f t="shared" si="20"/>
        <v>325380</v>
      </c>
      <c r="P49" s="225">
        <f t="shared" si="20"/>
        <v>384540</v>
      </c>
      <c r="Q49" s="225">
        <f t="shared" si="20"/>
        <v>443700</v>
      </c>
      <c r="R49" s="226">
        <f>SUM(N49:Q49)</f>
        <v>1419840</v>
      </c>
      <c r="S49" s="225">
        <f t="shared" si="21"/>
        <v>485112</v>
      </c>
      <c r="T49" s="225">
        <f t="shared" si="21"/>
        <v>508776</v>
      </c>
      <c r="U49" s="225">
        <f t="shared" si="21"/>
        <v>532440</v>
      </c>
      <c r="V49" s="225">
        <f t="shared" si="21"/>
        <v>567936</v>
      </c>
      <c r="W49" s="226">
        <f>SUM(S49:V49)</f>
        <v>2094264</v>
      </c>
      <c r="X49" s="225">
        <f t="shared" si="22"/>
        <v>591600</v>
      </c>
      <c r="Y49" s="225">
        <f t="shared" si="22"/>
        <v>591600</v>
      </c>
      <c r="Z49" s="225">
        <f t="shared" si="22"/>
        <v>591600</v>
      </c>
      <c r="AA49" s="225">
        <f t="shared" si="22"/>
        <v>591600</v>
      </c>
      <c r="AB49" s="226">
        <f>SUM(X49:AA49)</f>
        <v>2366400</v>
      </c>
      <c r="AC49" s="235">
        <f>H49+M49+R49+W49+AB49</f>
        <v>6117144</v>
      </c>
      <c r="AD49"/>
    </row>
    <row r="50" spans="1:30" ht="13.2" thickBot="1" x14ac:dyDescent="0.25">
      <c r="A50" s="789"/>
      <c r="B50" s="765"/>
      <c r="C50" s="420" t="s">
        <v>253</v>
      </c>
      <c r="D50" s="436">
        <f t="shared" ref="D50:AC50" si="23">SUM(D46:D49)</f>
        <v>0</v>
      </c>
      <c r="E50" s="437">
        <f t="shared" si="23"/>
        <v>0</v>
      </c>
      <c r="F50" s="437">
        <f t="shared" si="23"/>
        <v>53244</v>
      </c>
      <c r="G50" s="437">
        <f t="shared" si="23"/>
        <v>230724</v>
      </c>
      <c r="H50" s="438">
        <f t="shared" si="23"/>
        <v>283968</v>
      </c>
      <c r="I50" s="436">
        <f t="shared" si="23"/>
        <v>674424</v>
      </c>
      <c r="J50" s="437">
        <f t="shared" si="23"/>
        <v>1313352</v>
      </c>
      <c r="K50" s="437">
        <f t="shared" si="23"/>
        <v>2011440</v>
      </c>
      <c r="L50" s="437">
        <f t="shared" si="23"/>
        <v>2792352</v>
      </c>
      <c r="M50" s="438">
        <f t="shared" si="23"/>
        <v>6791568</v>
      </c>
      <c r="N50" s="436">
        <f t="shared" si="23"/>
        <v>3798072</v>
      </c>
      <c r="O50" s="437">
        <f t="shared" si="23"/>
        <v>5004936</v>
      </c>
      <c r="P50" s="437">
        <f t="shared" si="23"/>
        <v>6211800</v>
      </c>
      <c r="Q50" s="437">
        <f t="shared" si="23"/>
        <v>7430496</v>
      </c>
      <c r="R50" s="438">
        <f t="shared" si="23"/>
        <v>22445304</v>
      </c>
      <c r="S50" s="436">
        <f t="shared" si="23"/>
        <v>8838504</v>
      </c>
      <c r="T50" s="437">
        <f t="shared" si="23"/>
        <v>10423992</v>
      </c>
      <c r="U50" s="437">
        <f t="shared" si="23"/>
        <v>12009480</v>
      </c>
      <c r="V50" s="437">
        <f t="shared" si="23"/>
        <v>13618632</v>
      </c>
      <c r="W50" s="438">
        <f t="shared" si="23"/>
        <v>44890608</v>
      </c>
      <c r="X50" s="436">
        <f t="shared" si="23"/>
        <v>15257364</v>
      </c>
      <c r="Y50" s="437">
        <f t="shared" si="23"/>
        <v>16902012</v>
      </c>
      <c r="Z50" s="437">
        <f t="shared" si="23"/>
        <v>18546660</v>
      </c>
      <c r="AA50" s="437">
        <f t="shared" si="23"/>
        <v>20214972</v>
      </c>
      <c r="AB50" s="438">
        <f t="shared" si="23"/>
        <v>70921008</v>
      </c>
      <c r="AC50" s="438">
        <f t="shared" si="23"/>
        <v>145332456</v>
      </c>
      <c r="AD50"/>
    </row>
    <row r="51" spans="1:30" ht="13.2" thickBot="1" x14ac:dyDescent="0.25">
      <c r="A51" s="789"/>
      <c r="B51" s="766"/>
      <c r="C51" s="416" t="s">
        <v>139</v>
      </c>
      <c r="D51" s="433">
        <f t="shared" ref="D51:AC51" si="24">D45+D50</f>
        <v>29580</v>
      </c>
      <c r="E51" s="434">
        <f t="shared" si="24"/>
        <v>147900</v>
      </c>
      <c r="F51" s="434">
        <f t="shared" si="24"/>
        <v>378624</v>
      </c>
      <c r="G51" s="434">
        <f t="shared" si="24"/>
        <v>733584</v>
      </c>
      <c r="H51" s="435">
        <f t="shared" si="24"/>
        <v>1289688</v>
      </c>
      <c r="I51" s="433">
        <f t="shared" si="24"/>
        <v>1561824</v>
      </c>
      <c r="J51" s="434">
        <f t="shared" si="24"/>
        <v>2792352</v>
      </c>
      <c r="K51" s="434">
        <f t="shared" si="24"/>
        <v>4082040</v>
      </c>
      <c r="L51" s="434">
        <f t="shared" si="24"/>
        <v>5454552</v>
      </c>
      <c r="M51" s="435">
        <f t="shared" si="24"/>
        <v>13890768</v>
      </c>
      <c r="N51" s="433">
        <f t="shared" si="24"/>
        <v>7140612</v>
      </c>
      <c r="O51" s="434">
        <f t="shared" si="24"/>
        <v>9116556</v>
      </c>
      <c r="P51" s="434">
        <f t="shared" si="24"/>
        <v>11092500</v>
      </c>
      <c r="Q51" s="434">
        <f t="shared" si="24"/>
        <v>13080276</v>
      </c>
      <c r="R51" s="435">
        <f t="shared" si="24"/>
        <v>40429944</v>
      </c>
      <c r="S51" s="433">
        <f t="shared" si="24"/>
        <v>15269196</v>
      </c>
      <c r="T51" s="434">
        <f t="shared" si="24"/>
        <v>17647428</v>
      </c>
      <c r="U51" s="434">
        <f t="shared" si="24"/>
        <v>20025660</v>
      </c>
      <c r="V51" s="434">
        <f t="shared" si="24"/>
        <v>22439388</v>
      </c>
      <c r="W51" s="435">
        <f t="shared" si="24"/>
        <v>75381672</v>
      </c>
      <c r="X51" s="433">
        <f t="shared" si="24"/>
        <v>24971436</v>
      </c>
      <c r="Y51" s="434">
        <f t="shared" si="24"/>
        <v>27586308</v>
      </c>
      <c r="Z51" s="434">
        <f t="shared" si="24"/>
        <v>30201180</v>
      </c>
      <c r="AA51" s="434">
        <f t="shared" si="24"/>
        <v>32851548</v>
      </c>
      <c r="AB51" s="435">
        <f t="shared" si="24"/>
        <v>115610472</v>
      </c>
      <c r="AC51" s="435">
        <f t="shared" si="24"/>
        <v>246602544</v>
      </c>
      <c r="AD51"/>
    </row>
    <row r="52" spans="1:30" x14ac:dyDescent="0.2">
      <c r="A52" s="789"/>
      <c r="B52" s="764" t="s">
        <v>467</v>
      </c>
      <c r="C52" s="206" t="str">
        <f>C$3</f>
        <v>Liftoil</v>
      </c>
      <c r="D52" s="376"/>
      <c r="E52" s="219">
        <f>D10*Parameters!$C14*(Parameters!$B14/4)</f>
        <v>1875</v>
      </c>
      <c r="F52" s="219">
        <f>E10*Parameters!$C14*(Parameters!$B14/4)</f>
        <v>7500</v>
      </c>
      <c r="G52" s="219">
        <f>F10*Parameters!$C14*(Parameters!$B14/4)</f>
        <v>13125</v>
      </c>
      <c r="H52" s="220">
        <f>SUM(D52:G52)</f>
        <v>22500</v>
      </c>
      <c r="I52" s="218">
        <f>G10*Parameters!$C14*(Parameters!$B14/4)</f>
        <v>18750</v>
      </c>
      <c r="J52" s="219">
        <f>I10*Parameters!$C14*(Parameters!$B14/4)</f>
        <v>37500</v>
      </c>
      <c r="K52" s="219">
        <f>J10*Parameters!$C14*(Parameters!$B14/4)</f>
        <v>56250</v>
      </c>
      <c r="L52" s="219">
        <f>K10*Parameters!$C14*(Parameters!$B14/4)</f>
        <v>75000</v>
      </c>
      <c r="M52" s="220">
        <f>SUM(I52:L52)</f>
        <v>187500</v>
      </c>
      <c r="N52" s="218">
        <f>L10*Parameters!$C14*(Parameters!$B14/4)</f>
        <v>93750</v>
      </c>
      <c r="O52" s="219">
        <f>N10*Parameters!$C14*(Parameters!$B14/4)</f>
        <v>118125</v>
      </c>
      <c r="P52" s="219">
        <f>O10*Parameters!$C14*(Parameters!$B14/4)</f>
        <v>142500</v>
      </c>
      <c r="Q52" s="219">
        <f>P10*Parameters!$C14*(Parameters!$B14/4)</f>
        <v>166875</v>
      </c>
      <c r="R52" s="220">
        <f>SUM(N52:Q52)</f>
        <v>521250</v>
      </c>
      <c r="S52" s="218">
        <f>Q10*Parameters!$C14*(Parameters!$B14/4)</f>
        <v>191250</v>
      </c>
      <c r="T52" s="219">
        <f>S10*Parameters!$C14*(Parameters!$B14/4)</f>
        <v>216375</v>
      </c>
      <c r="U52" s="219">
        <f>T10*Parameters!$C14*(Parameters!$B14/4)</f>
        <v>241500</v>
      </c>
      <c r="V52" s="219">
        <f>U10*Parameters!$C14*(Parameters!$B14/4)</f>
        <v>266625</v>
      </c>
      <c r="W52" s="220">
        <f>SUM(S52:V52)</f>
        <v>915750</v>
      </c>
      <c r="X52" s="218">
        <f>V10*Parameters!$C14*(Parameters!$B14/4)</f>
        <v>292500</v>
      </c>
      <c r="Y52" s="219">
        <f>X10*Parameters!$C14*(Parameters!$B14/4)</f>
        <v>323250</v>
      </c>
      <c r="Z52" s="219">
        <f>Y10*Parameters!$C14*(Parameters!$B14/4)</f>
        <v>354000</v>
      </c>
      <c r="AA52" s="219">
        <f>Z10*Parameters!$C14*(Parameters!$B14/4)</f>
        <v>384750</v>
      </c>
      <c r="AB52" s="220">
        <f>SUM(X52:AA52)</f>
        <v>1354500</v>
      </c>
      <c r="AC52" s="233">
        <f>H52+M52+R52+W52+AB52</f>
        <v>3001500</v>
      </c>
      <c r="AD52"/>
    </row>
    <row r="53" spans="1:30" x14ac:dyDescent="0.2">
      <c r="A53" s="789"/>
      <c r="B53" s="765"/>
      <c r="C53" s="275" t="str">
        <f>C$4</f>
        <v>USA Canada</v>
      </c>
      <c r="D53" s="486"/>
      <c r="E53" s="285">
        <f>D11*Parameters!$C15*(Parameters!$B15/4)</f>
        <v>0</v>
      </c>
      <c r="F53" s="285">
        <f>E11*Parameters!$C15*(Parameters!$B15/4)</f>
        <v>0</v>
      </c>
      <c r="G53" s="285">
        <f>F11*Parameters!$C15*(Parameters!$B15/4)</f>
        <v>0</v>
      </c>
      <c r="H53" s="286">
        <f>SUM(D53:G53)</f>
        <v>0</v>
      </c>
      <c r="I53" s="284">
        <f>G11*Parameters!$C15*(Parameters!$B15/4)</f>
        <v>0</v>
      </c>
      <c r="J53" s="285">
        <f>I11*Parameters!$C15*(Parameters!$B15/4)</f>
        <v>0</v>
      </c>
      <c r="K53" s="285">
        <f>J11*Parameters!$C15*(Parameters!$B15/4)</f>
        <v>0</v>
      </c>
      <c r="L53" s="285">
        <f>K11*Parameters!$C15*(Parameters!$B15/4)</f>
        <v>0</v>
      </c>
      <c r="M53" s="286">
        <f>SUM(I53:L53)</f>
        <v>0</v>
      </c>
      <c r="N53" s="284">
        <f>L11*Parameters!$C15*(Parameters!$B15/4)</f>
        <v>0</v>
      </c>
      <c r="O53" s="285">
        <f>N11*Parameters!$C15*(Parameters!$B15/4)</f>
        <v>9375</v>
      </c>
      <c r="P53" s="285">
        <f>O11*Parameters!$C15*(Parameters!$B15/4)</f>
        <v>18750</v>
      </c>
      <c r="Q53" s="285">
        <f>P11*Parameters!$C15*(Parameters!$B15/4)</f>
        <v>28125</v>
      </c>
      <c r="R53" s="286">
        <f>SUM(N53:Q53)</f>
        <v>56250</v>
      </c>
      <c r="S53" s="284">
        <f>Q11*Parameters!$C15*(Parameters!$B15/4)</f>
        <v>37500</v>
      </c>
      <c r="T53" s="285">
        <f>S11*Parameters!$C15*(Parameters!$B15/4)</f>
        <v>53250</v>
      </c>
      <c r="U53" s="285">
        <f>T11*Parameters!$C15*(Parameters!$B15/4)</f>
        <v>69000</v>
      </c>
      <c r="V53" s="285">
        <f>U11*Parameters!$C15*(Parameters!$B15/4)</f>
        <v>84750</v>
      </c>
      <c r="W53" s="286">
        <f>SUM(S53:V53)</f>
        <v>244500</v>
      </c>
      <c r="X53" s="284">
        <f>V11*Parameters!$C15*(Parameters!$B15/4)</f>
        <v>101250</v>
      </c>
      <c r="Y53" s="285">
        <f>X11*Parameters!$C15*(Parameters!$B15/4)</f>
        <v>127500</v>
      </c>
      <c r="Z53" s="285">
        <f>Y11*Parameters!$C15*(Parameters!$B15/4)</f>
        <v>153750</v>
      </c>
      <c r="AA53" s="285">
        <f>Z11*Parameters!$C15*(Parameters!$B15/4)</f>
        <v>180000</v>
      </c>
      <c r="AB53" s="286">
        <f>SUM(X53:AA53)</f>
        <v>562500</v>
      </c>
      <c r="AC53" s="287">
        <f>H53+M53+R53+W53+AB53</f>
        <v>863250</v>
      </c>
      <c r="AD53"/>
    </row>
    <row r="54" spans="1:30" x14ac:dyDescent="0.2">
      <c r="A54" s="789"/>
      <c r="B54" s="765"/>
      <c r="C54" s="207" t="str">
        <f>C$5</f>
        <v>Europe</v>
      </c>
      <c r="D54" s="378"/>
      <c r="E54" s="222">
        <f>D12*Parameters!$C16*(Parameters!$B16/4)</f>
        <v>0</v>
      </c>
      <c r="F54" s="222">
        <f>E12*Parameters!$C16*(Parameters!$B16/4)</f>
        <v>0</v>
      </c>
      <c r="G54" s="222">
        <f>F12*Parameters!$C16*(Parameters!$B16/4)</f>
        <v>3375</v>
      </c>
      <c r="H54" s="223">
        <f>SUM(D54:G54)</f>
        <v>3375</v>
      </c>
      <c r="I54" s="221">
        <f>G12*Parameters!$C16*(Parameters!$B16/4)</f>
        <v>11250</v>
      </c>
      <c r="J54" s="222">
        <f>I12*Parameters!$C16*(Parameters!$B16/4)</f>
        <v>23250</v>
      </c>
      <c r="K54" s="222">
        <f>J12*Parameters!$C16*(Parameters!$B16/4)</f>
        <v>35250</v>
      </c>
      <c r="L54" s="222">
        <f>K12*Parameters!$C16*(Parameters!$B16/4)</f>
        <v>47250</v>
      </c>
      <c r="M54" s="223">
        <f>SUM(I54:L54)</f>
        <v>117000</v>
      </c>
      <c r="N54" s="221">
        <f>L12*Parameters!$C16*(Parameters!$B16/4)</f>
        <v>60000</v>
      </c>
      <c r="O54" s="222">
        <f>N12*Parameters!$C16*(Parameters!$B16/4)</f>
        <v>77625</v>
      </c>
      <c r="P54" s="222">
        <f>O12*Parameters!$C16*(Parameters!$B16/4)</f>
        <v>95250</v>
      </c>
      <c r="Q54" s="222">
        <f>P12*Parameters!$C16*(Parameters!$B16/4)</f>
        <v>112875</v>
      </c>
      <c r="R54" s="223">
        <f>SUM(N54:Q54)</f>
        <v>345750</v>
      </c>
      <c r="S54" s="221">
        <f>Q12*Parameters!$C16*(Parameters!$B16/4)</f>
        <v>131250</v>
      </c>
      <c r="T54" s="222">
        <f>S12*Parameters!$C16*(Parameters!$B16/4)</f>
        <v>153750</v>
      </c>
      <c r="U54" s="222">
        <f>T12*Parameters!$C16*(Parameters!$B16/4)</f>
        <v>176250</v>
      </c>
      <c r="V54" s="222">
        <f>U12*Parameters!$C16*(Parameters!$B16/4)</f>
        <v>198750</v>
      </c>
      <c r="W54" s="223">
        <f>SUM(S54:V54)</f>
        <v>660000</v>
      </c>
      <c r="X54" s="221">
        <f>V12*Parameters!$C16*(Parameters!$B16/4)</f>
        <v>221250</v>
      </c>
      <c r="Y54" s="222">
        <f>X12*Parameters!$C16*(Parameters!$B16/4)</f>
        <v>238875</v>
      </c>
      <c r="Z54" s="222">
        <f>Y12*Parameters!$C16*(Parameters!$B16/4)</f>
        <v>256500</v>
      </c>
      <c r="AA54" s="222">
        <f>Z12*Parameters!$C16*(Parameters!$B16/4)</f>
        <v>274125</v>
      </c>
      <c r="AB54" s="223">
        <f>SUM(X54:AA54)</f>
        <v>990750</v>
      </c>
      <c r="AC54" s="234">
        <f>H54+M54+R54+W54+AB54</f>
        <v>2116875</v>
      </c>
      <c r="AD54"/>
    </row>
    <row r="55" spans="1:30" x14ac:dyDescent="0.2">
      <c r="A55" s="789"/>
      <c r="B55" s="765"/>
      <c r="C55" s="207" t="str">
        <f>C$6</f>
        <v>Africa</v>
      </c>
      <c r="D55" s="378"/>
      <c r="E55" s="222">
        <f>D13*Parameters!$C17*(Parameters!$B17/4)</f>
        <v>0</v>
      </c>
      <c r="F55" s="222">
        <f>E13*Parameters!$C17*(Parameters!$B17/4)</f>
        <v>0</v>
      </c>
      <c r="G55" s="222">
        <f>F13*Parameters!$C17*(Parameters!$B17/4)</f>
        <v>0</v>
      </c>
      <c r="H55" s="223">
        <f>SUM(D55:G55)</f>
        <v>0</v>
      </c>
      <c r="I55" s="221">
        <f>G13*Parameters!$C17*(Parameters!$B17/4)</f>
        <v>0</v>
      </c>
      <c r="J55" s="222">
        <f>I13*Parameters!$C17*(Parameters!$B17/4)</f>
        <v>8250</v>
      </c>
      <c r="K55" s="222">
        <f>J13*Parameters!$C17*(Parameters!$B17/4)</f>
        <v>16500</v>
      </c>
      <c r="L55" s="222">
        <f>K13*Parameters!$C17*(Parameters!$B17/4)</f>
        <v>24750</v>
      </c>
      <c r="M55" s="223">
        <f>SUM(I55:L55)</f>
        <v>49500</v>
      </c>
      <c r="N55" s="221">
        <f>L13*Parameters!$C17*(Parameters!$B17/4)</f>
        <v>33750</v>
      </c>
      <c r="O55" s="222">
        <f>N13*Parameters!$C17*(Parameters!$B17/4)</f>
        <v>43125</v>
      </c>
      <c r="P55" s="222">
        <f>O13*Parameters!$C17*(Parameters!$B17/4)</f>
        <v>52500</v>
      </c>
      <c r="Q55" s="222">
        <f>P13*Parameters!$C17*(Parameters!$B17/4)</f>
        <v>61875</v>
      </c>
      <c r="R55" s="223">
        <f>SUM(N55:Q55)</f>
        <v>191250</v>
      </c>
      <c r="S55" s="221">
        <f>Q13*Parameters!$C17*(Parameters!$B17/4)</f>
        <v>71250</v>
      </c>
      <c r="T55" s="222">
        <f>S13*Parameters!$C17*(Parameters!$B17/4)</f>
        <v>82500</v>
      </c>
      <c r="U55" s="222">
        <f>T13*Parameters!$C17*(Parameters!$B17/4)</f>
        <v>93750</v>
      </c>
      <c r="V55" s="222">
        <f>U13*Parameters!$C17*(Parameters!$B17/4)</f>
        <v>105000</v>
      </c>
      <c r="W55" s="223">
        <f>SUM(S55:V55)</f>
        <v>352500</v>
      </c>
      <c r="X55" s="221">
        <f>V13*Parameters!$C17*(Parameters!$B17/4)</f>
        <v>116250</v>
      </c>
      <c r="Y55" s="222">
        <f>X13*Parameters!$C17*(Parameters!$B17/4)</f>
        <v>124500</v>
      </c>
      <c r="Z55" s="222">
        <f>Y13*Parameters!$C17*(Parameters!$B17/4)</f>
        <v>132750</v>
      </c>
      <c r="AA55" s="222">
        <f>Z13*Parameters!$C17*(Parameters!$B17/4)</f>
        <v>141000</v>
      </c>
      <c r="AB55" s="223">
        <f>SUM(X55:AA55)</f>
        <v>514500</v>
      </c>
      <c r="AC55" s="234">
        <f>H55+M55+R55+W55+AB55</f>
        <v>1107750</v>
      </c>
      <c r="AD55"/>
    </row>
    <row r="56" spans="1:30" ht="13.2" thickBot="1" x14ac:dyDescent="0.25">
      <c r="A56" s="789"/>
      <c r="B56" s="765"/>
      <c r="C56" s="208" t="str">
        <f>C$7</f>
        <v>Asia</v>
      </c>
      <c r="D56" s="380"/>
      <c r="E56" s="225">
        <f>D14*Parameters!$C18*(Parameters!$B18/4)</f>
        <v>0</v>
      </c>
      <c r="F56" s="225">
        <f>E14*Parameters!$C18*(Parameters!$B18/4)</f>
        <v>0</v>
      </c>
      <c r="G56" s="225">
        <f>F14*Parameters!$C18*(Parameters!$B18/4)</f>
        <v>0</v>
      </c>
      <c r="H56" s="226">
        <f>SUM(D56:G56)</f>
        <v>0</v>
      </c>
      <c r="I56" s="224">
        <f>G14*Parameters!$C18*(Parameters!$B18/4)</f>
        <v>0</v>
      </c>
      <c r="J56" s="225">
        <f>I14*Parameters!$C18*(Parameters!$B18/4)</f>
        <v>0</v>
      </c>
      <c r="K56" s="225">
        <f>J14*Parameters!$C18*(Parameters!$B18/4)</f>
        <v>0</v>
      </c>
      <c r="L56" s="225">
        <f>K14*Parameters!$C18*(Parameters!$B18/4)</f>
        <v>3750</v>
      </c>
      <c r="M56" s="226">
        <f>SUM(I56:L56)</f>
        <v>3750</v>
      </c>
      <c r="N56" s="224">
        <f>L14*Parameters!$C18*(Parameters!$B18/4)</f>
        <v>7500</v>
      </c>
      <c r="O56" s="225">
        <f>N14*Parameters!$C18*(Parameters!$B18/4)</f>
        <v>9375</v>
      </c>
      <c r="P56" s="225">
        <f>O14*Parameters!$C18*(Parameters!$B18/4)</f>
        <v>11250</v>
      </c>
      <c r="Q56" s="225">
        <f>P14*Parameters!$C18*(Parameters!$B18/4)</f>
        <v>13125</v>
      </c>
      <c r="R56" s="226">
        <f>SUM(N56:Q56)</f>
        <v>41250</v>
      </c>
      <c r="S56" s="224">
        <f>Q14*Parameters!$C18*(Parameters!$B18/4)</f>
        <v>15000</v>
      </c>
      <c r="T56" s="225">
        <f>S14*Parameters!$C18*(Parameters!$B18/4)</f>
        <v>15750</v>
      </c>
      <c r="U56" s="225">
        <f>T14*Parameters!$C18*(Parameters!$B18/4)</f>
        <v>16500</v>
      </c>
      <c r="V56" s="225">
        <f>U14*Parameters!$C18*(Parameters!$B18/4)</f>
        <v>17250</v>
      </c>
      <c r="W56" s="226">
        <f>SUM(S56:V56)</f>
        <v>64500</v>
      </c>
      <c r="X56" s="224">
        <f>V14*Parameters!$C18*(Parameters!$B18/4)</f>
        <v>18750</v>
      </c>
      <c r="Y56" s="225">
        <f>X14*Parameters!$C18*(Parameters!$B18/4)</f>
        <v>18750</v>
      </c>
      <c r="Z56" s="225">
        <f>Y14*Parameters!$C18*(Parameters!$B18/4)</f>
        <v>18750</v>
      </c>
      <c r="AA56" s="225">
        <f>Z14*Parameters!$C18*(Parameters!$B18/4)</f>
        <v>18750</v>
      </c>
      <c r="AB56" s="226">
        <f>SUM(X56:AA56)</f>
        <v>75000</v>
      </c>
      <c r="AC56" s="235">
        <f>H56+M56+R56+W56+AB56</f>
        <v>184500</v>
      </c>
      <c r="AD56"/>
    </row>
    <row r="57" spans="1:30" ht="13.2" thickBot="1" x14ac:dyDescent="0.25">
      <c r="A57" s="789"/>
      <c r="B57" s="765"/>
      <c r="C57" s="420" t="s">
        <v>253</v>
      </c>
      <c r="D57" s="487">
        <f t="shared" ref="D57:AC57" si="25">SUM(D53:D56)</f>
        <v>0</v>
      </c>
      <c r="E57" s="437">
        <f t="shared" si="25"/>
        <v>0</v>
      </c>
      <c r="F57" s="437">
        <f t="shared" si="25"/>
        <v>0</v>
      </c>
      <c r="G57" s="437">
        <f t="shared" si="25"/>
        <v>3375</v>
      </c>
      <c r="H57" s="438">
        <f t="shared" si="25"/>
        <v>3375</v>
      </c>
      <c r="I57" s="436">
        <f t="shared" si="25"/>
        <v>11250</v>
      </c>
      <c r="J57" s="437">
        <f t="shared" si="25"/>
        <v>31500</v>
      </c>
      <c r="K57" s="437">
        <f t="shared" si="25"/>
        <v>51750</v>
      </c>
      <c r="L57" s="437">
        <f t="shared" si="25"/>
        <v>75750</v>
      </c>
      <c r="M57" s="438">
        <f t="shared" si="25"/>
        <v>170250</v>
      </c>
      <c r="N57" s="436">
        <f t="shared" si="25"/>
        <v>101250</v>
      </c>
      <c r="O57" s="437">
        <f t="shared" si="25"/>
        <v>139500</v>
      </c>
      <c r="P57" s="437">
        <f t="shared" si="25"/>
        <v>177750</v>
      </c>
      <c r="Q57" s="437">
        <f t="shared" si="25"/>
        <v>216000</v>
      </c>
      <c r="R57" s="438">
        <f t="shared" si="25"/>
        <v>634500</v>
      </c>
      <c r="S57" s="436">
        <f t="shared" si="25"/>
        <v>255000</v>
      </c>
      <c r="T57" s="437">
        <f t="shared" si="25"/>
        <v>305250</v>
      </c>
      <c r="U57" s="437">
        <f t="shared" si="25"/>
        <v>355500</v>
      </c>
      <c r="V57" s="437">
        <f t="shared" si="25"/>
        <v>405750</v>
      </c>
      <c r="W57" s="438">
        <f t="shared" si="25"/>
        <v>1321500</v>
      </c>
      <c r="X57" s="436">
        <f t="shared" si="25"/>
        <v>457500</v>
      </c>
      <c r="Y57" s="437">
        <f t="shared" si="25"/>
        <v>509625</v>
      </c>
      <c r="Z57" s="437">
        <f t="shared" si="25"/>
        <v>561750</v>
      </c>
      <c r="AA57" s="437">
        <f t="shared" si="25"/>
        <v>613875</v>
      </c>
      <c r="AB57" s="438">
        <f t="shared" si="25"/>
        <v>2142750</v>
      </c>
      <c r="AC57" s="438">
        <f t="shared" si="25"/>
        <v>4272375</v>
      </c>
      <c r="AD57"/>
    </row>
    <row r="58" spans="1:30" ht="13.2" thickBot="1" x14ac:dyDescent="0.25">
      <c r="A58" s="789"/>
      <c r="B58" s="766"/>
      <c r="C58" s="416" t="s">
        <v>139</v>
      </c>
      <c r="D58" s="488">
        <f t="shared" ref="D58:AC58" si="26">D52+D57</f>
        <v>0</v>
      </c>
      <c r="E58" s="434">
        <f t="shared" si="26"/>
        <v>1875</v>
      </c>
      <c r="F58" s="434">
        <f t="shared" si="26"/>
        <v>7500</v>
      </c>
      <c r="G58" s="434">
        <f t="shared" si="26"/>
        <v>16500</v>
      </c>
      <c r="H58" s="435">
        <f t="shared" si="26"/>
        <v>25875</v>
      </c>
      <c r="I58" s="433">
        <f t="shared" si="26"/>
        <v>30000</v>
      </c>
      <c r="J58" s="434">
        <f t="shared" si="26"/>
        <v>69000</v>
      </c>
      <c r="K58" s="434">
        <f t="shared" si="26"/>
        <v>108000</v>
      </c>
      <c r="L58" s="434">
        <f t="shared" si="26"/>
        <v>150750</v>
      </c>
      <c r="M58" s="435">
        <f t="shared" si="26"/>
        <v>357750</v>
      </c>
      <c r="N58" s="433">
        <f t="shared" si="26"/>
        <v>195000</v>
      </c>
      <c r="O58" s="434">
        <f t="shared" si="26"/>
        <v>257625</v>
      </c>
      <c r="P58" s="434">
        <f t="shared" si="26"/>
        <v>320250</v>
      </c>
      <c r="Q58" s="434">
        <f t="shared" si="26"/>
        <v>382875</v>
      </c>
      <c r="R58" s="435">
        <f t="shared" si="26"/>
        <v>1155750</v>
      </c>
      <c r="S58" s="433">
        <f t="shared" si="26"/>
        <v>446250</v>
      </c>
      <c r="T58" s="434">
        <f t="shared" si="26"/>
        <v>521625</v>
      </c>
      <c r="U58" s="434">
        <f t="shared" si="26"/>
        <v>597000</v>
      </c>
      <c r="V58" s="434">
        <f t="shared" si="26"/>
        <v>672375</v>
      </c>
      <c r="W58" s="435">
        <f t="shared" si="26"/>
        <v>2237250</v>
      </c>
      <c r="X58" s="433">
        <f t="shared" si="26"/>
        <v>750000</v>
      </c>
      <c r="Y58" s="434">
        <f t="shared" si="26"/>
        <v>832875</v>
      </c>
      <c r="Z58" s="434">
        <f t="shared" si="26"/>
        <v>915750</v>
      </c>
      <c r="AA58" s="434">
        <f t="shared" si="26"/>
        <v>998625</v>
      </c>
      <c r="AB58" s="435">
        <f t="shared" si="26"/>
        <v>3497250</v>
      </c>
      <c r="AC58" s="435">
        <f t="shared" si="26"/>
        <v>7273875</v>
      </c>
      <c r="AD58"/>
    </row>
    <row r="59" spans="1:30" x14ac:dyDescent="0.2">
      <c r="A59" s="789"/>
      <c r="B59" s="764" t="s">
        <v>468</v>
      </c>
      <c r="C59" s="206" t="str">
        <f>C$3</f>
        <v>Liftoil</v>
      </c>
      <c r="D59" s="376"/>
      <c r="E59" s="219">
        <f>D10*Parameters!$G14*(Parameters!$F14/4)</f>
        <v>3750</v>
      </c>
      <c r="F59" s="219">
        <f>E10*Parameters!$G14*(Parameters!$F14/4)</f>
        <v>15000</v>
      </c>
      <c r="G59" s="219">
        <f>F10*Parameters!$G14*(Parameters!$F14/4)</f>
        <v>26250</v>
      </c>
      <c r="H59" s="220">
        <f>SUM(D59:G59)</f>
        <v>45000</v>
      </c>
      <c r="I59" s="218">
        <f>G10*Parameters!$G14*(Parameters!$F14/4)</f>
        <v>37500</v>
      </c>
      <c r="J59" s="219">
        <f>I10*Parameters!$G14*(Parameters!$F14/4)</f>
        <v>75000</v>
      </c>
      <c r="K59" s="219">
        <f>J10*Parameters!$G14*(Parameters!$F14/4)</f>
        <v>112500</v>
      </c>
      <c r="L59" s="219">
        <f>K10*Parameters!$G14*(Parameters!$F14/4)</f>
        <v>150000</v>
      </c>
      <c r="M59" s="220">
        <f>SUM(I59:L59)</f>
        <v>375000</v>
      </c>
      <c r="N59" s="218">
        <f>L10*Parameters!$G14*(Parameters!$F14/4)</f>
        <v>187500</v>
      </c>
      <c r="O59" s="219">
        <f>N10*Parameters!$G14*(Parameters!$F14/4)</f>
        <v>236250</v>
      </c>
      <c r="P59" s="219">
        <f>O10*Parameters!$G14*(Parameters!$F14/4)</f>
        <v>285000</v>
      </c>
      <c r="Q59" s="219">
        <f>P10*Parameters!$G14*(Parameters!$F14/4)</f>
        <v>333750</v>
      </c>
      <c r="R59" s="220">
        <f>SUM(N59:Q59)</f>
        <v>1042500</v>
      </c>
      <c r="S59" s="218">
        <f>Q10*Parameters!$G14*(Parameters!$F14/4)</f>
        <v>382500</v>
      </c>
      <c r="T59" s="219">
        <f>S10*Parameters!$G14*(Parameters!$F14/4)</f>
        <v>432750</v>
      </c>
      <c r="U59" s="219">
        <f>T10*Parameters!$G14*(Parameters!$F14/4)</f>
        <v>483000</v>
      </c>
      <c r="V59" s="219">
        <f>U10*Parameters!$G14*(Parameters!$F14/4)</f>
        <v>533250</v>
      </c>
      <c r="W59" s="220">
        <f>SUM(S59:V59)</f>
        <v>1831500</v>
      </c>
      <c r="X59" s="218">
        <f>V10*Parameters!$G14*(Parameters!$F14/4)</f>
        <v>585000</v>
      </c>
      <c r="Y59" s="219">
        <f>X10*Parameters!$G14*(Parameters!$F14/4)</f>
        <v>646500</v>
      </c>
      <c r="Z59" s="219">
        <f>Y10*Parameters!$G14*(Parameters!$F14/4)</f>
        <v>708000</v>
      </c>
      <c r="AA59" s="219">
        <f>Z10*Parameters!$G14*(Parameters!$F14/4)</f>
        <v>769500</v>
      </c>
      <c r="AB59" s="220">
        <f>SUM(X59:AA59)</f>
        <v>2709000</v>
      </c>
      <c r="AC59" s="233">
        <f>H59+M59+R59+W59+AB59</f>
        <v>6003000</v>
      </c>
      <c r="AD59"/>
    </row>
    <row r="60" spans="1:30" x14ac:dyDescent="0.2">
      <c r="A60" s="789"/>
      <c r="B60" s="765"/>
      <c r="C60" s="275" t="str">
        <f>C$4</f>
        <v>USA Canada</v>
      </c>
      <c r="D60" s="486"/>
      <c r="E60" s="285">
        <f>D11*Parameters!$G15*(Parameters!$F15/4)</f>
        <v>0</v>
      </c>
      <c r="F60" s="285">
        <f>E11*Parameters!$G15*(Parameters!$F15/4)</f>
        <v>0</v>
      </c>
      <c r="G60" s="285">
        <f>F11*Parameters!$G15*(Parameters!$F15/4)</f>
        <v>0</v>
      </c>
      <c r="H60" s="286">
        <f>SUM(D60:G60)</f>
        <v>0</v>
      </c>
      <c r="I60" s="284">
        <f>G11*Parameters!$G15*(Parameters!$F15/4)</f>
        <v>0</v>
      </c>
      <c r="J60" s="285">
        <f>I11*Parameters!$G15*(Parameters!$F15/4)</f>
        <v>0</v>
      </c>
      <c r="K60" s="285">
        <f>J11*Parameters!$G15*(Parameters!$F15/4)</f>
        <v>0</v>
      </c>
      <c r="L60" s="285">
        <f>K11*Parameters!$G15*(Parameters!$F15/4)</f>
        <v>0</v>
      </c>
      <c r="M60" s="286">
        <f>SUM(I60:L60)</f>
        <v>0</v>
      </c>
      <c r="N60" s="284">
        <f>L11*Parameters!$G15*(Parameters!$F15/4)</f>
        <v>0</v>
      </c>
      <c r="O60" s="285">
        <f>N11*Parameters!$G15*(Parameters!$F15/4)</f>
        <v>18750</v>
      </c>
      <c r="P60" s="285">
        <f>O11*Parameters!$G15*(Parameters!$F15/4)</f>
        <v>37500</v>
      </c>
      <c r="Q60" s="285">
        <f>P11*Parameters!$G15*(Parameters!$F15/4)</f>
        <v>56250</v>
      </c>
      <c r="R60" s="286">
        <f>SUM(N60:Q60)</f>
        <v>112500</v>
      </c>
      <c r="S60" s="284">
        <f>Q11*Parameters!$G15*(Parameters!$F15/4)</f>
        <v>75000</v>
      </c>
      <c r="T60" s="285">
        <f>S11*Parameters!$G15*(Parameters!$F15/4)</f>
        <v>106500</v>
      </c>
      <c r="U60" s="285">
        <f>T11*Parameters!$G15*(Parameters!$F15/4)</f>
        <v>138000</v>
      </c>
      <c r="V60" s="285">
        <f>U11*Parameters!$G15*(Parameters!$F15/4)</f>
        <v>169500</v>
      </c>
      <c r="W60" s="286">
        <f>SUM(S60:V60)</f>
        <v>489000</v>
      </c>
      <c r="X60" s="284">
        <f>V11*Parameters!$G15*(Parameters!$F15/4)</f>
        <v>202500</v>
      </c>
      <c r="Y60" s="285">
        <f>X11*Parameters!$G15*(Parameters!$F15/4)</f>
        <v>255000</v>
      </c>
      <c r="Z60" s="285">
        <f>Y11*Parameters!$G15*(Parameters!$F15/4)</f>
        <v>307500</v>
      </c>
      <c r="AA60" s="285">
        <f>Z11*Parameters!$G15*(Parameters!$F15/4)</f>
        <v>360000</v>
      </c>
      <c r="AB60" s="286">
        <f>SUM(X60:AA60)</f>
        <v>1125000</v>
      </c>
      <c r="AC60" s="287">
        <f>H60+M60+R60+W60+AB60</f>
        <v>1726500</v>
      </c>
      <c r="AD60"/>
    </row>
    <row r="61" spans="1:30" x14ac:dyDescent="0.2">
      <c r="A61" s="789"/>
      <c r="B61" s="765"/>
      <c r="C61" s="207" t="str">
        <f>C$5</f>
        <v>Europe</v>
      </c>
      <c r="D61" s="378"/>
      <c r="E61" s="222">
        <f>D12*Parameters!$G16*(Parameters!$F16/4)</f>
        <v>0</v>
      </c>
      <c r="F61" s="222">
        <f>E12*Parameters!$G16*(Parameters!$F16/4)</f>
        <v>0</v>
      </c>
      <c r="G61" s="222">
        <f>F12*Parameters!$G16*(Parameters!$F16/4)</f>
        <v>6750</v>
      </c>
      <c r="H61" s="223">
        <f>SUM(D61:G61)</f>
        <v>6750</v>
      </c>
      <c r="I61" s="221">
        <f>G12*Parameters!$G16*(Parameters!$F16/4)</f>
        <v>22500</v>
      </c>
      <c r="J61" s="222">
        <f>I12*Parameters!$G16*(Parameters!$F16/4)</f>
        <v>46500</v>
      </c>
      <c r="K61" s="222">
        <f>J12*Parameters!$G16*(Parameters!$F16/4)</f>
        <v>70500</v>
      </c>
      <c r="L61" s="222">
        <f>K12*Parameters!$G16*(Parameters!$F16/4)</f>
        <v>94500</v>
      </c>
      <c r="M61" s="223">
        <f>SUM(I61:L61)</f>
        <v>234000</v>
      </c>
      <c r="N61" s="221">
        <f>L12*Parameters!$G16*(Parameters!$F16/4)</f>
        <v>120000</v>
      </c>
      <c r="O61" s="222">
        <f>N12*Parameters!$G16*(Parameters!$F16/4)</f>
        <v>155250</v>
      </c>
      <c r="P61" s="222">
        <f>O12*Parameters!$G16*(Parameters!$F16/4)</f>
        <v>190500</v>
      </c>
      <c r="Q61" s="222">
        <f>P12*Parameters!$G16*(Parameters!$F16/4)</f>
        <v>225750</v>
      </c>
      <c r="R61" s="223">
        <f>SUM(N61:Q61)</f>
        <v>691500</v>
      </c>
      <c r="S61" s="221">
        <f>Q12*Parameters!$G16*(Parameters!$F16/4)</f>
        <v>262500</v>
      </c>
      <c r="T61" s="222">
        <f>S12*Parameters!$G16*(Parameters!$F16/4)</f>
        <v>307500</v>
      </c>
      <c r="U61" s="222">
        <f>T12*Parameters!$G16*(Parameters!$F16/4)</f>
        <v>352500</v>
      </c>
      <c r="V61" s="222">
        <f>U12*Parameters!$G16*(Parameters!$F16/4)</f>
        <v>397500</v>
      </c>
      <c r="W61" s="223">
        <f>SUM(S61:V61)</f>
        <v>1320000</v>
      </c>
      <c r="X61" s="221">
        <f>V12*Parameters!$G16*(Parameters!$F16/4)</f>
        <v>442500</v>
      </c>
      <c r="Y61" s="222">
        <f>X12*Parameters!$G16*(Parameters!$F16/4)</f>
        <v>477750</v>
      </c>
      <c r="Z61" s="222">
        <f>Y12*Parameters!$G16*(Parameters!$F16/4)</f>
        <v>513000</v>
      </c>
      <c r="AA61" s="222">
        <f>Z12*Parameters!$G16*(Parameters!$F16/4)</f>
        <v>548250</v>
      </c>
      <c r="AB61" s="223">
        <f>SUM(X61:AA61)</f>
        <v>1981500</v>
      </c>
      <c r="AC61" s="234">
        <f>H61+M61+R61+W61+AB61</f>
        <v>4233750</v>
      </c>
      <c r="AD61"/>
    </row>
    <row r="62" spans="1:30" x14ac:dyDescent="0.2">
      <c r="A62" s="789"/>
      <c r="B62" s="765"/>
      <c r="C62" s="207" t="str">
        <f>C$6</f>
        <v>Africa</v>
      </c>
      <c r="D62" s="378"/>
      <c r="E62" s="222">
        <f>D13*Parameters!$G17*(Parameters!$F17/4)</f>
        <v>0</v>
      </c>
      <c r="F62" s="222">
        <f>E13*Parameters!$G17*(Parameters!$F17/4)</f>
        <v>0</v>
      </c>
      <c r="G62" s="222">
        <f>F13*Parameters!$G17*(Parameters!$F17/4)</f>
        <v>0</v>
      </c>
      <c r="H62" s="223">
        <f>SUM(D62:G62)</f>
        <v>0</v>
      </c>
      <c r="I62" s="221">
        <f>G13*Parameters!$G17*(Parameters!$F17/4)</f>
        <v>0</v>
      </c>
      <c r="J62" s="222">
        <f>I13*Parameters!$G17*(Parameters!$F17/4)</f>
        <v>16500</v>
      </c>
      <c r="K62" s="222">
        <f>J13*Parameters!$G17*(Parameters!$F17/4)</f>
        <v>33000</v>
      </c>
      <c r="L62" s="222">
        <f>K13*Parameters!$G17*(Parameters!$F17/4)</f>
        <v>49500</v>
      </c>
      <c r="M62" s="223">
        <f>SUM(I62:L62)</f>
        <v>99000</v>
      </c>
      <c r="N62" s="221">
        <f>L13*Parameters!$G17*(Parameters!$F17/4)</f>
        <v>67500</v>
      </c>
      <c r="O62" s="222">
        <f>N13*Parameters!$G17*(Parameters!$F17/4)</f>
        <v>86250</v>
      </c>
      <c r="P62" s="222">
        <f>O13*Parameters!$G17*(Parameters!$F17/4)</f>
        <v>105000</v>
      </c>
      <c r="Q62" s="222">
        <f>P13*Parameters!$G17*(Parameters!$F17/4)</f>
        <v>123750</v>
      </c>
      <c r="R62" s="223">
        <f>SUM(N62:Q62)</f>
        <v>382500</v>
      </c>
      <c r="S62" s="221">
        <f>Q13*Parameters!$G17*(Parameters!$F17/4)</f>
        <v>142500</v>
      </c>
      <c r="T62" s="222">
        <f>S13*Parameters!$G17*(Parameters!$F17/4)</f>
        <v>165000</v>
      </c>
      <c r="U62" s="222">
        <f>T13*Parameters!$G17*(Parameters!$F17/4)</f>
        <v>187500</v>
      </c>
      <c r="V62" s="222">
        <f>U13*Parameters!$G17*(Parameters!$F17/4)</f>
        <v>210000</v>
      </c>
      <c r="W62" s="223">
        <f>SUM(S62:V62)</f>
        <v>705000</v>
      </c>
      <c r="X62" s="221">
        <f>V13*Parameters!$G17*(Parameters!$F17/4)</f>
        <v>232500</v>
      </c>
      <c r="Y62" s="222">
        <f>X13*Parameters!$G17*(Parameters!$F17/4)</f>
        <v>249000</v>
      </c>
      <c r="Z62" s="222">
        <f>Y13*Parameters!$G17*(Parameters!$F17/4)</f>
        <v>265500</v>
      </c>
      <c r="AA62" s="222">
        <f>Z13*Parameters!$G17*(Parameters!$F17/4)</f>
        <v>282000</v>
      </c>
      <c r="AB62" s="223">
        <f>SUM(X62:AA62)</f>
        <v>1029000</v>
      </c>
      <c r="AC62" s="234">
        <f>H62+M62+R62+W62+AB62</f>
        <v>2215500</v>
      </c>
      <c r="AD62"/>
    </row>
    <row r="63" spans="1:30" ht="13.2" thickBot="1" x14ac:dyDescent="0.25">
      <c r="A63" s="789"/>
      <c r="B63" s="765"/>
      <c r="C63" s="208" t="str">
        <f>C$7</f>
        <v>Asia</v>
      </c>
      <c r="D63" s="380"/>
      <c r="E63" s="225">
        <f>D14*Parameters!$G18*(Parameters!$F18/4)</f>
        <v>0</v>
      </c>
      <c r="F63" s="225">
        <f>E14*Parameters!$G18*(Parameters!$F18/4)</f>
        <v>0</v>
      </c>
      <c r="G63" s="225">
        <f>F14*Parameters!$G18*(Parameters!$F18/4)</f>
        <v>0</v>
      </c>
      <c r="H63" s="226">
        <f>SUM(D63:G63)</f>
        <v>0</v>
      </c>
      <c r="I63" s="224">
        <f>G14*Parameters!$G18*(Parameters!$F18/4)</f>
        <v>0</v>
      </c>
      <c r="J63" s="225">
        <f>I14*Parameters!$G18*(Parameters!$F18/4)</f>
        <v>0</v>
      </c>
      <c r="K63" s="225">
        <f>J14*Parameters!$G18*(Parameters!$F18/4)</f>
        <v>0</v>
      </c>
      <c r="L63" s="225">
        <f>K14*Parameters!$G18*(Parameters!$F18/4)</f>
        <v>7500</v>
      </c>
      <c r="M63" s="226">
        <f>SUM(I63:L63)</f>
        <v>7500</v>
      </c>
      <c r="N63" s="224">
        <f>L14*Parameters!$G18*(Parameters!$F18/4)</f>
        <v>15000</v>
      </c>
      <c r="O63" s="225">
        <f>N14*Parameters!$G18*(Parameters!$F18/4)</f>
        <v>18750</v>
      </c>
      <c r="P63" s="225">
        <f>O14*Parameters!$G18*(Parameters!$F18/4)</f>
        <v>22500</v>
      </c>
      <c r="Q63" s="225">
        <f>P14*Parameters!$G18*(Parameters!$F18/4)</f>
        <v>26250</v>
      </c>
      <c r="R63" s="226">
        <f>SUM(N63:Q63)</f>
        <v>82500</v>
      </c>
      <c r="S63" s="224">
        <f>Q14*Parameters!$G18*(Parameters!$F18/4)</f>
        <v>30000</v>
      </c>
      <c r="T63" s="225">
        <f>S14*Parameters!$G18*(Parameters!$F18/4)</f>
        <v>31500</v>
      </c>
      <c r="U63" s="225">
        <f>T14*Parameters!$G18*(Parameters!$F18/4)</f>
        <v>33000</v>
      </c>
      <c r="V63" s="225">
        <f>U14*Parameters!$G18*(Parameters!$F18/4)</f>
        <v>34500</v>
      </c>
      <c r="W63" s="226">
        <f>SUM(S63:V63)</f>
        <v>129000</v>
      </c>
      <c r="X63" s="224">
        <f>V14*Parameters!$G18*(Parameters!$F18/4)</f>
        <v>37500</v>
      </c>
      <c r="Y63" s="225">
        <f>X14*Parameters!$G18*(Parameters!$F18/4)</f>
        <v>37500</v>
      </c>
      <c r="Z63" s="225">
        <f>Y14*Parameters!$G18*(Parameters!$F18/4)</f>
        <v>37500</v>
      </c>
      <c r="AA63" s="225">
        <f>Z14*Parameters!$G18*(Parameters!$F18/4)</f>
        <v>37500</v>
      </c>
      <c r="AB63" s="226">
        <f>SUM(X63:AA63)</f>
        <v>150000</v>
      </c>
      <c r="AC63" s="235">
        <f>H63+M63+R63+W63+AB63</f>
        <v>369000</v>
      </c>
      <c r="AD63"/>
    </row>
    <row r="64" spans="1:30" ht="13.2" thickBot="1" x14ac:dyDescent="0.25">
      <c r="A64" s="789"/>
      <c r="B64" s="765"/>
      <c r="C64" s="420" t="s">
        <v>253</v>
      </c>
      <c r="D64" s="487">
        <f t="shared" ref="D64:AC64" si="27">SUM(D60:D63)</f>
        <v>0</v>
      </c>
      <c r="E64" s="437">
        <f t="shared" si="27"/>
        <v>0</v>
      </c>
      <c r="F64" s="437">
        <f t="shared" si="27"/>
        <v>0</v>
      </c>
      <c r="G64" s="437">
        <f t="shared" si="27"/>
        <v>6750</v>
      </c>
      <c r="H64" s="438">
        <f t="shared" si="27"/>
        <v>6750</v>
      </c>
      <c r="I64" s="436">
        <f t="shared" si="27"/>
        <v>22500</v>
      </c>
      <c r="J64" s="437">
        <f t="shared" si="27"/>
        <v>63000</v>
      </c>
      <c r="K64" s="437">
        <f t="shared" si="27"/>
        <v>103500</v>
      </c>
      <c r="L64" s="437">
        <f t="shared" si="27"/>
        <v>151500</v>
      </c>
      <c r="M64" s="438">
        <f t="shared" si="27"/>
        <v>340500</v>
      </c>
      <c r="N64" s="436">
        <f t="shared" si="27"/>
        <v>202500</v>
      </c>
      <c r="O64" s="437">
        <f t="shared" si="27"/>
        <v>279000</v>
      </c>
      <c r="P64" s="437">
        <f t="shared" si="27"/>
        <v>355500</v>
      </c>
      <c r="Q64" s="437">
        <f t="shared" si="27"/>
        <v>432000</v>
      </c>
      <c r="R64" s="438">
        <f t="shared" si="27"/>
        <v>1269000</v>
      </c>
      <c r="S64" s="436">
        <f t="shared" si="27"/>
        <v>510000</v>
      </c>
      <c r="T64" s="437">
        <f t="shared" si="27"/>
        <v>610500</v>
      </c>
      <c r="U64" s="437">
        <f t="shared" si="27"/>
        <v>711000</v>
      </c>
      <c r="V64" s="437">
        <f t="shared" si="27"/>
        <v>811500</v>
      </c>
      <c r="W64" s="438">
        <f t="shared" si="27"/>
        <v>2643000</v>
      </c>
      <c r="X64" s="436">
        <f t="shared" si="27"/>
        <v>915000</v>
      </c>
      <c r="Y64" s="437">
        <f t="shared" si="27"/>
        <v>1019250</v>
      </c>
      <c r="Z64" s="437">
        <f t="shared" si="27"/>
        <v>1123500</v>
      </c>
      <c r="AA64" s="437">
        <f t="shared" si="27"/>
        <v>1227750</v>
      </c>
      <c r="AB64" s="438">
        <f t="shared" si="27"/>
        <v>4285500</v>
      </c>
      <c r="AC64" s="438">
        <f t="shared" si="27"/>
        <v>8544750</v>
      </c>
      <c r="AD64"/>
    </row>
    <row r="65" spans="1:30" ht="13.2" thickBot="1" x14ac:dyDescent="0.25">
      <c r="A65" s="789"/>
      <c r="B65" s="766"/>
      <c r="C65" s="416" t="s">
        <v>139</v>
      </c>
      <c r="D65" s="488">
        <f t="shared" ref="D65:AC65" si="28">D59+D64</f>
        <v>0</v>
      </c>
      <c r="E65" s="434">
        <f t="shared" si="28"/>
        <v>3750</v>
      </c>
      <c r="F65" s="434">
        <f t="shared" si="28"/>
        <v>15000</v>
      </c>
      <c r="G65" s="434">
        <f t="shared" si="28"/>
        <v>33000</v>
      </c>
      <c r="H65" s="435">
        <f t="shared" si="28"/>
        <v>51750</v>
      </c>
      <c r="I65" s="433">
        <f t="shared" si="28"/>
        <v>60000</v>
      </c>
      <c r="J65" s="434">
        <f t="shared" si="28"/>
        <v>138000</v>
      </c>
      <c r="K65" s="434">
        <f t="shared" si="28"/>
        <v>216000</v>
      </c>
      <c r="L65" s="434">
        <f t="shared" si="28"/>
        <v>301500</v>
      </c>
      <c r="M65" s="435">
        <f t="shared" si="28"/>
        <v>715500</v>
      </c>
      <c r="N65" s="433">
        <f t="shared" si="28"/>
        <v>390000</v>
      </c>
      <c r="O65" s="434">
        <f t="shared" si="28"/>
        <v>515250</v>
      </c>
      <c r="P65" s="434">
        <f t="shared" si="28"/>
        <v>640500</v>
      </c>
      <c r="Q65" s="434">
        <f t="shared" si="28"/>
        <v>765750</v>
      </c>
      <c r="R65" s="435">
        <f t="shared" si="28"/>
        <v>2311500</v>
      </c>
      <c r="S65" s="433">
        <f t="shared" si="28"/>
        <v>892500</v>
      </c>
      <c r="T65" s="434">
        <f t="shared" si="28"/>
        <v>1043250</v>
      </c>
      <c r="U65" s="434">
        <f t="shared" si="28"/>
        <v>1194000</v>
      </c>
      <c r="V65" s="434">
        <f t="shared" si="28"/>
        <v>1344750</v>
      </c>
      <c r="W65" s="435">
        <f t="shared" si="28"/>
        <v>4474500</v>
      </c>
      <c r="X65" s="433">
        <f t="shared" si="28"/>
        <v>1500000</v>
      </c>
      <c r="Y65" s="434">
        <f t="shared" si="28"/>
        <v>1665750</v>
      </c>
      <c r="Z65" s="434">
        <f t="shared" si="28"/>
        <v>1831500</v>
      </c>
      <c r="AA65" s="434">
        <f t="shared" si="28"/>
        <v>1997250</v>
      </c>
      <c r="AB65" s="435">
        <f t="shared" si="28"/>
        <v>6994500</v>
      </c>
      <c r="AC65" s="435">
        <f t="shared" si="28"/>
        <v>14547750</v>
      </c>
      <c r="AD65"/>
    </row>
    <row r="66" spans="1:30" x14ac:dyDescent="0.2">
      <c r="A66" s="789"/>
      <c r="B66" s="764" t="s">
        <v>214</v>
      </c>
      <c r="C66" s="206" t="str">
        <f>C$3</f>
        <v>Liftoil</v>
      </c>
      <c r="D66" s="218">
        <f t="shared" ref="D66:G68" si="29">D52+D59+D45</f>
        <v>29580</v>
      </c>
      <c r="E66" s="219">
        <f t="shared" si="29"/>
        <v>153525</v>
      </c>
      <c r="F66" s="219">
        <f t="shared" si="29"/>
        <v>347880</v>
      </c>
      <c r="G66" s="219">
        <f t="shared" si="29"/>
        <v>542235</v>
      </c>
      <c r="H66" s="220">
        <f>SUM(D66:G66)</f>
        <v>1073220</v>
      </c>
      <c r="I66" s="218">
        <f t="shared" ref="I66:L70" si="30">I52+I59+I45</f>
        <v>943650</v>
      </c>
      <c r="J66" s="219">
        <f t="shared" si="30"/>
        <v>1591500</v>
      </c>
      <c r="K66" s="219">
        <f t="shared" si="30"/>
        <v>2239350</v>
      </c>
      <c r="L66" s="219">
        <f t="shared" si="30"/>
        <v>2887200</v>
      </c>
      <c r="M66" s="220">
        <f>SUM(I66:L66)</f>
        <v>7661700</v>
      </c>
      <c r="N66" s="218">
        <f t="shared" ref="N66:Q70" si="31">N52+N59+N45</f>
        <v>3623790</v>
      </c>
      <c r="O66" s="219">
        <f t="shared" si="31"/>
        <v>4465995</v>
      </c>
      <c r="P66" s="219">
        <f t="shared" si="31"/>
        <v>5308200</v>
      </c>
      <c r="Q66" s="219">
        <f t="shared" si="31"/>
        <v>6150405</v>
      </c>
      <c r="R66" s="220">
        <f>SUM(N66:Q66)</f>
        <v>19548390</v>
      </c>
      <c r="S66" s="218">
        <f t="shared" ref="S66:V70" si="32">S52+S59+S45</f>
        <v>7004442</v>
      </c>
      <c r="T66" s="219">
        <f t="shared" si="32"/>
        <v>7872561</v>
      </c>
      <c r="U66" s="219">
        <f t="shared" si="32"/>
        <v>8740680</v>
      </c>
      <c r="V66" s="219">
        <f t="shared" si="32"/>
        <v>9620631</v>
      </c>
      <c r="W66" s="220">
        <f>SUM(S66:V66)</f>
        <v>33238314</v>
      </c>
      <c r="X66" s="218">
        <f t="shared" ref="X66:AA70" si="33">X52+X59+X45</f>
        <v>10591572</v>
      </c>
      <c r="Y66" s="219">
        <f t="shared" si="33"/>
        <v>11654046</v>
      </c>
      <c r="Z66" s="219">
        <f t="shared" si="33"/>
        <v>12716520</v>
      </c>
      <c r="AA66" s="219">
        <f t="shared" si="33"/>
        <v>13790826</v>
      </c>
      <c r="AB66" s="220">
        <f>SUM(X66:AA66)</f>
        <v>48752964</v>
      </c>
      <c r="AC66" s="233">
        <f>H66+M66+R66+W66+AB66</f>
        <v>110274588</v>
      </c>
      <c r="AD66"/>
    </row>
    <row r="67" spans="1:30" x14ac:dyDescent="0.2">
      <c r="A67" s="789"/>
      <c r="B67" s="765"/>
      <c r="C67" s="275" t="str">
        <f>C$4</f>
        <v>USA Canada</v>
      </c>
      <c r="D67" s="284">
        <f t="shared" si="29"/>
        <v>0</v>
      </c>
      <c r="E67" s="285">
        <f t="shared" si="29"/>
        <v>0</v>
      </c>
      <c r="F67" s="285">
        <f t="shared" si="29"/>
        <v>0</v>
      </c>
      <c r="G67" s="285">
        <f t="shared" si="29"/>
        <v>0</v>
      </c>
      <c r="H67" s="286">
        <f>SUM(D67:G67)</f>
        <v>0</v>
      </c>
      <c r="I67" s="284">
        <f t="shared" si="30"/>
        <v>0</v>
      </c>
      <c r="J67" s="285">
        <f t="shared" si="30"/>
        <v>0</v>
      </c>
      <c r="K67" s="285">
        <f t="shared" si="30"/>
        <v>0</v>
      </c>
      <c r="L67" s="285">
        <f t="shared" si="30"/>
        <v>0</v>
      </c>
      <c r="M67" s="286">
        <f>SUM(I67:L67)</f>
        <v>0</v>
      </c>
      <c r="N67" s="284">
        <f t="shared" si="31"/>
        <v>147900</v>
      </c>
      <c r="O67" s="285">
        <f t="shared" si="31"/>
        <v>471825</v>
      </c>
      <c r="P67" s="285">
        <f t="shared" si="31"/>
        <v>795750</v>
      </c>
      <c r="Q67" s="285">
        <f t="shared" si="31"/>
        <v>1119675</v>
      </c>
      <c r="R67" s="286">
        <f>SUM(N67:Q67)</f>
        <v>2535150</v>
      </c>
      <c r="S67" s="284">
        <f t="shared" si="32"/>
        <v>1544172</v>
      </c>
      <c r="T67" s="285">
        <f t="shared" si="32"/>
        <v>2088366</v>
      </c>
      <c r="U67" s="285">
        <f t="shared" si="32"/>
        <v>2632560</v>
      </c>
      <c r="V67" s="285">
        <f t="shared" si="32"/>
        <v>3188586</v>
      </c>
      <c r="W67" s="286">
        <f>SUM(S67:V67)</f>
        <v>9453684</v>
      </c>
      <c r="X67" s="284">
        <f t="shared" si="33"/>
        <v>3912510</v>
      </c>
      <c r="Y67" s="285">
        <f t="shared" si="33"/>
        <v>4819500</v>
      </c>
      <c r="Z67" s="285">
        <f t="shared" si="33"/>
        <v>5726490</v>
      </c>
      <c r="AA67" s="285">
        <f t="shared" si="33"/>
        <v>6633480</v>
      </c>
      <c r="AB67" s="286">
        <f>SUM(X67:AA67)</f>
        <v>21091980</v>
      </c>
      <c r="AC67" s="287">
        <f>H67+M67+R67+W67+AB67</f>
        <v>33080814</v>
      </c>
      <c r="AD67"/>
    </row>
    <row r="68" spans="1:30" x14ac:dyDescent="0.2">
      <c r="A68" s="789"/>
      <c r="B68" s="765"/>
      <c r="C68" s="207" t="str">
        <f>C$5</f>
        <v>Europe</v>
      </c>
      <c r="D68" s="221">
        <f t="shared" si="29"/>
        <v>0</v>
      </c>
      <c r="E68" s="222">
        <f t="shared" si="29"/>
        <v>0</v>
      </c>
      <c r="F68" s="222">
        <f t="shared" si="29"/>
        <v>53244</v>
      </c>
      <c r="G68" s="222">
        <f t="shared" si="29"/>
        <v>240849</v>
      </c>
      <c r="H68" s="223">
        <f>SUM(D68:G68)</f>
        <v>294093</v>
      </c>
      <c r="I68" s="221">
        <f t="shared" si="30"/>
        <v>578022</v>
      </c>
      <c r="J68" s="222">
        <f t="shared" si="30"/>
        <v>992646</v>
      </c>
      <c r="K68" s="222">
        <f t="shared" si="30"/>
        <v>1407270</v>
      </c>
      <c r="L68" s="222">
        <f t="shared" si="30"/>
        <v>1833726</v>
      </c>
      <c r="M68" s="223">
        <f>SUM(I68:L68)</f>
        <v>4811664</v>
      </c>
      <c r="N68" s="221">
        <f t="shared" si="31"/>
        <v>2351172</v>
      </c>
      <c r="O68" s="222">
        <f t="shared" si="31"/>
        <v>2960151</v>
      </c>
      <c r="P68" s="222">
        <f t="shared" si="31"/>
        <v>3569130</v>
      </c>
      <c r="Q68" s="222">
        <f t="shared" si="31"/>
        <v>4189941</v>
      </c>
      <c r="R68" s="223">
        <f>SUM(N68:Q68)</f>
        <v>13070394</v>
      </c>
      <c r="S68" s="221">
        <f t="shared" si="32"/>
        <v>4889910</v>
      </c>
      <c r="T68" s="222">
        <f t="shared" si="32"/>
        <v>5667330</v>
      </c>
      <c r="U68" s="222">
        <f t="shared" si="32"/>
        <v>6444750</v>
      </c>
      <c r="V68" s="222">
        <f t="shared" si="32"/>
        <v>7222170</v>
      </c>
      <c r="W68" s="223">
        <f>SUM(S68:V68)</f>
        <v>24224160</v>
      </c>
      <c r="X68" s="221">
        <f t="shared" si="33"/>
        <v>7922682</v>
      </c>
      <c r="Y68" s="222">
        <f t="shared" si="33"/>
        <v>8531661</v>
      </c>
      <c r="Z68" s="222">
        <f t="shared" si="33"/>
        <v>9140640</v>
      </c>
      <c r="AA68" s="222">
        <f t="shared" si="33"/>
        <v>9761451</v>
      </c>
      <c r="AB68" s="223">
        <f>SUM(X68:AA68)</f>
        <v>35356434</v>
      </c>
      <c r="AC68" s="234">
        <f>H68+M68+R68+W68+AB68</f>
        <v>77756745</v>
      </c>
      <c r="AD68"/>
    </row>
    <row r="69" spans="1:30" x14ac:dyDescent="0.2">
      <c r="A69" s="789"/>
      <c r="B69" s="765"/>
      <c r="C69" s="207" t="str">
        <f>C$6</f>
        <v>Africa</v>
      </c>
      <c r="D69" s="221">
        <f t="shared" ref="D69:G70" si="34">D55+D62+D48</f>
        <v>0</v>
      </c>
      <c r="E69" s="222">
        <f t="shared" si="34"/>
        <v>0</v>
      </c>
      <c r="F69" s="222">
        <f t="shared" si="34"/>
        <v>0</v>
      </c>
      <c r="G69" s="222">
        <f t="shared" si="34"/>
        <v>0</v>
      </c>
      <c r="H69" s="223">
        <f>SUM(D69:G69)</f>
        <v>0</v>
      </c>
      <c r="I69" s="221">
        <f t="shared" si="30"/>
        <v>130152</v>
      </c>
      <c r="J69" s="222">
        <f t="shared" si="30"/>
        <v>415206</v>
      </c>
      <c r="K69" s="222">
        <f t="shared" si="30"/>
        <v>700260</v>
      </c>
      <c r="L69" s="222">
        <f t="shared" si="30"/>
        <v>997146</v>
      </c>
      <c r="M69" s="223">
        <f>SUM(I69:L69)</f>
        <v>2242764</v>
      </c>
      <c r="N69" s="221">
        <f t="shared" si="31"/>
        <v>1314030</v>
      </c>
      <c r="O69" s="222">
        <f t="shared" si="31"/>
        <v>1637955</v>
      </c>
      <c r="P69" s="222">
        <f t="shared" si="31"/>
        <v>1961880</v>
      </c>
      <c r="Q69" s="222">
        <f t="shared" si="31"/>
        <v>2285805</v>
      </c>
      <c r="R69" s="223">
        <f>SUM(N69:Q69)</f>
        <v>7199670</v>
      </c>
      <c r="S69" s="221">
        <f t="shared" si="32"/>
        <v>2639310</v>
      </c>
      <c r="T69" s="222">
        <f t="shared" si="32"/>
        <v>3028020</v>
      </c>
      <c r="U69" s="222">
        <f t="shared" si="32"/>
        <v>3416730</v>
      </c>
      <c r="V69" s="222">
        <f t="shared" si="32"/>
        <v>3805440</v>
      </c>
      <c r="W69" s="223">
        <f>SUM(S69:V69)</f>
        <v>12889500</v>
      </c>
      <c r="X69" s="221">
        <f t="shared" si="33"/>
        <v>4146822</v>
      </c>
      <c r="Y69" s="222">
        <f t="shared" si="33"/>
        <v>4431876</v>
      </c>
      <c r="Z69" s="222">
        <f t="shared" si="33"/>
        <v>4716930</v>
      </c>
      <c r="AA69" s="222">
        <f t="shared" si="33"/>
        <v>5013816</v>
      </c>
      <c r="AB69" s="223">
        <f>SUM(X69:AA69)</f>
        <v>18309444</v>
      </c>
      <c r="AC69" s="234">
        <f>H69+M69+R69+W69+AB69</f>
        <v>40641378</v>
      </c>
      <c r="AD69"/>
    </row>
    <row r="70" spans="1:30" ht="13.2" thickBot="1" x14ac:dyDescent="0.25">
      <c r="A70" s="789"/>
      <c r="B70" s="765"/>
      <c r="C70" s="208" t="str">
        <f>C$7</f>
        <v>Asia</v>
      </c>
      <c r="D70" s="224">
        <f t="shared" si="34"/>
        <v>0</v>
      </c>
      <c r="E70" s="225">
        <f t="shared" si="34"/>
        <v>0</v>
      </c>
      <c r="F70" s="225">
        <f t="shared" si="34"/>
        <v>0</v>
      </c>
      <c r="G70" s="225">
        <f t="shared" si="34"/>
        <v>0</v>
      </c>
      <c r="H70" s="226">
        <f>SUM(D70:G70)</f>
        <v>0</v>
      </c>
      <c r="I70" s="224">
        <f t="shared" si="30"/>
        <v>0</v>
      </c>
      <c r="J70" s="225">
        <f t="shared" si="30"/>
        <v>0</v>
      </c>
      <c r="K70" s="225">
        <f t="shared" si="30"/>
        <v>59160</v>
      </c>
      <c r="L70" s="225">
        <f t="shared" si="30"/>
        <v>188730</v>
      </c>
      <c r="M70" s="226">
        <f>SUM(I70:L70)</f>
        <v>247890</v>
      </c>
      <c r="N70" s="224">
        <f t="shared" si="31"/>
        <v>288720</v>
      </c>
      <c r="O70" s="225">
        <f t="shared" si="31"/>
        <v>353505</v>
      </c>
      <c r="P70" s="225">
        <f t="shared" si="31"/>
        <v>418290</v>
      </c>
      <c r="Q70" s="225">
        <f t="shared" si="31"/>
        <v>483075</v>
      </c>
      <c r="R70" s="226">
        <f>SUM(N70:Q70)</f>
        <v>1543590</v>
      </c>
      <c r="S70" s="224">
        <f t="shared" si="32"/>
        <v>530112</v>
      </c>
      <c r="T70" s="225">
        <f t="shared" si="32"/>
        <v>556026</v>
      </c>
      <c r="U70" s="225">
        <f t="shared" si="32"/>
        <v>581940</v>
      </c>
      <c r="V70" s="225">
        <f t="shared" si="32"/>
        <v>619686</v>
      </c>
      <c r="W70" s="226">
        <f>SUM(S70:V70)</f>
        <v>2287764</v>
      </c>
      <c r="X70" s="224">
        <f t="shared" si="33"/>
        <v>647850</v>
      </c>
      <c r="Y70" s="225">
        <f t="shared" si="33"/>
        <v>647850</v>
      </c>
      <c r="Z70" s="225">
        <f t="shared" si="33"/>
        <v>647850</v>
      </c>
      <c r="AA70" s="225">
        <f t="shared" si="33"/>
        <v>647850</v>
      </c>
      <c r="AB70" s="226">
        <f>SUM(X70:AA70)</f>
        <v>2591400</v>
      </c>
      <c r="AC70" s="235">
        <f>H70+M70+R70+W70+AB70</f>
        <v>6670644</v>
      </c>
      <c r="AD70"/>
    </row>
    <row r="71" spans="1:30" ht="13.2" thickBot="1" x14ac:dyDescent="0.25">
      <c r="A71" s="789"/>
      <c r="B71" s="765"/>
      <c r="C71" s="420" t="s">
        <v>253</v>
      </c>
      <c r="D71" s="436">
        <f t="shared" ref="D71:AC71" si="35">SUM(D67:D70)</f>
        <v>0</v>
      </c>
      <c r="E71" s="437">
        <f t="shared" si="35"/>
        <v>0</v>
      </c>
      <c r="F71" s="437">
        <f t="shared" si="35"/>
        <v>53244</v>
      </c>
      <c r="G71" s="437">
        <f t="shared" si="35"/>
        <v>240849</v>
      </c>
      <c r="H71" s="438">
        <f t="shared" si="35"/>
        <v>294093</v>
      </c>
      <c r="I71" s="436">
        <f t="shared" si="35"/>
        <v>708174</v>
      </c>
      <c r="J71" s="437">
        <f t="shared" si="35"/>
        <v>1407852</v>
      </c>
      <c r="K71" s="437">
        <f t="shared" si="35"/>
        <v>2166690</v>
      </c>
      <c r="L71" s="437">
        <f t="shared" si="35"/>
        <v>3019602</v>
      </c>
      <c r="M71" s="438">
        <f t="shared" si="35"/>
        <v>7302318</v>
      </c>
      <c r="N71" s="436">
        <f t="shared" si="35"/>
        <v>4101822</v>
      </c>
      <c r="O71" s="437">
        <f t="shared" si="35"/>
        <v>5423436</v>
      </c>
      <c r="P71" s="437">
        <f t="shared" si="35"/>
        <v>6745050</v>
      </c>
      <c r="Q71" s="437">
        <f t="shared" si="35"/>
        <v>8078496</v>
      </c>
      <c r="R71" s="438">
        <f t="shared" si="35"/>
        <v>24348804</v>
      </c>
      <c r="S71" s="436">
        <f t="shared" si="35"/>
        <v>9603504</v>
      </c>
      <c r="T71" s="437">
        <f t="shared" si="35"/>
        <v>11339742</v>
      </c>
      <c r="U71" s="437">
        <f t="shared" si="35"/>
        <v>13075980</v>
      </c>
      <c r="V71" s="437">
        <f t="shared" si="35"/>
        <v>14835882</v>
      </c>
      <c r="W71" s="438">
        <f t="shared" si="35"/>
        <v>48855108</v>
      </c>
      <c r="X71" s="436">
        <f t="shared" si="35"/>
        <v>16629864</v>
      </c>
      <c r="Y71" s="437">
        <f t="shared" si="35"/>
        <v>18430887</v>
      </c>
      <c r="Z71" s="437">
        <f t="shared" si="35"/>
        <v>20231910</v>
      </c>
      <c r="AA71" s="437">
        <f t="shared" si="35"/>
        <v>22056597</v>
      </c>
      <c r="AB71" s="438">
        <f t="shared" si="35"/>
        <v>77349258</v>
      </c>
      <c r="AC71" s="438">
        <f t="shared" si="35"/>
        <v>158149581</v>
      </c>
      <c r="AD71"/>
    </row>
    <row r="72" spans="1:30" ht="13.2" thickBot="1" x14ac:dyDescent="0.25">
      <c r="A72" s="792"/>
      <c r="B72" s="766"/>
      <c r="C72" s="416" t="s">
        <v>139</v>
      </c>
      <c r="D72" s="433">
        <f t="shared" ref="D72:AC72" si="36">D66+D71</f>
        <v>29580</v>
      </c>
      <c r="E72" s="434">
        <f t="shared" si="36"/>
        <v>153525</v>
      </c>
      <c r="F72" s="434">
        <f t="shared" si="36"/>
        <v>401124</v>
      </c>
      <c r="G72" s="434">
        <f t="shared" si="36"/>
        <v>783084</v>
      </c>
      <c r="H72" s="435">
        <f t="shared" si="36"/>
        <v>1367313</v>
      </c>
      <c r="I72" s="433">
        <f t="shared" si="36"/>
        <v>1651824</v>
      </c>
      <c r="J72" s="434">
        <f t="shared" si="36"/>
        <v>2999352</v>
      </c>
      <c r="K72" s="434">
        <f t="shared" si="36"/>
        <v>4406040</v>
      </c>
      <c r="L72" s="434">
        <f t="shared" si="36"/>
        <v>5906802</v>
      </c>
      <c r="M72" s="435">
        <f t="shared" si="36"/>
        <v>14964018</v>
      </c>
      <c r="N72" s="433">
        <f t="shared" si="36"/>
        <v>7725612</v>
      </c>
      <c r="O72" s="434">
        <f t="shared" si="36"/>
        <v>9889431</v>
      </c>
      <c r="P72" s="434">
        <f t="shared" si="36"/>
        <v>12053250</v>
      </c>
      <c r="Q72" s="434">
        <f t="shared" si="36"/>
        <v>14228901</v>
      </c>
      <c r="R72" s="435">
        <f t="shared" si="36"/>
        <v>43897194</v>
      </c>
      <c r="S72" s="433">
        <f t="shared" si="36"/>
        <v>16607946</v>
      </c>
      <c r="T72" s="434">
        <f t="shared" si="36"/>
        <v>19212303</v>
      </c>
      <c r="U72" s="434">
        <f t="shared" si="36"/>
        <v>21816660</v>
      </c>
      <c r="V72" s="434">
        <f t="shared" si="36"/>
        <v>24456513</v>
      </c>
      <c r="W72" s="435">
        <f t="shared" si="36"/>
        <v>82093422</v>
      </c>
      <c r="X72" s="433">
        <f t="shared" si="36"/>
        <v>27221436</v>
      </c>
      <c r="Y72" s="434">
        <f t="shared" si="36"/>
        <v>30084933</v>
      </c>
      <c r="Z72" s="434">
        <f t="shared" si="36"/>
        <v>32948430</v>
      </c>
      <c r="AA72" s="434">
        <f t="shared" si="36"/>
        <v>35847423</v>
      </c>
      <c r="AB72" s="435">
        <f t="shared" si="36"/>
        <v>126102222</v>
      </c>
      <c r="AC72" s="435">
        <f t="shared" si="36"/>
        <v>268424169</v>
      </c>
      <c r="AD72"/>
    </row>
    <row r="73" spans="1:30" ht="13.05" customHeight="1" x14ac:dyDescent="0.2">
      <c r="A73" s="786" t="s">
        <v>344</v>
      </c>
      <c r="B73" s="764" t="s">
        <v>369</v>
      </c>
      <c r="C73" s="206" t="str">
        <f>C$3</f>
        <v>Liftoil</v>
      </c>
      <c r="D73" s="218">
        <f>D45*Parameters!$L$14*Parameters!$M$14</f>
        <v>2484.7199999999998</v>
      </c>
      <c r="E73" s="219">
        <f>E45*Parameters!$L$14*Parameters!$M$14</f>
        <v>12423.6</v>
      </c>
      <c r="F73" s="219">
        <f>F45*Parameters!$L$14*Parameters!$M$14</f>
        <v>27331.919999999998</v>
      </c>
      <c r="G73" s="219">
        <f>G45*Parameters!$L$14*Parameters!$M$14</f>
        <v>42240.24</v>
      </c>
      <c r="H73" s="220">
        <f>SUM(D73:G73)</f>
        <v>84480.48</v>
      </c>
      <c r="I73" s="218">
        <f>I45*Parameters!$L$14*Parameters!$M$14</f>
        <v>74541.599999999991</v>
      </c>
      <c r="J73" s="219">
        <f>J45*Parameters!$L$14*Parameters!$M$14</f>
        <v>124235.99999999999</v>
      </c>
      <c r="K73" s="219">
        <f>K45*Parameters!$L$14*Parameters!$M$14</f>
        <v>173930.4</v>
      </c>
      <c r="L73" s="219">
        <f>L45*Parameters!$L$14*Parameters!$M$14</f>
        <v>223624.79999999996</v>
      </c>
      <c r="M73" s="220">
        <f>SUM(I73:L73)</f>
        <v>596332.79999999993</v>
      </c>
      <c r="N73" s="218">
        <f>N45*Parameters!$L$14*Parameters!$M$14</f>
        <v>280773.36</v>
      </c>
      <c r="O73" s="219">
        <f>O45*Parameters!$L$14*Parameters!$M$14</f>
        <v>345376.08</v>
      </c>
      <c r="P73" s="219">
        <f>P45*Parameters!$L$14*Parameters!$M$14</f>
        <v>409978.8</v>
      </c>
      <c r="Q73" s="219">
        <f>Q45*Parameters!$L$14*Parameters!$M$14</f>
        <v>474581.5199999999</v>
      </c>
      <c r="R73" s="220">
        <f>SUM(N73:Q73)</f>
        <v>1510709.7599999998</v>
      </c>
      <c r="S73" s="218">
        <f>S45*Parameters!$L$14*Parameters!$M$14</f>
        <v>540178.12799999991</v>
      </c>
      <c r="T73" s="219">
        <f>T45*Parameters!$L$14*Parameters!$M$14</f>
        <v>606768.62399999984</v>
      </c>
      <c r="U73" s="219">
        <f>U45*Parameters!$L$14*Parameters!$M$14</f>
        <v>673359.12</v>
      </c>
      <c r="V73" s="219">
        <f>V45*Parameters!$L$14*Parameters!$M$14</f>
        <v>740943.50399999984</v>
      </c>
      <c r="W73" s="220">
        <f>SUM(S73:V73)</f>
        <v>2561249.3759999997</v>
      </c>
      <c r="X73" s="218">
        <f>X45*Parameters!$L$14*Parameters!$M$14</f>
        <v>815982.04799999995</v>
      </c>
      <c r="Y73" s="219">
        <f>Y45*Parameters!$L$14*Parameters!$M$14</f>
        <v>897480.86399999983</v>
      </c>
      <c r="Z73" s="219">
        <f>Z45*Parameters!$L$14*Parameters!$M$14</f>
        <v>978979.67999999982</v>
      </c>
      <c r="AA73" s="219">
        <f>AA45*Parameters!$L$14*Parameters!$M$14</f>
        <v>1061472.3839999998</v>
      </c>
      <c r="AB73" s="220">
        <f>SUM(X73:AA73)</f>
        <v>3753914.9759999998</v>
      </c>
      <c r="AC73" s="233">
        <f>H73+M73+R73+W73+AB73</f>
        <v>8506687.3919999991</v>
      </c>
    </row>
    <row r="74" spans="1:30" ht="13.05" customHeight="1" x14ac:dyDescent="0.2">
      <c r="A74" s="787"/>
      <c r="B74" s="765"/>
      <c r="C74" s="275" t="str">
        <f>C$4</f>
        <v>USA Canada</v>
      </c>
      <c r="D74" s="284">
        <f>D46*Parameters!$L$15*Parameters!$M$15</f>
        <v>0</v>
      </c>
      <c r="E74" s="285">
        <f>E46*Parameters!$L$15*Parameters!$M$15</f>
        <v>0</v>
      </c>
      <c r="F74" s="285">
        <f>F46*Parameters!$L$15*Parameters!$M$15</f>
        <v>0</v>
      </c>
      <c r="G74" s="285">
        <f>G46*Parameters!$L$15*Parameters!$M$15</f>
        <v>0</v>
      </c>
      <c r="H74" s="223">
        <f>SUM(D74:G74)</f>
        <v>0</v>
      </c>
      <c r="I74" s="284">
        <f>I46*Parameters!$L$15*Parameters!$M$15</f>
        <v>0</v>
      </c>
      <c r="J74" s="285">
        <f>J46*Parameters!$L$15*Parameters!$M$15</f>
        <v>0</v>
      </c>
      <c r="K74" s="285">
        <f>K46*Parameters!$L$15*Parameters!$M$15</f>
        <v>0</v>
      </c>
      <c r="L74" s="285">
        <f>L46*Parameters!$L$15*Parameters!$M$15</f>
        <v>0</v>
      </c>
      <c r="M74" s="223">
        <f>SUM(I74:L74)</f>
        <v>0</v>
      </c>
      <c r="N74" s="284">
        <f>N46*Parameters!$L$15*Parameters!$M$15</f>
        <v>12423.6</v>
      </c>
      <c r="O74" s="285">
        <f>O46*Parameters!$L$15*Parameters!$M$15</f>
        <v>37270.799999999996</v>
      </c>
      <c r="P74" s="285">
        <f>P46*Parameters!$L$15*Parameters!$M$15</f>
        <v>62117.999999999993</v>
      </c>
      <c r="Q74" s="285">
        <f>Q46*Parameters!$L$15*Parameters!$M$15</f>
        <v>86965.2</v>
      </c>
      <c r="R74" s="223">
        <f>SUM(N74:Q74)</f>
        <v>198777.59999999998</v>
      </c>
      <c r="S74" s="284">
        <f>S46*Parameters!$L$15*Parameters!$M$15</f>
        <v>120260.44799999999</v>
      </c>
      <c r="T74" s="285">
        <f>T46*Parameters!$L$15*Parameters!$M$15</f>
        <v>162003.74399999998</v>
      </c>
      <c r="U74" s="285">
        <f>U46*Parameters!$L$15*Parameters!$M$15</f>
        <v>203747.03999999998</v>
      </c>
      <c r="V74" s="285">
        <f>V46*Parameters!$L$15*Parameters!$M$15</f>
        <v>246484.22399999999</v>
      </c>
      <c r="W74" s="223">
        <f>SUM(S74:V74)</f>
        <v>732495.45600000001</v>
      </c>
      <c r="X74" s="284">
        <f>X46*Parameters!$L$15*Parameters!$M$15</f>
        <v>303135.83999999997</v>
      </c>
      <c r="Y74" s="285">
        <f>Y46*Parameters!$L$15*Parameters!$M$15</f>
        <v>372708</v>
      </c>
      <c r="Z74" s="285">
        <f>Z46*Parameters!$L$15*Parameters!$M$15</f>
        <v>442280.15999999992</v>
      </c>
      <c r="AA74" s="285">
        <f>AA46*Parameters!$L$15*Parameters!$M$15</f>
        <v>511852.32</v>
      </c>
      <c r="AB74" s="223">
        <f>SUM(X74:AA74)</f>
        <v>1629976.32</v>
      </c>
      <c r="AC74" s="234">
        <f>H74+M74+R74+W74+AB74</f>
        <v>2561249.3760000002</v>
      </c>
    </row>
    <row r="75" spans="1:30" x14ac:dyDescent="0.2">
      <c r="A75" s="787"/>
      <c r="B75" s="765"/>
      <c r="C75" s="207" t="str">
        <f>C$5</f>
        <v>Europe</v>
      </c>
      <c r="D75" s="221">
        <f>D47*Parameters!$L$16*Parameters!$M$16</f>
        <v>0</v>
      </c>
      <c r="E75" s="222">
        <f>E47*Parameters!$L$16*Parameters!$M$16</f>
        <v>0</v>
      </c>
      <c r="F75" s="222">
        <f>F47*Parameters!$L$16*Parameters!$M$16</f>
        <v>4472.4959999999992</v>
      </c>
      <c r="G75" s="222">
        <f>G47*Parameters!$L$16*Parameters!$M$16</f>
        <v>19380.815999999999</v>
      </c>
      <c r="H75" s="223">
        <f>SUM(D75:G75)</f>
        <v>23853.311999999998</v>
      </c>
      <c r="I75" s="221">
        <f>I47*Parameters!$L$16*Parameters!$M$16</f>
        <v>45718.847999999991</v>
      </c>
      <c r="J75" s="222">
        <f>J47*Parameters!$L$16*Parameters!$M$16</f>
        <v>77523.263999999996</v>
      </c>
      <c r="K75" s="222">
        <f>K47*Parameters!$L$16*Parameters!$M$16</f>
        <v>109327.67999999999</v>
      </c>
      <c r="L75" s="222">
        <f>L47*Parameters!$L$16*Parameters!$M$16</f>
        <v>142125.984</v>
      </c>
      <c r="M75" s="223">
        <f>SUM(I75:L75)</f>
        <v>374695.77599999995</v>
      </c>
      <c r="N75" s="221">
        <f>N47*Parameters!$L$16*Parameters!$M$16</f>
        <v>182378.44799999997</v>
      </c>
      <c r="O75" s="222">
        <f>O47*Parameters!$L$16*Parameters!$M$16</f>
        <v>229091.18399999998</v>
      </c>
      <c r="P75" s="222">
        <f>P47*Parameters!$L$16*Parameters!$M$16</f>
        <v>275803.92</v>
      </c>
      <c r="Q75" s="222">
        <f>Q47*Parameters!$L$16*Parameters!$M$16</f>
        <v>323510.54399999994</v>
      </c>
      <c r="R75" s="223">
        <f>SUM(N75:Q75)</f>
        <v>1010784.0959999999</v>
      </c>
      <c r="S75" s="221">
        <f>S47*Parameters!$L$16*Parameters!$M$16</f>
        <v>377677.44</v>
      </c>
      <c r="T75" s="222">
        <f>T47*Parameters!$L$16*Parameters!$M$16</f>
        <v>437310.71999999997</v>
      </c>
      <c r="U75" s="222">
        <f>U47*Parameters!$L$16*Parameters!$M$16</f>
        <v>496943.99999999994</v>
      </c>
      <c r="V75" s="222">
        <f>V47*Parameters!$L$16*Parameters!$M$16</f>
        <v>556577.28000000003</v>
      </c>
      <c r="W75" s="223">
        <f>SUM(S75:V75)</f>
        <v>1868509.44</v>
      </c>
      <c r="X75" s="221">
        <f>X47*Parameters!$L$16*Parameters!$M$16</f>
        <v>609750.28799999994</v>
      </c>
      <c r="Y75" s="222">
        <f>Y47*Parameters!$L$16*Parameters!$M$16</f>
        <v>656463.02399999986</v>
      </c>
      <c r="Z75" s="222">
        <f>Z47*Parameters!$L$16*Parameters!$M$16</f>
        <v>703175.76</v>
      </c>
      <c r="AA75" s="222">
        <f>AA47*Parameters!$L$16*Parameters!$M$16</f>
        <v>750882.38399999985</v>
      </c>
      <c r="AB75" s="223">
        <f>SUM(X75:AA75)</f>
        <v>2720271.4559999998</v>
      </c>
      <c r="AC75" s="234">
        <f>H75+M75+R75+W75+AB75</f>
        <v>5998114.0800000001</v>
      </c>
    </row>
    <row r="76" spans="1:30" x14ac:dyDescent="0.2">
      <c r="A76" s="787"/>
      <c r="B76" s="765"/>
      <c r="C76" s="207" t="str">
        <f>C$6</f>
        <v>Africa</v>
      </c>
      <c r="D76" s="221">
        <f>D48*Parameters!$L$17*Parameters!$M$17</f>
        <v>0</v>
      </c>
      <c r="E76" s="222">
        <f>E48*Parameters!$L$17*Parameters!$M$17</f>
        <v>0</v>
      </c>
      <c r="F76" s="222">
        <f>F48*Parameters!$L$17*Parameters!$M$17</f>
        <v>0</v>
      </c>
      <c r="G76" s="222">
        <f>G48*Parameters!$L$17*Parameters!$M$17</f>
        <v>0</v>
      </c>
      <c r="H76" s="223">
        <f>SUM(D76:G76)</f>
        <v>0</v>
      </c>
      <c r="I76" s="221">
        <f>I48*Parameters!$L$17*Parameters!$M$17</f>
        <v>10932.767999999998</v>
      </c>
      <c r="J76" s="222">
        <f>J48*Parameters!$L$17*Parameters!$M$17</f>
        <v>32798.304000000004</v>
      </c>
      <c r="K76" s="222">
        <f>K48*Parameters!$L$17*Parameters!$M$17</f>
        <v>54663.839999999997</v>
      </c>
      <c r="L76" s="222">
        <f>L48*Parameters!$L$17*Parameters!$M$17</f>
        <v>77523.263999999996</v>
      </c>
      <c r="M76" s="223">
        <f>SUM(I76:L76)</f>
        <v>175918.17599999998</v>
      </c>
      <c r="N76" s="221">
        <f>N48*Parameters!$L$17*Parameters!$M$17</f>
        <v>101873.51999999999</v>
      </c>
      <c r="O76" s="222">
        <f>O48*Parameters!$L$17*Parameters!$M$17</f>
        <v>126720.72</v>
      </c>
      <c r="P76" s="222">
        <f>P48*Parameters!$L$17*Parameters!$M$17</f>
        <v>151567.91999999998</v>
      </c>
      <c r="Q76" s="222">
        <f>Q48*Parameters!$L$17*Parameters!$M$17</f>
        <v>176415.12</v>
      </c>
      <c r="R76" s="223">
        <f>SUM(N76:Q76)</f>
        <v>556577.28000000003</v>
      </c>
      <c r="S76" s="221">
        <f>S48*Parameters!$L$17*Parameters!$M$17</f>
        <v>203747.03999999998</v>
      </c>
      <c r="T76" s="222">
        <f>T48*Parameters!$L$17*Parameters!$M$17</f>
        <v>233563.67999999996</v>
      </c>
      <c r="U76" s="222">
        <f>U48*Parameters!$L$17*Parameters!$M$17</f>
        <v>263380.32</v>
      </c>
      <c r="V76" s="222">
        <f>V48*Parameters!$L$17*Parameters!$M$17</f>
        <v>293196.95999999996</v>
      </c>
      <c r="W76" s="223">
        <f>SUM(S76:V76)</f>
        <v>993888</v>
      </c>
      <c r="X76" s="221">
        <f>X48*Parameters!$L$17*Parameters!$M$17</f>
        <v>319038.04799999995</v>
      </c>
      <c r="Y76" s="222">
        <f>Y48*Parameters!$L$17*Parameters!$M$17</f>
        <v>340903.58399999997</v>
      </c>
      <c r="Z76" s="222">
        <f>Z48*Parameters!$L$17*Parameters!$M$17</f>
        <v>362769.12</v>
      </c>
      <c r="AA76" s="222">
        <f>AA48*Parameters!$L$17*Parameters!$M$17</f>
        <v>385628.54399999994</v>
      </c>
      <c r="AB76" s="223">
        <f>SUM(X76:AA76)</f>
        <v>1408339.2959999999</v>
      </c>
      <c r="AC76" s="234">
        <f>H76+M76+R76+W76+AB76</f>
        <v>3134722.7519999999</v>
      </c>
    </row>
    <row r="77" spans="1:30" ht="13.2" thickBot="1" x14ac:dyDescent="0.25">
      <c r="A77" s="787"/>
      <c r="B77" s="765"/>
      <c r="C77" s="208" t="str">
        <f>C$7</f>
        <v>Asia</v>
      </c>
      <c r="D77" s="224">
        <f>D49*Parameters!$L$18*Parameters!$M$18</f>
        <v>0</v>
      </c>
      <c r="E77" s="225">
        <f>E49*Parameters!$L$18*Parameters!$M$18</f>
        <v>0</v>
      </c>
      <c r="F77" s="225">
        <f>F49*Parameters!$L$18*Parameters!$M$18</f>
        <v>0</v>
      </c>
      <c r="G77" s="225">
        <f>G49*Parameters!$L$18*Parameters!$M$18</f>
        <v>0</v>
      </c>
      <c r="H77" s="226">
        <f>SUM(D77:G77)</f>
        <v>0</v>
      </c>
      <c r="I77" s="224">
        <f>I49*Parameters!$L$18*Parameters!$M$18</f>
        <v>0</v>
      </c>
      <c r="J77" s="225">
        <f>J49*Parameters!$L$18*Parameters!$M$18</f>
        <v>0</v>
      </c>
      <c r="K77" s="225">
        <f>K49*Parameters!$L$18*Parameters!$M$18</f>
        <v>4969.4399999999996</v>
      </c>
      <c r="L77" s="225">
        <f>L49*Parameters!$L$18*Parameters!$M$18</f>
        <v>14908.319999999998</v>
      </c>
      <c r="M77" s="226">
        <f>SUM(I77:L77)</f>
        <v>19877.759999999998</v>
      </c>
      <c r="N77" s="224">
        <f>N49*Parameters!$L$18*Parameters!$M$18</f>
        <v>22362.48</v>
      </c>
      <c r="O77" s="225">
        <f>O49*Parameters!$L$18*Parameters!$M$18</f>
        <v>27331.919999999998</v>
      </c>
      <c r="P77" s="225">
        <f>P49*Parameters!$L$18*Parameters!$M$18</f>
        <v>32301.360000000001</v>
      </c>
      <c r="Q77" s="225">
        <f>Q49*Parameters!$L$18*Parameters!$M$18</f>
        <v>37270.799999999996</v>
      </c>
      <c r="R77" s="226">
        <f>SUM(N77:Q77)</f>
        <v>119266.56</v>
      </c>
      <c r="S77" s="224">
        <f>S49*Parameters!$L$18*Parameters!$M$18</f>
        <v>40749.407999999996</v>
      </c>
      <c r="T77" s="225">
        <f>T49*Parameters!$L$18*Parameters!$M$18</f>
        <v>42737.183999999994</v>
      </c>
      <c r="U77" s="225">
        <f>U49*Parameters!$L$18*Parameters!$M$18</f>
        <v>44724.959999999999</v>
      </c>
      <c r="V77" s="225">
        <f>V49*Parameters!$L$18*Parameters!$M$18</f>
        <v>47706.623999999996</v>
      </c>
      <c r="W77" s="226">
        <f>SUM(S77:V77)</f>
        <v>175918.17599999998</v>
      </c>
      <c r="X77" s="224">
        <f>X49*Parameters!$L$18*Parameters!$M$18</f>
        <v>49694.400000000001</v>
      </c>
      <c r="Y77" s="225">
        <f>Y49*Parameters!$L$18*Parameters!$M$18</f>
        <v>49694.400000000001</v>
      </c>
      <c r="Z77" s="225">
        <f>Z49*Parameters!$L$18*Parameters!$M$18</f>
        <v>49694.400000000001</v>
      </c>
      <c r="AA77" s="225">
        <f>AA49*Parameters!$L$18*Parameters!$M$18</f>
        <v>49694.400000000001</v>
      </c>
      <c r="AB77" s="226">
        <f>SUM(X77:AA77)</f>
        <v>198777.60000000001</v>
      </c>
      <c r="AC77" s="235">
        <f>H77+M77+R77+W77+AB77</f>
        <v>513840.09600000002</v>
      </c>
    </row>
    <row r="78" spans="1:30" ht="13.2" thickBot="1" x14ac:dyDescent="0.25">
      <c r="A78" s="787"/>
      <c r="B78" s="765"/>
      <c r="C78" s="420" t="s">
        <v>253</v>
      </c>
      <c r="D78" s="436">
        <f t="shared" ref="D78:AC78" si="37">SUM(D74:D77)</f>
        <v>0</v>
      </c>
      <c r="E78" s="437">
        <f t="shared" si="37"/>
        <v>0</v>
      </c>
      <c r="F78" s="437">
        <f t="shared" si="37"/>
        <v>4472.4959999999992</v>
      </c>
      <c r="G78" s="437">
        <f t="shared" si="37"/>
        <v>19380.815999999999</v>
      </c>
      <c r="H78" s="438">
        <f t="shared" si="37"/>
        <v>23853.311999999998</v>
      </c>
      <c r="I78" s="436">
        <f t="shared" si="37"/>
        <v>56651.615999999987</v>
      </c>
      <c r="J78" s="437">
        <f t="shared" si="37"/>
        <v>110321.568</v>
      </c>
      <c r="K78" s="437">
        <f t="shared" si="37"/>
        <v>168960.96</v>
      </c>
      <c r="L78" s="437">
        <f t="shared" si="37"/>
        <v>234557.568</v>
      </c>
      <c r="M78" s="438">
        <f t="shared" si="37"/>
        <v>570491.71199999994</v>
      </c>
      <c r="N78" s="436">
        <f t="shared" si="37"/>
        <v>319038.04799999995</v>
      </c>
      <c r="O78" s="437">
        <f t="shared" si="37"/>
        <v>420414.62400000001</v>
      </c>
      <c r="P78" s="437">
        <f t="shared" si="37"/>
        <v>521791.19999999995</v>
      </c>
      <c r="Q78" s="437">
        <f t="shared" si="37"/>
        <v>624161.66399999999</v>
      </c>
      <c r="R78" s="438">
        <f t="shared" si="37"/>
        <v>1885405.5360000001</v>
      </c>
      <c r="S78" s="436">
        <f t="shared" si="37"/>
        <v>742434.33599999989</v>
      </c>
      <c r="T78" s="437">
        <f t="shared" si="37"/>
        <v>875615.32799999986</v>
      </c>
      <c r="U78" s="437">
        <f t="shared" si="37"/>
        <v>1008796.3199999998</v>
      </c>
      <c r="V78" s="437">
        <f t="shared" si="37"/>
        <v>1143965.088</v>
      </c>
      <c r="W78" s="438">
        <f t="shared" si="37"/>
        <v>3770811.0719999997</v>
      </c>
      <c r="X78" s="436">
        <f t="shared" si="37"/>
        <v>1281618.5759999999</v>
      </c>
      <c r="Y78" s="437">
        <f t="shared" si="37"/>
        <v>1419769.0079999997</v>
      </c>
      <c r="Z78" s="437">
        <f t="shared" si="37"/>
        <v>1557919.44</v>
      </c>
      <c r="AA78" s="437">
        <f t="shared" si="37"/>
        <v>1698057.6479999998</v>
      </c>
      <c r="AB78" s="438">
        <f t="shared" si="37"/>
        <v>5957364.6719999993</v>
      </c>
      <c r="AC78" s="438">
        <f t="shared" si="37"/>
        <v>12207926.304000001</v>
      </c>
    </row>
    <row r="79" spans="1:30" ht="13.2" thickBot="1" x14ac:dyDescent="0.25">
      <c r="A79" s="787"/>
      <c r="B79" s="766"/>
      <c r="C79" s="416" t="s">
        <v>139</v>
      </c>
      <c r="D79" s="433">
        <f t="shared" ref="D79:AC79" si="38">D73+D78</f>
        <v>2484.7199999999998</v>
      </c>
      <c r="E79" s="434">
        <f t="shared" si="38"/>
        <v>12423.6</v>
      </c>
      <c r="F79" s="434">
        <f t="shared" si="38"/>
        <v>31804.415999999997</v>
      </c>
      <c r="G79" s="434">
        <f t="shared" si="38"/>
        <v>61621.055999999997</v>
      </c>
      <c r="H79" s="435">
        <f t="shared" si="38"/>
        <v>108333.79199999999</v>
      </c>
      <c r="I79" s="433">
        <f t="shared" si="38"/>
        <v>131193.21599999999</v>
      </c>
      <c r="J79" s="434">
        <f t="shared" si="38"/>
        <v>234557.56799999997</v>
      </c>
      <c r="K79" s="434">
        <f t="shared" si="38"/>
        <v>342891.36</v>
      </c>
      <c r="L79" s="434">
        <f t="shared" si="38"/>
        <v>458182.36799999996</v>
      </c>
      <c r="M79" s="435">
        <f t="shared" si="38"/>
        <v>1166824.5119999999</v>
      </c>
      <c r="N79" s="433">
        <f t="shared" si="38"/>
        <v>599811.40799999994</v>
      </c>
      <c r="O79" s="434">
        <f t="shared" si="38"/>
        <v>765790.70400000003</v>
      </c>
      <c r="P79" s="434">
        <f t="shared" si="38"/>
        <v>931770</v>
      </c>
      <c r="Q79" s="434">
        <f t="shared" si="38"/>
        <v>1098743.1839999999</v>
      </c>
      <c r="R79" s="435">
        <f t="shared" si="38"/>
        <v>3396115.2960000001</v>
      </c>
      <c r="S79" s="433">
        <f t="shared" si="38"/>
        <v>1282612.4639999997</v>
      </c>
      <c r="T79" s="434">
        <f t="shared" si="38"/>
        <v>1482383.9519999996</v>
      </c>
      <c r="U79" s="434">
        <f t="shared" si="38"/>
        <v>1682155.44</v>
      </c>
      <c r="V79" s="434">
        <f t="shared" si="38"/>
        <v>1884908.5919999997</v>
      </c>
      <c r="W79" s="435">
        <f t="shared" si="38"/>
        <v>6332060.4479999989</v>
      </c>
      <c r="X79" s="433">
        <f t="shared" si="38"/>
        <v>2097600.6239999998</v>
      </c>
      <c r="Y79" s="434">
        <f t="shared" si="38"/>
        <v>2317249.8719999995</v>
      </c>
      <c r="Z79" s="434">
        <f t="shared" si="38"/>
        <v>2536899.1199999996</v>
      </c>
      <c r="AA79" s="434">
        <f t="shared" si="38"/>
        <v>2759530.0319999997</v>
      </c>
      <c r="AB79" s="435">
        <f t="shared" si="38"/>
        <v>9711279.6479999982</v>
      </c>
      <c r="AC79" s="435">
        <f t="shared" si="38"/>
        <v>20714613.696000002</v>
      </c>
    </row>
    <row r="80" spans="1:30" ht="13.05" customHeight="1" x14ac:dyDescent="0.2">
      <c r="A80" s="787"/>
      <c r="B80" s="775" t="s">
        <v>109</v>
      </c>
      <c r="C80" s="206" t="str">
        <f>C$3</f>
        <v>Liftoil</v>
      </c>
      <c r="D80" s="218">
        <f>D3*Parameters!$B$21</f>
        <v>111000</v>
      </c>
      <c r="E80" s="219">
        <f>E3*Parameters!$B$21</f>
        <v>333000</v>
      </c>
      <c r="F80" s="219">
        <f>F3*Parameters!$B$21</f>
        <v>333000</v>
      </c>
      <c r="G80" s="219">
        <f>G3*Parameters!$B$21</f>
        <v>333000</v>
      </c>
      <c r="H80" s="220">
        <f>SUM(D80:G80)</f>
        <v>1110000</v>
      </c>
      <c r="I80" s="218">
        <f>I3*Parameters!$C$21</f>
        <v>1000000</v>
      </c>
      <c r="J80" s="219">
        <f>J3*Parameters!$C$21</f>
        <v>1000000</v>
      </c>
      <c r="K80" s="219">
        <f>K3*Parameters!$C$21</f>
        <v>1000000</v>
      </c>
      <c r="L80" s="219">
        <f>L3*Parameters!$C$21</f>
        <v>1000000</v>
      </c>
      <c r="M80" s="220">
        <f>SUM(I80:L80)</f>
        <v>4000000</v>
      </c>
      <c r="N80" s="218">
        <f>N3*Parameters!$D$21</f>
        <v>1170000</v>
      </c>
      <c r="O80" s="219">
        <f>O3*Parameters!$D$21</f>
        <v>1170000</v>
      </c>
      <c r="P80" s="219">
        <f>P3*Parameters!$D$21</f>
        <v>1170000</v>
      </c>
      <c r="Q80" s="219">
        <f>Q3*Parameters!$D$21</f>
        <v>1170000</v>
      </c>
      <c r="R80" s="220">
        <f>SUM(N80:Q80)</f>
        <v>4680000</v>
      </c>
      <c r="S80" s="218">
        <f>S3*Parameters!$E$21</f>
        <v>1139000</v>
      </c>
      <c r="T80" s="219">
        <f>T3*Parameters!$E$21</f>
        <v>1139000</v>
      </c>
      <c r="U80" s="219">
        <f>U3*Parameters!$E$21</f>
        <v>1139000</v>
      </c>
      <c r="V80" s="219">
        <f>V3*Parameters!$E$21</f>
        <v>1173000</v>
      </c>
      <c r="W80" s="220">
        <f>SUM(S80:V80)</f>
        <v>4590000</v>
      </c>
      <c r="X80" s="218">
        <f>X3*Parameters!$F$21</f>
        <v>1394000</v>
      </c>
      <c r="Y80" s="219">
        <f>Y3*Parameters!$F$21</f>
        <v>1394000</v>
      </c>
      <c r="Z80" s="219">
        <f>Z3*Parameters!$F$21</f>
        <v>1394000</v>
      </c>
      <c r="AA80" s="219">
        <f>AA3*Parameters!$F$21</f>
        <v>1428000</v>
      </c>
      <c r="AB80" s="220">
        <f>SUM(X80:AA80)</f>
        <v>5610000</v>
      </c>
      <c r="AC80" s="233">
        <f>H80+M80+R80+W80+AB80</f>
        <v>19990000</v>
      </c>
    </row>
    <row r="81" spans="1:30" ht="13.05" customHeight="1" x14ac:dyDescent="0.2">
      <c r="A81" s="787"/>
      <c r="B81" s="776"/>
      <c r="C81" s="275" t="str">
        <f>C$4</f>
        <v>USA Canada</v>
      </c>
      <c r="D81" s="284">
        <f>D4*Parameters!$B$21</f>
        <v>0</v>
      </c>
      <c r="E81" s="285">
        <f>E4*Parameters!$B$21</f>
        <v>0</v>
      </c>
      <c r="F81" s="285">
        <f>F4*Parameters!$B$21</f>
        <v>0</v>
      </c>
      <c r="G81" s="285">
        <f>G4*Parameters!$B$21</f>
        <v>0</v>
      </c>
      <c r="H81" s="223">
        <f>SUM(D81:G81)</f>
        <v>0</v>
      </c>
      <c r="I81" s="284">
        <f>I4*Parameters!$C$21</f>
        <v>0</v>
      </c>
      <c r="J81" s="285">
        <f>J4*Parameters!$C$21</f>
        <v>0</v>
      </c>
      <c r="K81" s="285">
        <f>K4*Parameters!$C$21</f>
        <v>0</v>
      </c>
      <c r="L81" s="285">
        <f>L4*Parameters!$C$21</f>
        <v>0</v>
      </c>
      <c r="M81" s="223">
        <f>SUM(I81:L81)</f>
        <v>0</v>
      </c>
      <c r="N81" s="284">
        <f>N4*Parameters!$D$21</f>
        <v>450000</v>
      </c>
      <c r="O81" s="285">
        <f>O4*Parameters!$D$21</f>
        <v>450000</v>
      </c>
      <c r="P81" s="285">
        <f>P4*Parameters!$D$21</f>
        <v>450000</v>
      </c>
      <c r="Q81" s="285">
        <f>Q4*Parameters!$D$21</f>
        <v>450000</v>
      </c>
      <c r="R81" s="223">
        <f>SUM(N81:Q81)</f>
        <v>1800000</v>
      </c>
      <c r="S81" s="284">
        <f>S4*Parameters!$E$21</f>
        <v>714000</v>
      </c>
      <c r="T81" s="285">
        <f>T4*Parameters!$E$21</f>
        <v>714000</v>
      </c>
      <c r="U81" s="285">
        <f>U4*Parameters!$E$21</f>
        <v>714000</v>
      </c>
      <c r="V81" s="285">
        <f>V4*Parameters!$E$21</f>
        <v>748000</v>
      </c>
      <c r="W81" s="223">
        <f>SUM(S81:V81)</f>
        <v>2890000</v>
      </c>
      <c r="X81" s="284">
        <f>X4*Parameters!$F$21</f>
        <v>1190000</v>
      </c>
      <c r="Y81" s="285">
        <f>Y4*Parameters!$F$21</f>
        <v>1190000</v>
      </c>
      <c r="Z81" s="285">
        <f>Z4*Parameters!$F$21</f>
        <v>1190000</v>
      </c>
      <c r="AA81" s="285">
        <f>AA4*Parameters!$F$21</f>
        <v>1190000</v>
      </c>
      <c r="AB81" s="223">
        <f>SUM(X81:AA81)</f>
        <v>4760000</v>
      </c>
      <c r="AC81" s="234">
        <f>H81+M81+R81+W81+AB81</f>
        <v>9450000</v>
      </c>
    </row>
    <row r="82" spans="1:30" x14ac:dyDescent="0.2">
      <c r="A82" s="787"/>
      <c r="B82" s="776"/>
      <c r="C82" s="207" t="str">
        <f>C$5</f>
        <v>Europe</v>
      </c>
      <c r="D82" s="221">
        <f>D5*Parameters!$B$21</f>
        <v>0</v>
      </c>
      <c r="E82" s="222">
        <f>E5*Parameters!$B$21</f>
        <v>0</v>
      </c>
      <c r="F82" s="222">
        <f>F5*Parameters!$B$21</f>
        <v>199800</v>
      </c>
      <c r="G82" s="222">
        <f>G5*Parameters!$B$21</f>
        <v>466200</v>
      </c>
      <c r="H82" s="223">
        <f>SUM(D82:G82)</f>
        <v>666000</v>
      </c>
      <c r="I82" s="221">
        <f>I5*Parameters!$C$21</f>
        <v>640000</v>
      </c>
      <c r="J82" s="222">
        <f>J5*Parameters!$C$21</f>
        <v>640000</v>
      </c>
      <c r="K82" s="222">
        <f>K5*Parameters!$C$21</f>
        <v>640000</v>
      </c>
      <c r="L82" s="222">
        <f>L5*Parameters!$C$21</f>
        <v>680000</v>
      </c>
      <c r="M82" s="223">
        <f>SUM(I82:L82)</f>
        <v>2600000</v>
      </c>
      <c r="N82" s="221">
        <f>N5*Parameters!$D$21</f>
        <v>846000</v>
      </c>
      <c r="O82" s="222">
        <f>O5*Parameters!$D$21</f>
        <v>846000</v>
      </c>
      <c r="P82" s="222">
        <f>P5*Parameters!$D$21</f>
        <v>846000</v>
      </c>
      <c r="Q82" s="222">
        <f>Q5*Parameters!$D$21</f>
        <v>882000</v>
      </c>
      <c r="R82" s="223">
        <f>SUM(N82:Q82)</f>
        <v>3420000</v>
      </c>
      <c r="S82" s="221">
        <f>S5*Parameters!$E$21</f>
        <v>1020000</v>
      </c>
      <c r="T82" s="222">
        <f>T5*Parameters!$E$21</f>
        <v>1020000</v>
      </c>
      <c r="U82" s="222">
        <f>U5*Parameters!$E$21</f>
        <v>1020000</v>
      </c>
      <c r="V82" s="222">
        <f>V5*Parameters!$E$21</f>
        <v>1020000</v>
      </c>
      <c r="W82" s="223">
        <f>SUM(S82:V82)</f>
        <v>4080000</v>
      </c>
      <c r="X82" s="221">
        <f>X5*Parameters!$F$21</f>
        <v>799000</v>
      </c>
      <c r="Y82" s="222">
        <f>Y5*Parameters!$F$21</f>
        <v>799000</v>
      </c>
      <c r="Z82" s="222">
        <f>Z5*Parameters!$F$21</f>
        <v>799000</v>
      </c>
      <c r="AA82" s="222">
        <f>AA5*Parameters!$F$21</f>
        <v>833000</v>
      </c>
      <c r="AB82" s="223">
        <f>SUM(X82:AA82)</f>
        <v>3230000</v>
      </c>
      <c r="AC82" s="234">
        <f>H82+M82+R82+W82+AB82</f>
        <v>13996000</v>
      </c>
    </row>
    <row r="83" spans="1:30" x14ac:dyDescent="0.2">
      <c r="A83" s="787"/>
      <c r="B83" s="776"/>
      <c r="C83" s="207" t="str">
        <f>C$6</f>
        <v>Africa</v>
      </c>
      <c r="D83" s="221">
        <f>D6*Parameters!$B$21</f>
        <v>0</v>
      </c>
      <c r="E83" s="222">
        <f>E6*Parameters!$B$21</f>
        <v>0</v>
      </c>
      <c r="F83" s="222">
        <f>F6*Parameters!$B$21</f>
        <v>0</v>
      </c>
      <c r="G83" s="222">
        <f>G6*Parameters!$B$21</f>
        <v>0</v>
      </c>
      <c r="H83" s="223">
        <f>SUM(D83:G83)</f>
        <v>0</v>
      </c>
      <c r="I83" s="221">
        <f>I6*Parameters!$C$21</f>
        <v>440000</v>
      </c>
      <c r="J83" s="222">
        <f>J6*Parameters!$C$21</f>
        <v>440000</v>
      </c>
      <c r="K83" s="222">
        <f>K6*Parameters!$C$21</f>
        <v>440000</v>
      </c>
      <c r="L83" s="222">
        <f>L6*Parameters!$C$21</f>
        <v>480000</v>
      </c>
      <c r="M83" s="223">
        <f>SUM(I83:L83)</f>
        <v>1800000</v>
      </c>
      <c r="N83" s="221">
        <f>N6*Parameters!$D$21</f>
        <v>450000</v>
      </c>
      <c r="O83" s="222">
        <f>O6*Parameters!$D$21</f>
        <v>450000</v>
      </c>
      <c r="P83" s="222">
        <f>P6*Parameters!$D$21</f>
        <v>450000</v>
      </c>
      <c r="Q83" s="222">
        <f>Q6*Parameters!$D$21</f>
        <v>450000</v>
      </c>
      <c r="R83" s="223">
        <f>SUM(N83:Q83)</f>
        <v>1800000</v>
      </c>
      <c r="S83" s="221">
        <f>S6*Parameters!$E$21</f>
        <v>510000</v>
      </c>
      <c r="T83" s="222">
        <f>T6*Parameters!$E$21</f>
        <v>510000</v>
      </c>
      <c r="U83" s="222">
        <f>U6*Parameters!$E$21</f>
        <v>510000</v>
      </c>
      <c r="V83" s="222">
        <f>V6*Parameters!$E$21</f>
        <v>510000</v>
      </c>
      <c r="W83" s="223">
        <f>SUM(S83:V83)</f>
        <v>2040000</v>
      </c>
      <c r="X83" s="221">
        <f>X6*Parameters!$F$21</f>
        <v>374000</v>
      </c>
      <c r="Y83" s="222">
        <f>Y6*Parameters!$F$21</f>
        <v>374000</v>
      </c>
      <c r="Z83" s="222">
        <f>Z6*Parameters!$F$21</f>
        <v>374000</v>
      </c>
      <c r="AA83" s="222">
        <f>AA6*Parameters!$F$21</f>
        <v>408000</v>
      </c>
      <c r="AB83" s="223">
        <f>SUM(X83:AA83)</f>
        <v>1530000</v>
      </c>
      <c r="AC83" s="234">
        <f>H83+M83+R83+W83+AB83</f>
        <v>7170000</v>
      </c>
    </row>
    <row r="84" spans="1:30" ht="13.2" thickBot="1" x14ac:dyDescent="0.25">
      <c r="A84" s="787"/>
      <c r="B84" s="776"/>
      <c r="C84" s="208" t="str">
        <f>C$7</f>
        <v>Asia</v>
      </c>
      <c r="D84" s="224">
        <f>D7*Parameters!$B$21</f>
        <v>0</v>
      </c>
      <c r="E84" s="225">
        <f>E7*Parameters!$B$21</f>
        <v>0</v>
      </c>
      <c r="F84" s="225">
        <f>F7*Parameters!$B$21</f>
        <v>0</v>
      </c>
      <c r="G84" s="225">
        <f>G7*Parameters!$B$21</f>
        <v>0</v>
      </c>
      <c r="H84" s="226">
        <f>SUM(D84:G84)</f>
        <v>0</v>
      </c>
      <c r="I84" s="224">
        <f>I7*Parameters!$C$21</f>
        <v>0</v>
      </c>
      <c r="J84" s="225">
        <f>J7*Parameters!$C$21</f>
        <v>0</v>
      </c>
      <c r="K84" s="225">
        <f>K7*Parameters!$C$21</f>
        <v>200000</v>
      </c>
      <c r="L84" s="225">
        <f>L7*Parameters!$C$21</f>
        <v>200000</v>
      </c>
      <c r="M84" s="226">
        <f>SUM(I84:L84)</f>
        <v>400000</v>
      </c>
      <c r="N84" s="224">
        <f>N7*Parameters!$D$21</f>
        <v>90000</v>
      </c>
      <c r="O84" s="225">
        <f>O7*Parameters!$D$21</f>
        <v>90000</v>
      </c>
      <c r="P84" s="225">
        <f>P7*Parameters!$D$21</f>
        <v>90000</v>
      </c>
      <c r="Q84" s="225">
        <f>Q7*Parameters!$D$21</f>
        <v>90000</v>
      </c>
      <c r="R84" s="226">
        <f>SUM(N84:Q84)</f>
        <v>360000</v>
      </c>
      <c r="S84" s="224">
        <f>S7*Parameters!$E$21</f>
        <v>34000</v>
      </c>
      <c r="T84" s="225">
        <f>T7*Parameters!$E$21</f>
        <v>34000</v>
      </c>
      <c r="U84" s="225">
        <f>U7*Parameters!$E$21</f>
        <v>34000</v>
      </c>
      <c r="V84" s="225">
        <f>V7*Parameters!$E$21</f>
        <v>68000</v>
      </c>
      <c r="W84" s="226">
        <f>SUM(S84:V84)</f>
        <v>170000</v>
      </c>
      <c r="X84" s="224">
        <f>X7*Parameters!$F$21</f>
        <v>0</v>
      </c>
      <c r="Y84" s="225">
        <f>Y7*Parameters!$F$21</f>
        <v>0</v>
      </c>
      <c r="Z84" s="225">
        <f>Z7*Parameters!$F$21</f>
        <v>0</v>
      </c>
      <c r="AA84" s="225">
        <f>AA7*Parameters!$F$21</f>
        <v>0</v>
      </c>
      <c r="AB84" s="226">
        <f>SUM(X84:AA84)</f>
        <v>0</v>
      </c>
      <c r="AC84" s="235">
        <f>H84+M84+R84+W84+AB84</f>
        <v>930000</v>
      </c>
    </row>
    <row r="85" spans="1:30" ht="13.2" thickBot="1" x14ac:dyDescent="0.25">
      <c r="A85" s="787"/>
      <c r="B85" s="776"/>
      <c r="C85" s="420" t="s">
        <v>253</v>
      </c>
      <c r="D85" s="436">
        <f t="shared" ref="D85:AC85" si="39">SUM(D81:D84)</f>
        <v>0</v>
      </c>
      <c r="E85" s="437">
        <f t="shared" si="39"/>
        <v>0</v>
      </c>
      <c r="F85" s="437">
        <f t="shared" si="39"/>
        <v>199800</v>
      </c>
      <c r="G85" s="437">
        <f t="shared" si="39"/>
        <v>466200</v>
      </c>
      <c r="H85" s="438">
        <f t="shared" si="39"/>
        <v>666000</v>
      </c>
      <c r="I85" s="436">
        <f t="shared" si="39"/>
        <v>1080000</v>
      </c>
      <c r="J85" s="437">
        <f t="shared" si="39"/>
        <v>1080000</v>
      </c>
      <c r="K85" s="437">
        <f t="shared" si="39"/>
        <v>1280000</v>
      </c>
      <c r="L85" s="437">
        <f t="shared" si="39"/>
        <v>1360000</v>
      </c>
      <c r="M85" s="438">
        <f t="shared" si="39"/>
        <v>4800000</v>
      </c>
      <c r="N85" s="436">
        <f t="shared" si="39"/>
        <v>1836000</v>
      </c>
      <c r="O85" s="437">
        <f t="shared" si="39"/>
        <v>1836000</v>
      </c>
      <c r="P85" s="437">
        <f t="shared" si="39"/>
        <v>1836000</v>
      </c>
      <c r="Q85" s="437">
        <f t="shared" si="39"/>
        <v>1872000</v>
      </c>
      <c r="R85" s="438">
        <f t="shared" si="39"/>
        <v>7380000</v>
      </c>
      <c r="S85" s="436">
        <f t="shared" si="39"/>
        <v>2278000</v>
      </c>
      <c r="T85" s="437">
        <f t="shared" si="39"/>
        <v>2278000</v>
      </c>
      <c r="U85" s="437">
        <f t="shared" si="39"/>
        <v>2278000</v>
      </c>
      <c r="V85" s="437">
        <f t="shared" si="39"/>
        <v>2346000</v>
      </c>
      <c r="W85" s="438">
        <f t="shared" si="39"/>
        <v>9180000</v>
      </c>
      <c r="X85" s="436">
        <f t="shared" si="39"/>
        <v>2363000</v>
      </c>
      <c r="Y85" s="437">
        <f t="shared" si="39"/>
        <v>2363000</v>
      </c>
      <c r="Z85" s="437">
        <f t="shared" si="39"/>
        <v>2363000</v>
      </c>
      <c r="AA85" s="437">
        <f t="shared" si="39"/>
        <v>2431000</v>
      </c>
      <c r="AB85" s="438">
        <f t="shared" si="39"/>
        <v>9520000</v>
      </c>
      <c r="AC85" s="438">
        <f t="shared" si="39"/>
        <v>31546000</v>
      </c>
    </row>
    <row r="86" spans="1:30" ht="13.2" thickBot="1" x14ac:dyDescent="0.25">
      <c r="A86" s="787"/>
      <c r="B86" s="776"/>
      <c r="C86" s="416" t="s">
        <v>139</v>
      </c>
      <c r="D86" s="433">
        <f t="shared" ref="D86:AC86" si="40">D80+D85</f>
        <v>111000</v>
      </c>
      <c r="E86" s="434">
        <f t="shared" si="40"/>
        <v>333000</v>
      </c>
      <c r="F86" s="434">
        <f t="shared" si="40"/>
        <v>532800</v>
      </c>
      <c r="G86" s="434">
        <f t="shared" si="40"/>
        <v>799200</v>
      </c>
      <c r="H86" s="435">
        <f t="shared" si="40"/>
        <v>1776000</v>
      </c>
      <c r="I86" s="433">
        <f t="shared" si="40"/>
        <v>2080000</v>
      </c>
      <c r="J86" s="434">
        <f t="shared" si="40"/>
        <v>2080000</v>
      </c>
      <c r="K86" s="434">
        <f t="shared" si="40"/>
        <v>2280000</v>
      </c>
      <c r="L86" s="434">
        <f t="shared" si="40"/>
        <v>2360000</v>
      </c>
      <c r="M86" s="435">
        <f t="shared" si="40"/>
        <v>8800000</v>
      </c>
      <c r="N86" s="433">
        <f t="shared" si="40"/>
        <v>3006000</v>
      </c>
      <c r="O86" s="434">
        <f t="shared" si="40"/>
        <v>3006000</v>
      </c>
      <c r="P86" s="434">
        <f t="shared" si="40"/>
        <v>3006000</v>
      </c>
      <c r="Q86" s="434">
        <f t="shared" si="40"/>
        <v>3042000</v>
      </c>
      <c r="R86" s="435">
        <f t="shared" si="40"/>
        <v>12060000</v>
      </c>
      <c r="S86" s="433">
        <f t="shared" si="40"/>
        <v>3417000</v>
      </c>
      <c r="T86" s="434">
        <f t="shared" si="40"/>
        <v>3417000</v>
      </c>
      <c r="U86" s="434">
        <f t="shared" si="40"/>
        <v>3417000</v>
      </c>
      <c r="V86" s="434">
        <f t="shared" si="40"/>
        <v>3519000</v>
      </c>
      <c r="W86" s="435">
        <f t="shared" si="40"/>
        <v>13770000</v>
      </c>
      <c r="X86" s="433">
        <f t="shared" si="40"/>
        <v>3757000</v>
      </c>
      <c r="Y86" s="434">
        <f t="shared" si="40"/>
        <v>3757000</v>
      </c>
      <c r="Z86" s="434">
        <f t="shared" si="40"/>
        <v>3757000</v>
      </c>
      <c r="AA86" s="434">
        <f t="shared" si="40"/>
        <v>3859000</v>
      </c>
      <c r="AB86" s="435">
        <f t="shared" si="40"/>
        <v>15130000</v>
      </c>
      <c r="AC86" s="435">
        <f t="shared" si="40"/>
        <v>51536000</v>
      </c>
      <c r="AD86" s="8"/>
    </row>
    <row r="87" spans="1:30" x14ac:dyDescent="0.2">
      <c r="A87" s="787"/>
      <c r="B87" s="776"/>
      <c r="C87" s="240" t="s">
        <v>413</v>
      </c>
      <c r="D87" s="238">
        <f>D93</f>
        <v>22199.999999999996</v>
      </c>
      <c r="E87" s="238">
        <f>E93</f>
        <v>66599.999999999985</v>
      </c>
      <c r="F87" s="238">
        <f>F93</f>
        <v>106559.99999999997</v>
      </c>
      <c r="G87" s="238">
        <f>G93</f>
        <v>159839.99999999997</v>
      </c>
      <c r="H87" s="220">
        <f>SUM(D87:G87)</f>
        <v>355199.99999999988</v>
      </c>
      <c r="I87" s="238">
        <f>I93</f>
        <v>415999.99999999988</v>
      </c>
      <c r="J87" s="238">
        <f>J93</f>
        <v>415999.99999999988</v>
      </c>
      <c r="K87" s="238">
        <f>K93</f>
        <v>455999.99999999988</v>
      </c>
      <c r="L87" s="238">
        <f>L93</f>
        <v>471999.99999999988</v>
      </c>
      <c r="M87" s="220">
        <f>SUM(I87:L87)</f>
        <v>1759999.9999999995</v>
      </c>
      <c r="N87" s="238">
        <f>N93</f>
        <v>601199.99999999988</v>
      </c>
      <c r="O87" s="238">
        <f>O93</f>
        <v>601199.99999999988</v>
      </c>
      <c r="P87" s="238">
        <f>P93</f>
        <v>601199.99999999988</v>
      </c>
      <c r="Q87" s="238">
        <f>Q93</f>
        <v>608399.99999999988</v>
      </c>
      <c r="R87" s="220">
        <f>SUM(N87:Q87)</f>
        <v>2411999.9999999995</v>
      </c>
      <c r="S87" s="238">
        <f>S93</f>
        <v>683399.99999999977</v>
      </c>
      <c r="T87" s="238">
        <f>T93</f>
        <v>683399.99999999977</v>
      </c>
      <c r="U87" s="238">
        <f>U93</f>
        <v>683399.99999999977</v>
      </c>
      <c r="V87" s="238">
        <f>V93</f>
        <v>703799.99999999977</v>
      </c>
      <c r="W87" s="220">
        <f>SUM(S87:V87)</f>
        <v>2753999.9999999991</v>
      </c>
      <c r="X87" s="238">
        <f>X93</f>
        <v>751399.99999999977</v>
      </c>
      <c r="Y87" s="238">
        <f>Y93</f>
        <v>751399.99999999977</v>
      </c>
      <c r="Z87" s="238">
        <f>Z93</f>
        <v>751399.99999999977</v>
      </c>
      <c r="AA87" s="238">
        <f>AA93</f>
        <v>771799.99999999977</v>
      </c>
      <c r="AB87" s="242">
        <f>SUM(X87:AA87)</f>
        <v>3025999.9999999991</v>
      </c>
      <c r="AC87" s="244">
        <f>H87+M87+R87+W87+AB87</f>
        <v>10307199.999999996</v>
      </c>
      <c r="AD87" s="8"/>
    </row>
    <row r="88" spans="1:30" ht="13.2" thickBot="1" x14ac:dyDescent="0.25">
      <c r="A88" s="787"/>
      <c r="B88" s="777"/>
      <c r="C88" s="241" t="s">
        <v>391</v>
      </c>
      <c r="D88" s="239">
        <f>D98</f>
        <v>3962.2903405196275</v>
      </c>
      <c r="E88" s="236">
        <f>E98</f>
        <v>19811.45170259814</v>
      </c>
      <c r="F88" s="236">
        <f>F98</f>
        <v>50717.316358651238</v>
      </c>
      <c r="G88" s="236">
        <f>G98</f>
        <v>98264.800444886758</v>
      </c>
      <c r="H88" s="237">
        <f>SUM(D88:G88)</f>
        <v>172755.85884665576</v>
      </c>
      <c r="I88" s="239">
        <f>I98</f>
        <v>201041.61439465353</v>
      </c>
      <c r="J88" s="236">
        <f>J98</f>
        <v>349538.26139070443</v>
      </c>
      <c r="K88" s="236">
        <f>K98</f>
        <v>505174.17026156548</v>
      </c>
      <c r="L88" s="236">
        <f>L98</f>
        <v>670805.04575716075</v>
      </c>
      <c r="M88" s="237">
        <f>SUM(I88:L88)</f>
        <v>1726559.0918040841</v>
      </c>
      <c r="N88" s="239">
        <f>N98</f>
        <v>862351.44185831677</v>
      </c>
      <c r="O88" s="236">
        <f>O98</f>
        <v>1076957.6538151095</v>
      </c>
      <c r="P88" s="236">
        <f>P98</f>
        <v>1291563.8657719023</v>
      </c>
      <c r="Q88" s="236">
        <f>Q98</f>
        <v>1507455.1448661608</v>
      </c>
      <c r="R88" s="237">
        <f>SUM(N88:Q88)</f>
        <v>4738328.1063114898</v>
      </c>
      <c r="S88" s="239">
        <f>S98</f>
        <v>1734055.3167726346</v>
      </c>
      <c r="T88" s="236">
        <f>T98</f>
        <v>1962154.7336728186</v>
      </c>
      <c r="U88" s="236">
        <f>U98</f>
        <v>2175197.4472790281</v>
      </c>
      <c r="V88" s="236">
        <f>V98</f>
        <v>2375239.5650112084</v>
      </c>
      <c r="W88" s="237">
        <f>SUM(S88:V88)</f>
        <v>8246647.0627356898</v>
      </c>
      <c r="X88" s="239">
        <f>X98</f>
        <v>2532189.0980670345</v>
      </c>
      <c r="Y88" s="236">
        <f>Y98</f>
        <v>2651914.5197076006</v>
      </c>
      <c r="Z88" s="236">
        <f>Z98</f>
        <v>2764500.6794733559</v>
      </c>
      <c r="AA88" s="236">
        <f>AA98</f>
        <v>2870732.8961705309</v>
      </c>
      <c r="AB88" s="243">
        <f>SUM(X88:AA88)</f>
        <v>10819337.193418521</v>
      </c>
      <c r="AC88" s="245">
        <f>H88+M88+R88+W88+AB88</f>
        <v>25703627.313116439</v>
      </c>
      <c r="AD88" s="8"/>
    </row>
    <row r="89" spans="1:30" x14ac:dyDescent="0.2">
      <c r="A89" s="787"/>
      <c r="B89" s="764" t="s">
        <v>354</v>
      </c>
      <c r="C89" s="206" t="str">
        <f>C$3</f>
        <v>Liftoil</v>
      </c>
      <c r="D89" s="218">
        <f>Financing!$E8+Financing!$E14</f>
        <v>22199.999999999996</v>
      </c>
      <c r="E89" s="219">
        <f>Financing!$F8+Financing!$F14</f>
        <v>66599.999999999985</v>
      </c>
      <c r="F89" s="219">
        <f>Financing!$G8+Financing!$G14</f>
        <v>66599.999999999985</v>
      </c>
      <c r="G89" s="219">
        <f>Financing!$H8+Financing!$H14</f>
        <v>66599.999999999985</v>
      </c>
      <c r="H89" s="220">
        <f>SUM(D89:G89)</f>
        <v>221999.99999999994</v>
      </c>
      <c r="I89" s="218">
        <f>Financing!$E37+Financing!$E43</f>
        <v>199999.99999999994</v>
      </c>
      <c r="J89" s="219">
        <f>Financing!$F37+Financing!$F43</f>
        <v>199999.99999999994</v>
      </c>
      <c r="K89" s="219">
        <f>Financing!$G37+Financing!$G43</f>
        <v>199999.99999999994</v>
      </c>
      <c r="L89" s="219">
        <f>Financing!$H37+Financing!$H43</f>
        <v>199999.99999999994</v>
      </c>
      <c r="M89" s="220">
        <f>SUM(I89:L89)</f>
        <v>799999.99999999977</v>
      </c>
      <c r="N89" s="218">
        <f>Financing!$E66+Financing!$E72</f>
        <v>233999.99999999994</v>
      </c>
      <c r="O89" s="219">
        <f>Financing!$F66+Financing!$F72</f>
        <v>233999.99999999994</v>
      </c>
      <c r="P89" s="219">
        <f>Financing!$G66+Financing!$G72</f>
        <v>233999.99999999994</v>
      </c>
      <c r="Q89" s="219">
        <f>Financing!$H66+Financing!$H72</f>
        <v>233999.99999999994</v>
      </c>
      <c r="R89" s="220">
        <f>SUM(N89:Q89)</f>
        <v>935999.99999999977</v>
      </c>
      <c r="S89" s="218">
        <f>Financing!$E95+Financing!$E101</f>
        <v>227799.99999999994</v>
      </c>
      <c r="T89" s="219">
        <f>Financing!$F95+Financing!$F101</f>
        <v>227799.99999999994</v>
      </c>
      <c r="U89" s="219">
        <f>Financing!$G95+Financing!$G101</f>
        <v>227799.99999999994</v>
      </c>
      <c r="V89" s="219">
        <f>Financing!$H95+Financing!$H101</f>
        <v>234599.99999999994</v>
      </c>
      <c r="W89" s="220">
        <f>SUM(S89:V89)</f>
        <v>917999.99999999977</v>
      </c>
      <c r="X89" s="218">
        <f>Financing!$E124+Financing!$E130</f>
        <v>278799.99999999994</v>
      </c>
      <c r="Y89" s="219">
        <f>Financing!$F124+Financing!$F130</f>
        <v>278799.99999999994</v>
      </c>
      <c r="Z89" s="219">
        <f>Financing!$G124+Financing!$G130</f>
        <v>278799.99999999994</v>
      </c>
      <c r="AA89" s="219">
        <f>Financing!$H124+Financing!$H130</f>
        <v>285599.99999999994</v>
      </c>
      <c r="AB89" s="220">
        <f>SUM(X89:AA89)</f>
        <v>1121999.9999999998</v>
      </c>
      <c r="AC89" s="233">
        <f>H89+M89+R89+W89+AB89</f>
        <v>3997999.9999999991</v>
      </c>
      <c r="AD89" s="8"/>
    </row>
    <row r="90" spans="1:30" x14ac:dyDescent="0.2">
      <c r="A90" s="787"/>
      <c r="B90" s="765"/>
      <c r="C90" s="275" t="str">
        <f>C$4</f>
        <v>USA Canada</v>
      </c>
      <c r="D90" s="221">
        <f>Financing!$E155+Financing!$E161</f>
        <v>0</v>
      </c>
      <c r="E90" s="222">
        <f>Financing!$F155+Financing!$F161</f>
        <v>0</v>
      </c>
      <c r="F90" s="222">
        <f>Financing!$G155+Financing!$G161</f>
        <v>0</v>
      </c>
      <c r="G90" s="222">
        <f>Financing!$H155+Financing!$H161</f>
        <v>0</v>
      </c>
      <c r="H90" s="223">
        <f>SUM(D90:G90)</f>
        <v>0</v>
      </c>
      <c r="I90" s="221">
        <f>Financing!$E184+Financing!$E190</f>
        <v>0</v>
      </c>
      <c r="J90" s="222">
        <f>Financing!$F184+Financing!$F190</f>
        <v>0</v>
      </c>
      <c r="K90" s="222">
        <f>Financing!$G184+Financing!$G190</f>
        <v>0</v>
      </c>
      <c r="L90" s="222">
        <f>Financing!$H184+Financing!$H190</f>
        <v>0</v>
      </c>
      <c r="M90" s="223">
        <f>SUM(I90:L90)</f>
        <v>0</v>
      </c>
      <c r="N90" s="221">
        <f>Financing!$E213+Financing!$E219</f>
        <v>89999.999999999985</v>
      </c>
      <c r="O90" s="222">
        <f>Financing!$F213+Financing!$F219</f>
        <v>89999.999999999985</v>
      </c>
      <c r="P90" s="222">
        <f>Financing!$G213+Financing!$G219</f>
        <v>89999.999999999985</v>
      </c>
      <c r="Q90" s="222">
        <f>Financing!$H213+Financing!$H219</f>
        <v>89999.999999999985</v>
      </c>
      <c r="R90" s="223">
        <f>SUM(N90:Q90)</f>
        <v>359999.99999999994</v>
      </c>
      <c r="S90" s="221">
        <f>Financing!$E242+Financing!$E248</f>
        <v>142799.99999999997</v>
      </c>
      <c r="T90" s="222">
        <f>Financing!$F242+Financing!$F248</f>
        <v>142799.99999999997</v>
      </c>
      <c r="U90" s="222">
        <f>Financing!$G242+Financing!$G248</f>
        <v>142799.99999999997</v>
      </c>
      <c r="V90" s="222">
        <f>Financing!$H242+Financing!$H248</f>
        <v>149599.99999999997</v>
      </c>
      <c r="W90" s="223">
        <f>SUM(S90:V90)</f>
        <v>577999.99999999988</v>
      </c>
      <c r="X90" s="221">
        <f>Financing!$E271+Financing!$E277</f>
        <v>237999.99999999994</v>
      </c>
      <c r="Y90" s="222">
        <f>Financing!$F271+Financing!$F277</f>
        <v>237999.99999999994</v>
      </c>
      <c r="Z90" s="222">
        <f>Financing!$G271+Financing!$G277</f>
        <v>237999.99999999994</v>
      </c>
      <c r="AA90" s="222">
        <f>Financing!$H271+Financing!$H277</f>
        <v>237999.99999999994</v>
      </c>
      <c r="AB90" s="223">
        <f>SUM(X90:AA90)</f>
        <v>951999.99999999977</v>
      </c>
      <c r="AC90" s="234">
        <f>H90+M90+R90+W90+AB90</f>
        <v>1889999.9999999995</v>
      </c>
      <c r="AD90" s="8"/>
    </row>
    <row r="91" spans="1:30" ht="13.2" thickBot="1" x14ac:dyDescent="0.25">
      <c r="A91" s="787"/>
      <c r="B91" s="765"/>
      <c r="C91" s="207" t="s">
        <v>355</v>
      </c>
      <c r="D91" s="221">
        <f>Financing!$E304+Financing!$E312</f>
        <v>0</v>
      </c>
      <c r="E91" s="222">
        <f>Financing!$F304+Financing!$F312</f>
        <v>0</v>
      </c>
      <c r="F91" s="222">
        <f>Financing!$G304+Financing!$G312</f>
        <v>39959.999999999993</v>
      </c>
      <c r="G91" s="222">
        <f>Financing!$H304+Financing!$H312</f>
        <v>93239.999999999985</v>
      </c>
      <c r="H91" s="223">
        <f>SUM(D91:G91)</f>
        <v>133199.99999999997</v>
      </c>
      <c r="I91" s="221">
        <f>Financing!$E337+Financing!$E345</f>
        <v>215999.99999999994</v>
      </c>
      <c r="J91" s="222">
        <f>Financing!$F337+Financing!$F345</f>
        <v>215999.99999999994</v>
      </c>
      <c r="K91" s="222">
        <f>Financing!$G337+Financing!$G345</f>
        <v>255999.99999999994</v>
      </c>
      <c r="L91" s="222">
        <f>Financing!$H337+Financing!$H345</f>
        <v>271999.99999999994</v>
      </c>
      <c r="M91" s="223">
        <f>SUM(I91:L91)</f>
        <v>959999.99999999977</v>
      </c>
      <c r="N91" s="221">
        <f>Financing!$E370+Financing!$E378</f>
        <v>277199.99999999994</v>
      </c>
      <c r="O91" s="222">
        <f>Financing!$F370+Financing!$F378</f>
        <v>277199.99999999994</v>
      </c>
      <c r="P91" s="222">
        <f>Financing!$G370+Financing!$G378</f>
        <v>277199.99999999994</v>
      </c>
      <c r="Q91" s="222">
        <f>Financing!$H370+Financing!$H378</f>
        <v>284399.99999999994</v>
      </c>
      <c r="R91" s="223">
        <f>SUM(N91:Q91)</f>
        <v>1115999.9999999998</v>
      </c>
      <c r="S91" s="221">
        <f>Financing!$E403+Financing!$E411</f>
        <v>312799.99999999994</v>
      </c>
      <c r="T91" s="222">
        <f>Financing!$F403+Financing!$F411</f>
        <v>312799.99999999994</v>
      </c>
      <c r="U91" s="222">
        <f>Financing!$G403+Financing!$G411</f>
        <v>312799.99999999994</v>
      </c>
      <c r="V91" s="222">
        <f>Financing!$H403+Financing!$H411</f>
        <v>319599.99999999994</v>
      </c>
      <c r="W91" s="223">
        <f>SUM(S91:V91)</f>
        <v>1257999.9999999998</v>
      </c>
      <c r="X91" s="221">
        <f>Financing!$E436+Financing!$E444</f>
        <v>234599.99999999994</v>
      </c>
      <c r="Y91" s="222">
        <f>Financing!$F436+Financing!$F444</f>
        <v>234599.99999999994</v>
      </c>
      <c r="Z91" s="222">
        <f>Financing!$G436+Financing!$G444</f>
        <v>234599.99999999994</v>
      </c>
      <c r="AA91" s="222">
        <f>Financing!$H436+Financing!$H444</f>
        <v>248199.99999999994</v>
      </c>
      <c r="AB91" s="223">
        <f>SUM(X91:AA91)</f>
        <v>951999.99999999977</v>
      </c>
      <c r="AC91" s="234">
        <f>H91+M91+R91+W91+AB91</f>
        <v>4419199.9999999991</v>
      </c>
      <c r="AD91" s="8"/>
    </row>
    <row r="92" spans="1:30" ht="13.2" thickBot="1" x14ac:dyDescent="0.25">
      <c r="A92" s="787"/>
      <c r="B92" s="765"/>
      <c r="C92" s="420" t="s">
        <v>253</v>
      </c>
      <c r="D92" s="436">
        <f t="shared" ref="D92:AC92" si="41">D90+D91</f>
        <v>0</v>
      </c>
      <c r="E92" s="437">
        <f t="shared" si="41"/>
        <v>0</v>
      </c>
      <c r="F92" s="437">
        <f t="shared" si="41"/>
        <v>39959.999999999993</v>
      </c>
      <c r="G92" s="437">
        <f t="shared" si="41"/>
        <v>93239.999999999985</v>
      </c>
      <c r="H92" s="438">
        <f t="shared" si="41"/>
        <v>133199.99999999997</v>
      </c>
      <c r="I92" s="436">
        <f t="shared" si="41"/>
        <v>215999.99999999994</v>
      </c>
      <c r="J92" s="437">
        <f t="shared" si="41"/>
        <v>215999.99999999994</v>
      </c>
      <c r="K92" s="437">
        <f t="shared" si="41"/>
        <v>255999.99999999994</v>
      </c>
      <c r="L92" s="437">
        <f t="shared" si="41"/>
        <v>271999.99999999994</v>
      </c>
      <c r="M92" s="438">
        <f t="shared" si="41"/>
        <v>959999.99999999977</v>
      </c>
      <c r="N92" s="436">
        <f t="shared" si="41"/>
        <v>367199.99999999994</v>
      </c>
      <c r="O92" s="437">
        <f t="shared" si="41"/>
        <v>367199.99999999994</v>
      </c>
      <c r="P92" s="437">
        <f t="shared" si="41"/>
        <v>367199.99999999994</v>
      </c>
      <c r="Q92" s="437">
        <f t="shared" si="41"/>
        <v>374399.99999999994</v>
      </c>
      <c r="R92" s="438">
        <f t="shared" si="41"/>
        <v>1475999.9999999998</v>
      </c>
      <c r="S92" s="436">
        <f t="shared" si="41"/>
        <v>455599.99999999988</v>
      </c>
      <c r="T92" s="437">
        <f t="shared" si="41"/>
        <v>455599.99999999988</v>
      </c>
      <c r="U92" s="437">
        <f t="shared" si="41"/>
        <v>455599.99999999988</v>
      </c>
      <c r="V92" s="437">
        <f t="shared" si="41"/>
        <v>469199.99999999988</v>
      </c>
      <c r="W92" s="438">
        <f t="shared" si="41"/>
        <v>1835999.9999999995</v>
      </c>
      <c r="X92" s="436">
        <f t="shared" si="41"/>
        <v>472599.99999999988</v>
      </c>
      <c r="Y92" s="437">
        <f t="shared" si="41"/>
        <v>472599.99999999988</v>
      </c>
      <c r="Z92" s="437">
        <f t="shared" si="41"/>
        <v>472599.99999999988</v>
      </c>
      <c r="AA92" s="437">
        <f t="shared" si="41"/>
        <v>486199.99999999988</v>
      </c>
      <c r="AB92" s="438">
        <f t="shared" si="41"/>
        <v>1903999.9999999995</v>
      </c>
      <c r="AC92" s="439">
        <f t="shared" si="41"/>
        <v>6309199.9999999981</v>
      </c>
      <c r="AD92" s="8"/>
    </row>
    <row r="93" spans="1:30" ht="13.2" thickBot="1" x14ac:dyDescent="0.25">
      <c r="A93" s="787"/>
      <c r="B93" s="766"/>
      <c r="C93" s="416" t="s">
        <v>139</v>
      </c>
      <c r="D93" s="227">
        <f t="shared" ref="D93:AC93" si="42">D92+D89</f>
        <v>22199.999999999996</v>
      </c>
      <c r="E93" s="228">
        <f t="shared" si="42"/>
        <v>66599.999999999985</v>
      </c>
      <c r="F93" s="228">
        <f t="shared" si="42"/>
        <v>106559.99999999997</v>
      </c>
      <c r="G93" s="228">
        <f t="shared" si="42"/>
        <v>159839.99999999997</v>
      </c>
      <c r="H93" s="229">
        <f t="shared" si="42"/>
        <v>355199.99999999988</v>
      </c>
      <c r="I93" s="227">
        <f t="shared" si="42"/>
        <v>415999.99999999988</v>
      </c>
      <c r="J93" s="228">
        <f t="shared" si="42"/>
        <v>415999.99999999988</v>
      </c>
      <c r="K93" s="228">
        <f t="shared" si="42"/>
        <v>455999.99999999988</v>
      </c>
      <c r="L93" s="228">
        <f t="shared" si="42"/>
        <v>471999.99999999988</v>
      </c>
      <c r="M93" s="229">
        <f t="shared" si="42"/>
        <v>1759999.9999999995</v>
      </c>
      <c r="N93" s="227">
        <f t="shared" si="42"/>
        <v>601199.99999999988</v>
      </c>
      <c r="O93" s="228">
        <f t="shared" si="42"/>
        <v>601199.99999999988</v>
      </c>
      <c r="P93" s="228">
        <f t="shared" si="42"/>
        <v>601199.99999999988</v>
      </c>
      <c r="Q93" s="228">
        <f t="shared" si="42"/>
        <v>608399.99999999988</v>
      </c>
      <c r="R93" s="229">
        <f t="shared" si="42"/>
        <v>2411999.9999999995</v>
      </c>
      <c r="S93" s="227">
        <f t="shared" si="42"/>
        <v>683399.99999999977</v>
      </c>
      <c r="T93" s="228">
        <f t="shared" si="42"/>
        <v>683399.99999999977</v>
      </c>
      <c r="U93" s="228">
        <f t="shared" si="42"/>
        <v>683399.99999999977</v>
      </c>
      <c r="V93" s="228">
        <f t="shared" si="42"/>
        <v>703799.99999999977</v>
      </c>
      <c r="W93" s="229">
        <f t="shared" si="42"/>
        <v>2753999.9999999991</v>
      </c>
      <c r="X93" s="227">
        <f t="shared" si="42"/>
        <v>751399.99999999977</v>
      </c>
      <c r="Y93" s="228">
        <f t="shared" si="42"/>
        <v>751399.99999999977</v>
      </c>
      <c r="Z93" s="228">
        <f t="shared" si="42"/>
        <v>751399.99999999977</v>
      </c>
      <c r="AA93" s="228">
        <f t="shared" si="42"/>
        <v>771799.99999999977</v>
      </c>
      <c r="AB93" s="229">
        <f t="shared" si="42"/>
        <v>3025999.9999999991</v>
      </c>
      <c r="AC93" s="256">
        <f t="shared" si="42"/>
        <v>10307199.999999996</v>
      </c>
      <c r="AD93" s="8">
        <f>AC93+AC215</f>
        <v>21735199.999999996</v>
      </c>
    </row>
    <row r="94" spans="1:30" x14ac:dyDescent="0.2">
      <c r="A94" s="787"/>
      <c r="B94" s="764" t="s">
        <v>209</v>
      </c>
      <c r="C94" s="206" t="str">
        <f>C$3</f>
        <v>Liftoil</v>
      </c>
      <c r="D94" s="218">
        <f>Financing!$E18</f>
        <v>3962.2903405196275</v>
      </c>
      <c r="E94" s="219">
        <f>Financing!$F18</f>
        <v>19811.45170259814</v>
      </c>
      <c r="F94" s="219">
        <f>Financing!$G18</f>
        <v>43585.193745715907</v>
      </c>
      <c r="G94" s="219">
        <f>Financing!$H18</f>
        <v>67358.935788833667</v>
      </c>
      <c r="H94" s="220">
        <f>SUM(D94:G94)</f>
        <v>134717.87157766736</v>
      </c>
      <c r="I94" s="218">
        <f>Financing!$E47</f>
        <v>114942.11618444326</v>
      </c>
      <c r="J94" s="219">
        <f>Financing!$F47</f>
        <v>186334.73493254464</v>
      </c>
      <c r="K94" s="219">
        <f>Financing!$G47</f>
        <v>257727.35368064605</v>
      </c>
      <c r="L94" s="219">
        <f>Financing!$H47</f>
        <v>329119.97242874745</v>
      </c>
      <c r="M94" s="220">
        <f>SUM(I94:L94)</f>
        <v>888124.17722638138</v>
      </c>
      <c r="N94" s="218">
        <f>Financing!$E76</f>
        <v>406580.9637704374</v>
      </c>
      <c r="O94" s="219">
        <f>Financing!$F76</f>
        <v>490110.32770571607</v>
      </c>
      <c r="P94" s="219">
        <f>Financing!$G76</f>
        <v>573639.69164099474</v>
      </c>
      <c r="Q94" s="219">
        <f>Financing!$H76</f>
        <v>657169.05557627324</v>
      </c>
      <c r="R94" s="220">
        <f>SUM(N94:Q94)</f>
        <v>2127500.0386934215</v>
      </c>
      <c r="S94" s="218">
        <f>Financing!$E105</f>
        <v>735629.54358043673</v>
      </c>
      <c r="T94" s="219">
        <f>Financing!$F105</f>
        <v>801096.57497244573</v>
      </c>
      <c r="U94" s="219">
        <f>Financing!$G105</f>
        <v>858639.02568341547</v>
      </c>
      <c r="V94" s="219">
        <f>Financing!$H105</f>
        <v>917395.1509131029</v>
      </c>
      <c r="W94" s="220">
        <f>SUM(S94:V94)</f>
        <v>3312760.2951494008</v>
      </c>
      <c r="X94" s="218">
        <f>Financing!$E134</f>
        <v>961444.39668068138</v>
      </c>
      <c r="Y94" s="219">
        <f>Financing!$F134</f>
        <v>989573.08846743323</v>
      </c>
      <c r="Z94" s="219">
        <f>Financing!$G134</f>
        <v>1017701.7802541851</v>
      </c>
      <c r="AA94" s="219">
        <f>Financing!$H134</f>
        <v>1047044.1465596549</v>
      </c>
      <c r="AB94" s="220">
        <f>SUM(X94:AA94)</f>
        <v>4015763.4119619546</v>
      </c>
      <c r="AC94" s="233">
        <f>H94+M94+R94+W94+AB94</f>
        <v>10478865.794608826</v>
      </c>
      <c r="AD94" s="8"/>
    </row>
    <row r="95" spans="1:30" x14ac:dyDescent="0.2">
      <c r="A95" s="787"/>
      <c r="B95" s="765"/>
      <c r="C95" s="275" t="str">
        <f>C$4</f>
        <v>USA Canada</v>
      </c>
      <c r="D95" s="284">
        <f>Financing!$E165</f>
        <v>0</v>
      </c>
      <c r="E95" s="285">
        <f>Financing!$F165</f>
        <v>0</v>
      </c>
      <c r="F95" s="285">
        <f>Financing!$G165</f>
        <v>0</v>
      </c>
      <c r="G95" s="285">
        <f>Financing!$H165</f>
        <v>0</v>
      </c>
      <c r="H95" s="223">
        <f>SUM(D95:G95)</f>
        <v>0</v>
      </c>
      <c r="I95" s="284">
        <f>Financing!$E194</f>
        <v>0</v>
      </c>
      <c r="J95" s="285">
        <f>Financing!$F194</f>
        <v>0</v>
      </c>
      <c r="K95" s="285">
        <f>Financing!$G194</f>
        <v>0</v>
      </c>
      <c r="L95" s="285">
        <f>Financing!$H194</f>
        <v>0</v>
      </c>
      <c r="M95" s="223">
        <f>SUM(I95:L95)</f>
        <v>0</v>
      </c>
      <c r="N95" s="284">
        <f>Financing!$E223</f>
        <v>16063.339218322813</v>
      </c>
      <c r="O95" s="285">
        <f>Financing!$F223</f>
        <v>48190.01765496844</v>
      </c>
      <c r="P95" s="285">
        <f>Financing!$G223</f>
        <v>80316.696091614067</v>
      </c>
      <c r="Q95" s="285">
        <f>Financing!$H223</f>
        <v>112443.37452825969</v>
      </c>
      <c r="R95" s="223">
        <f>SUM(N95:Q95)</f>
        <v>257013.42749316501</v>
      </c>
      <c r="S95" s="284">
        <f>Financing!$E252</f>
        <v>153993.87863965469</v>
      </c>
      <c r="T95" s="285">
        <f>Financing!$F252</f>
        <v>204968.20842579909</v>
      </c>
      <c r="U95" s="285">
        <f>Financing!$G252</f>
        <v>255942.53821194349</v>
      </c>
      <c r="V95" s="285">
        <f>Financing!$H252</f>
        <v>308130.54251680558</v>
      </c>
      <c r="W95" s="223">
        <f>SUM(S95:V95)</f>
        <v>923035.1677942028</v>
      </c>
      <c r="X95" s="284">
        <f>Financing!$E281</f>
        <v>377309.99008371588</v>
      </c>
      <c r="Y95" s="285">
        <f>Financing!$F281</f>
        <v>462267.20639395656</v>
      </c>
      <c r="Z95" s="285">
        <f>Financing!$G281</f>
        <v>547224.42270419723</v>
      </c>
      <c r="AA95" s="285">
        <f>Financing!$H281</f>
        <v>632181.63901443779</v>
      </c>
      <c r="AB95" s="223">
        <f>SUM(X95:AA95)</f>
        <v>2018983.2581963073</v>
      </c>
      <c r="AC95" s="234">
        <f>H95+M95+R95+W95+AB95</f>
        <v>3199031.853483675</v>
      </c>
      <c r="AD95" s="8"/>
    </row>
    <row r="96" spans="1:30" ht="13.2" thickBot="1" x14ac:dyDescent="0.25">
      <c r="A96" s="787"/>
      <c r="B96" s="765"/>
      <c r="C96" s="207" t="s">
        <v>355</v>
      </c>
      <c r="D96" s="221">
        <f>Financing!$E316</f>
        <v>0</v>
      </c>
      <c r="E96" s="222">
        <f>Financing!$F316</f>
        <v>0</v>
      </c>
      <c r="F96" s="222">
        <f>Financing!$G316</f>
        <v>7132.122612935329</v>
      </c>
      <c r="G96" s="222">
        <f>Financing!$H316</f>
        <v>30905.864656053091</v>
      </c>
      <c r="H96" s="223">
        <f>SUM(D96:G96)</f>
        <v>38037.987268988421</v>
      </c>
      <c r="I96" s="221">
        <f>Financing!$E349</f>
        <v>86099.498210210266</v>
      </c>
      <c r="J96" s="222">
        <f>Financing!$F349</f>
        <v>163203.52645815976</v>
      </c>
      <c r="K96" s="222">
        <f>Financing!$G349</f>
        <v>247446.8165809194</v>
      </c>
      <c r="L96" s="222">
        <f>Financing!$H349</f>
        <v>341685.07332841324</v>
      </c>
      <c r="M96" s="223">
        <f>SUM(I96:L96)</f>
        <v>838434.91457770276</v>
      </c>
      <c r="N96" s="221">
        <f>Financing!$E382</f>
        <v>439707.13886955648</v>
      </c>
      <c r="O96" s="222">
        <f>Financing!$F382</f>
        <v>538657.30845442507</v>
      </c>
      <c r="P96" s="222">
        <f>Financing!$G382</f>
        <v>637607.47803929355</v>
      </c>
      <c r="Q96" s="222">
        <f>Financing!$H382</f>
        <v>737842.71476162784</v>
      </c>
      <c r="R96" s="223">
        <f>SUM(N96:Q96)</f>
        <v>2353814.6401249031</v>
      </c>
      <c r="S96" s="221">
        <f>Financing!$E415</f>
        <v>844431.89455254329</v>
      </c>
      <c r="T96" s="222">
        <f>Financing!$F415</f>
        <v>956089.95027457387</v>
      </c>
      <c r="U96" s="222">
        <f>Financing!$G415</f>
        <v>1060615.8833836692</v>
      </c>
      <c r="V96" s="222">
        <f>Financing!$H415</f>
        <v>1149713.8715812997</v>
      </c>
      <c r="W96" s="223">
        <f>SUM(S96:V96)</f>
        <v>4010851.5997920861</v>
      </c>
      <c r="X96" s="221">
        <f>Financing!$E448</f>
        <v>1193434.7113026374</v>
      </c>
      <c r="Y96" s="222">
        <f>Financing!$F448</f>
        <v>1200074.2248462108</v>
      </c>
      <c r="Z96" s="222">
        <f>Financing!$G448</f>
        <v>1199574.4765149737</v>
      </c>
      <c r="AA96" s="222">
        <f>Financing!$H448</f>
        <v>1191507.1105964382</v>
      </c>
      <c r="AB96" s="223">
        <f>SUM(X96:AA96)</f>
        <v>4784590.52326026</v>
      </c>
      <c r="AC96" s="234">
        <f>H96+M96+R96+W96+AB96</f>
        <v>12025729.66502394</v>
      </c>
      <c r="AD96" s="8"/>
    </row>
    <row r="97" spans="1:30" ht="13.2" thickBot="1" x14ac:dyDescent="0.25">
      <c r="A97" s="787"/>
      <c r="B97" s="765"/>
      <c r="C97" s="420" t="s">
        <v>253</v>
      </c>
      <c r="D97" s="436">
        <f t="shared" ref="D97:AC97" si="43">D95+D96</f>
        <v>0</v>
      </c>
      <c r="E97" s="437">
        <f t="shared" si="43"/>
        <v>0</v>
      </c>
      <c r="F97" s="437">
        <f t="shared" si="43"/>
        <v>7132.122612935329</v>
      </c>
      <c r="G97" s="437">
        <f t="shared" si="43"/>
        <v>30905.864656053091</v>
      </c>
      <c r="H97" s="438">
        <f t="shared" si="43"/>
        <v>38037.987268988421</v>
      </c>
      <c r="I97" s="436">
        <f t="shared" si="43"/>
        <v>86099.498210210266</v>
      </c>
      <c r="J97" s="437">
        <f t="shared" si="43"/>
        <v>163203.52645815976</v>
      </c>
      <c r="K97" s="437">
        <f t="shared" si="43"/>
        <v>247446.8165809194</v>
      </c>
      <c r="L97" s="437">
        <f t="shared" si="43"/>
        <v>341685.07332841324</v>
      </c>
      <c r="M97" s="438">
        <f t="shared" si="43"/>
        <v>838434.91457770276</v>
      </c>
      <c r="N97" s="436">
        <f t="shared" si="43"/>
        <v>455770.47808787931</v>
      </c>
      <c r="O97" s="437">
        <f t="shared" si="43"/>
        <v>586847.3261093935</v>
      </c>
      <c r="P97" s="437">
        <f t="shared" si="43"/>
        <v>717924.17413090763</v>
      </c>
      <c r="Q97" s="437">
        <f t="shared" si="43"/>
        <v>850286.08928988758</v>
      </c>
      <c r="R97" s="438">
        <f t="shared" si="43"/>
        <v>2610828.0676180683</v>
      </c>
      <c r="S97" s="436">
        <f t="shared" si="43"/>
        <v>998425.77319219802</v>
      </c>
      <c r="T97" s="437">
        <f t="shared" si="43"/>
        <v>1161058.158700373</v>
      </c>
      <c r="U97" s="437">
        <f t="shared" si="43"/>
        <v>1316558.4215956128</v>
      </c>
      <c r="V97" s="437">
        <f t="shared" si="43"/>
        <v>1457844.4140981054</v>
      </c>
      <c r="W97" s="438">
        <f t="shared" si="43"/>
        <v>4933886.767586289</v>
      </c>
      <c r="X97" s="436">
        <f t="shared" si="43"/>
        <v>1570744.7013863532</v>
      </c>
      <c r="Y97" s="437">
        <f t="shared" si="43"/>
        <v>1662341.4312401675</v>
      </c>
      <c r="Z97" s="437">
        <f t="shared" si="43"/>
        <v>1746798.8992191709</v>
      </c>
      <c r="AA97" s="437">
        <f t="shared" si="43"/>
        <v>1823688.749610876</v>
      </c>
      <c r="AB97" s="438">
        <f t="shared" si="43"/>
        <v>6803573.7814565673</v>
      </c>
      <c r="AC97" s="439">
        <f t="shared" si="43"/>
        <v>15224761.518507615</v>
      </c>
      <c r="AD97" s="8"/>
    </row>
    <row r="98" spans="1:30" ht="13.2" thickBot="1" x14ac:dyDescent="0.25">
      <c r="A98" s="787"/>
      <c r="B98" s="766"/>
      <c r="C98" s="416" t="s">
        <v>139</v>
      </c>
      <c r="D98" s="227">
        <f t="shared" ref="D98:AC98" si="44">D97+D94</f>
        <v>3962.2903405196275</v>
      </c>
      <c r="E98" s="228">
        <f t="shared" si="44"/>
        <v>19811.45170259814</v>
      </c>
      <c r="F98" s="228">
        <f t="shared" si="44"/>
        <v>50717.316358651238</v>
      </c>
      <c r="G98" s="228">
        <f t="shared" si="44"/>
        <v>98264.800444886758</v>
      </c>
      <c r="H98" s="229">
        <f t="shared" si="44"/>
        <v>172755.85884665578</v>
      </c>
      <c r="I98" s="227">
        <f t="shared" si="44"/>
        <v>201041.61439465353</v>
      </c>
      <c r="J98" s="228">
        <f t="shared" si="44"/>
        <v>349538.26139070443</v>
      </c>
      <c r="K98" s="228">
        <f t="shared" si="44"/>
        <v>505174.17026156548</v>
      </c>
      <c r="L98" s="228">
        <f t="shared" si="44"/>
        <v>670805.04575716075</v>
      </c>
      <c r="M98" s="229">
        <f t="shared" si="44"/>
        <v>1726559.0918040841</v>
      </c>
      <c r="N98" s="227">
        <f t="shared" si="44"/>
        <v>862351.44185831677</v>
      </c>
      <c r="O98" s="228">
        <f t="shared" si="44"/>
        <v>1076957.6538151095</v>
      </c>
      <c r="P98" s="228">
        <f t="shared" si="44"/>
        <v>1291563.8657719023</v>
      </c>
      <c r="Q98" s="228">
        <f t="shared" si="44"/>
        <v>1507455.1448661608</v>
      </c>
      <c r="R98" s="229">
        <f t="shared" si="44"/>
        <v>4738328.1063114898</v>
      </c>
      <c r="S98" s="227">
        <f t="shared" si="44"/>
        <v>1734055.3167726346</v>
      </c>
      <c r="T98" s="228">
        <f t="shared" si="44"/>
        <v>1962154.7336728186</v>
      </c>
      <c r="U98" s="228">
        <f t="shared" si="44"/>
        <v>2175197.4472790281</v>
      </c>
      <c r="V98" s="228">
        <f t="shared" si="44"/>
        <v>2375239.5650112084</v>
      </c>
      <c r="W98" s="229">
        <f t="shared" si="44"/>
        <v>8246647.0627356898</v>
      </c>
      <c r="X98" s="227">
        <f t="shared" si="44"/>
        <v>2532189.0980670345</v>
      </c>
      <c r="Y98" s="228">
        <f t="shared" si="44"/>
        <v>2651914.5197076006</v>
      </c>
      <c r="Z98" s="228">
        <f t="shared" si="44"/>
        <v>2764500.6794733559</v>
      </c>
      <c r="AA98" s="228">
        <f t="shared" si="44"/>
        <v>2870732.8961705309</v>
      </c>
      <c r="AB98" s="229">
        <f t="shared" si="44"/>
        <v>10819337.193418521</v>
      </c>
      <c r="AC98" s="256">
        <f t="shared" si="44"/>
        <v>25703627.313116439</v>
      </c>
      <c r="AD98" s="8"/>
    </row>
    <row r="99" spans="1:30" ht="13.05" customHeight="1" x14ac:dyDescent="0.2">
      <c r="A99" s="787"/>
      <c r="B99" s="764" t="s">
        <v>150</v>
      </c>
      <c r="C99" s="206" t="str">
        <f>C$3</f>
        <v>Liftoil</v>
      </c>
      <c r="D99" s="246">
        <f>D80</f>
        <v>111000</v>
      </c>
      <c r="E99" s="247">
        <f t="shared" ref="E99:G103" si="45">D99+E80</f>
        <v>444000</v>
      </c>
      <c r="F99" s="247">
        <f t="shared" si="45"/>
        <v>777000</v>
      </c>
      <c r="G99" s="247">
        <f t="shared" si="45"/>
        <v>1110000</v>
      </c>
      <c r="H99" s="252">
        <f>G99</f>
        <v>1110000</v>
      </c>
      <c r="I99" s="247">
        <f t="shared" ref="I99:L103" si="46">H99+I80</f>
        <v>2110000</v>
      </c>
      <c r="J99" s="247">
        <f t="shared" si="46"/>
        <v>3110000</v>
      </c>
      <c r="K99" s="247">
        <f t="shared" si="46"/>
        <v>4110000</v>
      </c>
      <c r="L99" s="247">
        <f t="shared" si="46"/>
        <v>5110000</v>
      </c>
      <c r="M99" s="252">
        <f>L99</f>
        <v>5110000</v>
      </c>
      <c r="N99" s="247">
        <f t="shared" ref="N99:Q103" si="47">M99+N80</f>
        <v>6280000</v>
      </c>
      <c r="O99" s="247">
        <f t="shared" si="47"/>
        <v>7450000</v>
      </c>
      <c r="P99" s="247">
        <f t="shared" si="47"/>
        <v>8620000</v>
      </c>
      <c r="Q99" s="247">
        <f t="shared" si="47"/>
        <v>9790000</v>
      </c>
      <c r="R99" s="252">
        <f>Q99</f>
        <v>9790000</v>
      </c>
      <c r="S99" s="247">
        <f t="shared" ref="S99:V103" si="48">R99+S80</f>
        <v>10929000</v>
      </c>
      <c r="T99" s="247">
        <f t="shared" si="48"/>
        <v>12068000</v>
      </c>
      <c r="U99" s="247">
        <f t="shared" si="48"/>
        <v>13207000</v>
      </c>
      <c r="V99" s="247">
        <f t="shared" si="48"/>
        <v>14380000</v>
      </c>
      <c r="W99" s="252">
        <f>V99</f>
        <v>14380000</v>
      </c>
      <c r="X99" s="247">
        <f t="shared" ref="X99:AA103" si="49">W99+X80</f>
        <v>15774000</v>
      </c>
      <c r="Y99" s="247">
        <f t="shared" si="49"/>
        <v>17168000</v>
      </c>
      <c r="Z99" s="247">
        <f t="shared" si="49"/>
        <v>18562000</v>
      </c>
      <c r="AA99" s="247">
        <f t="shared" si="49"/>
        <v>19990000</v>
      </c>
      <c r="AB99" s="252">
        <f t="shared" ref="AB99:AC103" si="50">AA99</f>
        <v>19990000</v>
      </c>
      <c r="AC99" s="233">
        <f t="shared" si="50"/>
        <v>19990000</v>
      </c>
      <c r="AD99" s="8"/>
    </row>
    <row r="100" spans="1:30" ht="13.05" customHeight="1" x14ac:dyDescent="0.2">
      <c r="A100" s="787"/>
      <c r="B100" s="765"/>
      <c r="C100" s="275" t="str">
        <f>C$4</f>
        <v>USA Canada</v>
      </c>
      <c r="D100" s="288">
        <f>D81</f>
        <v>0</v>
      </c>
      <c r="E100" s="289">
        <f t="shared" si="45"/>
        <v>0</v>
      </c>
      <c r="F100" s="289">
        <f t="shared" si="45"/>
        <v>0</v>
      </c>
      <c r="G100" s="289">
        <f t="shared" si="45"/>
        <v>0</v>
      </c>
      <c r="H100" s="253">
        <f>G100</f>
        <v>0</v>
      </c>
      <c r="I100" s="249">
        <f t="shared" si="46"/>
        <v>0</v>
      </c>
      <c r="J100" s="249">
        <f t="shared" si="46"/>
        <v>0</v>
      </c>
      <c r="K100" s="249">
        <f t="shared" si="46"/>
        <v>0</v>
      </c>
      <c r="L100" s="249">
        <f t="shared" si="46"/>
        <v>0</v>
      </c>
      <c r="M100" s="253">
        <f>L100</f>
        <v>0</v>
      </c>
      <c r="N100" s="249">
        <f t="shared" si="47"/>
        <v>450000</v>
      </c>
      <c r="O100" s="249">
        <f t="shared" si="47"/>
        <v>900000</v>
      </c>
      <c r="P100" s="249">
        <f t="shared" si="47"/>
        <v>1350000</v>
      </c>
      <c r="Q100" s="249">
        <f t="shared" si="47"/>
        <v>1800000</v>
      </c>
      <c r="R100" s="253">
        <f>Q100</f>
        <v>1800000</v>
      </c>
      <c r="S100" s="249">
        <f t="shared" si="48"/>
        <v>2514000</v>
      </c>
      <c r="T100" s="249">
        <f t="shared" si="48"/>
        <v>3228000</v>
      </c>
      <c r="U100" s="249">
        <f t="shared" si="48"/>
        <v>3942000</v>
      </c>
      <c r="V100" s="249">
        <f t="shared" si="48"/>
        <v>4690000</v>
      </c>
      <c r="W100" s="253">
        <f>V100</f>
        <v>4690000</v>
      </c>
      <c r="X100" s="249">
        <f t="shared" si="49"/>
        <v>5880000</v>
      </c>
      <c r="Y100" s="249">
        <f t="shared" si="49"/>
        <v>7070000</v>
      </c>
      <c r="Z100" s="249">
        <f t="shared" si="49"/>
        <v>8260000</v>
      </c>
      <c r="AA100" s="249">
        <f t="shared" si="49"/>
        <v>9450000</v>
      </c>
      <c r="AB100" s="253">
        <f t="shared" si="50"/>
        <v>9450000</v>
      </c>
      <c r="AC100" s="234">
        <f t="shared" si="50"/>
        <v>9450000</v>
      </c>
      <c r="AD100" s="8"/>
    </row>
    <row r="101" spans="1:30" x14ac:dyDescent="0.2">
      <c r="A101" s="787"/>
      <c r="B101" s="765"/>
      <c r="C101" s="207" t="str">
        <f>C$5</f>
        <v>Europe</v>
      </c>
      <c r="D101" s="248">
        <f>D82</f>
        <v>0</v>
      </c>
      <c r="E101" s="249">
        <f t="shared" si="45"/>
        <v>0</v>
      </c>
      <c r="F101" s="249">
        <f t="shared" si="45"/>
        <v>199800</v>
      </c>
      <c r="G101" s="249">
        <f t="shared" si="45"/>
        <v>666000</v>
      </c>
      <c r="H101" s="253">
        <f>G101</f>
        <v>666000</v>
      </c>
      <c r="I101" s="249">
        <f t="shared" si="46"/>
        <v>1306000</v>
      </c>
      <c r="J101" s="249">
        <f t="shared" si="46"/>
        <v>1946000</v>
      </c>
      <c r="K101" s="249">
        <f t="shared" si="46"/>
        <v>2586000</v>
      </c>
      <c r="L101" s="249">
        <f t="shared" si="46"/>
        <v>3266000</v>
      </c>
      <c r="M101" s="253">
        <f>L101</f>
        <v>3266000</v>
      </c>
      <c r="N101" s="249">
        <f t="shared" si="47"/>
        <v>4112000</v>
      </c>
      <c r="O101" s="249">
        <f t="shared" si="47"/>
        <v>4958000</v>
      </c>
      <c r="P101" s="249">
        <f t="shared" si="47"/>
        <v>5804000</v>
      </c>
      <c r="Q101" s="249">
        <f t="shared" si="47"/>
        <v>6686000</v>
      </c>
      <c r="R101" s="253">
        <f>Q101</f>
        <v>6686000</v>
      </c>
      <c r="S101" s="249">
        <f t="shared" si="48"/>
        <v>7706000</v>
      </c>
      <c r="T101" s="249">
        <f t="shared" si="48"/>
        <v>8726000</v>
      </c>
      <c r="U101" s="249">
        <f t="shared" si="48"/>
        <v>9746000</v>
      </c>
      <c r="V101" s="249">
        <f t="shared" si="48"/>
        <v>10766000</v>
      </c>
      <c r="W101" s="253">
        <f>V101</f>
        <v>10766000</v>
      </c>
      <c r="X101" s="249">
        <f t="shared" si="49"/>
        <v>11565000</v>
      </c>
      <c r="Y101" s="249">
        <f t="shared" si="49"/>
        <v>12364000</v>
      </c>
      <c r="Z101" s="249">
        <f t="shared" si="49"/>
        <v>13163000</v>
      </c>
      <c r="AA101" s="249">
        <f t="shared" si="49"/>
        <v>13996000</v>
      </c>
      <c r="AB101" s="253">
        <f t="shared" si="50"/>
        <v>13996000</v>
      </c>
      <c r="AC101" s="234">
        <f t="shared" si="50"/>
        <v>13996000</v>
      </c>
      <c r="AD101" s="8"/>
    </row>
    <row r="102" spans="1:30" x14ac:dyDescent="0.2">
      <c r="A102" s="787"/>
      <c r="B102" s="765"/>
      <c r="C102" s="207" t="str">
        <f>C$6</f>
        <v>Africa</v>
      </c>
      <c r="D102" s="248">
        <f>D83</f>
        <v>0</v>
      </c>
      <c r="E102" s="249">
        <f t="shared" si="45"/>
        <v>0</v>
      </c>
      <c r="F102" s="249">
        <f t="shared" si="45"/>
        <v>0</v>
      </c>
      <c r="G102" s="249">
        <f t="shared" si="45"/>
        <v>0</v>
      </c>
      <c r="H102" s="253">
        <f>G102</f>
        <v>0</v>
      </c>
      <c r="I102" s="249">
        <f t="shared" si="46"/>
        <v>440000</v>
      </c>
      <c r="J102" s="249">
        <f t="shared" si="46"/>
        <v>880000</v>
      </c>
      <c r="K102" s="249">
        <f t="shared" si="46"/>
        <v>1320000</v>
      </c>
      <c r="L102" s="249">
        <f t="shared" si="46"/>
        <v>1800000</v>
      </c>
      <c r="M102" s="253">
        <f>L102</f>
        <v>1800000</v>
      </c>
      <c r="N102" s="249">
        <f t="shared" si="47"/>
        <v>2250000</v>
      </c>
      <c r="O102" s="249">
        <f t="shared" si="47"/>
        <v>2700000</v>
      </c>
      <c r="P102" s="249">
        <f t="shared" si="47"/>
        <v>3150000</v>
      </c>
      <c r="Q102" s="249">
        <f t="shared" si="47"/>
        <v>3600000</v>
      </c>
      <c r="R102" s="253">
        <f>Q102</f>
        <v>3600000</v>
      </c>
      <c r="S102" s="249">
        <f t="shared" si="48"/>
        <v>4110000</v>
      </c>
      <c r="T102" s="249">
        <f t="shared" si="48"/>
        <v>4620000</v>
      </c>
      <c r="U102" s="249">
        <f t="shared" si="48"/>
        <v>5130000</v>
      </c>
      <c r="V102" s="249">
        <f t="shared" si="48"/>
        <v>5640000</v>
      </c>
      <c r="W102" s="253">
        <f>V102</f>
        <v>5640000</v>
      </c>
      <c r="X102" s="249">
        <f t="shared" si="49"/>
        <v>6014000</v>
      </c>
      <c r="Y102" s="249">
        <f t="shared" si="49"/>
        <v>6388000</v>
      </c>
      <c r="Z102" s="249">
        <f t="shared" si="49"/>
        <v>6762000</v>
      </c>
      <c r="AA102" s="249">
        <f t="shared" si="49"/>
        <v>7170000</v>
      </c>
      <c r="AB102" s="253">
        <f t="shared" si="50"/>
        <v>7170000</v>
      </c>
      <c r="AC102" s="234">
        <f t="shared" si="50"/>
        <v>7170000</v>
      </c>
      <c r="AD102" s="8"/>
    </row>
    <row r="103" spans="1:30" ht="13.2" thickBot="1" x14ac:dyDescent="0.25">
      <c r="A103" s="787"/>
      <c r="B103" s="765"/>
      <c r="C103" s="208" t="str">
        <f>C$7</f>
        <v>Asia</v>
      </c>
      <c r="D103" s="250">
        <f>D84</f>
        <v>0</v>
      </c>
      <c r="E103" s="251">
        <f t="shared" si="45"/>
        <v>0</v>
      </c>
      <c r="F103" s="251">
        <f t="shared" si="45"/>
        <v>0</v>
      </c>
      <c r="G103" s="251">
        <f t="shared" si="45"/>
        <v>0</v>
      </c>
      <c r="H103" s="254">
        <f>G103</f>
        <v>0</v>
      </c>
      <c r="I103" s="251">
        <f t="shared" si="46"/>
        <v>0</v>
      </c>
      <c r="J103" s="251">
        <f t="shared" si="46"/>
        <v>0</v>
      </c>
      <c r="K103" s="251">
        <f t="shared" si="46"/>
        <v>200000</v>
      </c>
      <c r="L103" s="251">
        <f t="shared" si="46"/>
        <v>400000</v>
      </c>
      <c r="M103" s="254">
        <f>L103</f>
        <v>400000</v>
      </c>
      <c r="N103" s="251">
        <f t="shared" si="47"/>
        <v>490000</v>
      </c>
      <c r="O103" s="251">
        <f t="shared" si="47"/>
        <v>580000</v>
      </c>
      <c r="P103" s="251">
        <f t="shared" si="47"/>
        <v>670000</v>
      </c>
      <c r="Q103" s="251">
        <f t="shared" si="47"/>
        <v>760000</v>
      </c>
      <c r="R103" s="254">
        <f>Q103</f>
        <v>760000</v>
      </c>
      <c r="S103" s="251">
        <f t="shared" si="48"/>
        <v>794000</v>
      </c>
      <c r="T103" s="251">
        <f t="shared" si="48"/>
        <v>828000</v>
      </c>
      <c r="U103" s="251">
        <f t="shared" si="48"/>
        <v>862000</v>
      </c>
      <c r="V103" s="251">
        <f t="shared" si="48"/>
        <v>930000</v>
      </c>
      <c r="W103" s="254">
        <f>V103</f>
        <v>930000</v>
      </c>
      <c r="X103" s="251">
        <f t="shared" si="49"/>
        <v>930000</v>
      </c>
      <c r="Y103" s="251">
        <f t="shared" si="49"/>
        <v>930000</v>
      </c>
      <c r="Z103" s="251">
        <f t="shared" si="49"/>
        <v>930000</v>
      </c>
      <c r="AA103" s="251">
        <f t="shared" si="49"/>
        <v>930000</v>
      </c>
      <c r="AB103" s="254">
        <f t="shared" si="50"/>
        <v>930000</v>
      </c>
      <c r="AC103" s="235">
        <f t="shared" si="50"/>
        <v>930000</v>
      </c>
      <c r="AD103" s="8"/>
    </row>
    <row r="104" spans="1:30" ht="13.2" thickBot="1" x14ac:dyDescent="0.25">
      <c r="A104" s="787"/>
      <c r="B104" s="765"/>
      <c r="C104" s="420" t="s">
        <v>253</v>
      </c>
      <c r="D104" s="436">
        <f t="shared" ref="D104:AC104" si="51">SUM(D100:D103)</f>
        <v>0</v>
      </c>
      <c r="E104" s="437">
        <f t="shared" si="51"/>
        <v>0</v>
      </c>
      <c r="F104" s="437">
        <f t="shared" si="51"/>
        <v>199800</v>
      </c>
      <c r="G104" s="437">
        <f t="shared" si="51"/>
        <v>666000</v>
      </c>
      <c r="H104" s="438">
        <f t="shared" si="51"/>
        <v>666000</v>
      </c>
      <c r="I104" s="436">
        <f t="shared" si="51"/>
        <v>1746000</v>
      </c>
      <c r="J104" s="437">
        <f t="shared" si="51"/>
        <v>2826000</v>
      </c>
      <c r="K104" s="437">
        <f t="shared" si="51"/>
        <v>4106000</v>
      </c>
      <c r="L104" s="437">
        <f t="shared" si="51"/>
        <v>5466000</v>
      </c>
      <c r="M104" s="438">
        <f t="shared" si="51"/>
        <v>5466000</v>
      </c>
      <c r="N104" s="436">
        <f t="shared" si="51"/>
        <v>7302000</v>
      </c>
      <c r="O104" s="437">
        <f t="shared" si="51"/>
        <v>9138000</v>
      </c>
      <c r="P104" s="437">
        <f t="shared" si="51"/>
        <v>10974000</v>
      </c>
      <c r="Q104" s="437">
        <f t="shared" si="51"/>
        <v>12846000</v>
      </c>
      <c r="R104" s="438">
        <f t="shared" si="51"/>
        <v>12846000</v>
      </c>
      <c r="S104" s="436">
        <f t="shared" si="51"/>
        <v>15124000</v>
      </c>
      <c r="T104" s="437">
        <f t="shared" si="51"/>
        <v>17402000</v>
      </c>
      <c r="U104" s="437">
        <f t="shared" si="51"/>
        <v>19680000</v>
      </c>
      <c r="V104" s="437">
        <f t="shared" si="51"/>
        <v>22026000</v>
      </c>
      <c r="W104" s="438">
        <f t="shared" si="51"/>
        <v>22026000</v>
      </c>
      <c r="X104" s="436">
        <f t="shared" si="51"/>
        <v>24389000</v>
      </c>
      <c r="Y104" s="437">
        <f t="shared" si="51"/>
        <v>26752000</v>
      </c>
      <c r="Z104" s="437">
        <f t="shared" si="51"/>
        <v>29115000</v>
      </c>
      <c r="AA104" s="437">
        <f t="shared" si="51"/>
        <v>31546000</v>
      </c>
      <c r="AB104" s="438">
        <f t="shared" si="51"/>
        <v>31546000</v>
      </c>
      <c r="AC104" s="438">
        <f t="shared" si="51"/>
        <v>31546000</v>
      </c>
      <c r="AD104" s="8"/>
    </row>
    <row r="105" spans="1:30" ht="13.2" thickBot="1" x14ac:dyDescent="0.25">
      <c r="A105" s="787"/>
      <c r="B105" s="766"/>
      <c r="C105" s="416" t="s">
        <v>139</v>
      </c>
      <c r="D105" s="433">
        <f t="shared" ref="D105:AC105" si="52">D99+D104</f>
        <v>111000</v>
      </c>
      <c r="E105" s="434">
        <f t="shared" si="52"/>
        <v>444000</v>
      </c>
      <c r="F105" s="434">
        <f t="shared" si="52"/>
        <v>976800</v>
      </c>
      <c r="G105" s="434">
        <f t="shared" si="52"/>
        <v>1776000</v>
      </c>
      <c r="H105" s="435">
        <f t="shared" si="52"/>
        <v>1776000</v>
      </c>
      <c r="I105" s="433">
        <f t="shared" si="52"/>
        <v>3856000</v>
      </c>
      <c r="J105" s="434">
        <f t="shared" si="52"/>
        <v>5936000</v>
      </c>
      <c r="K105" s="434">
        <f t="shared" si="52"/>
        <v>8216000</v>
      </c>
      <c r="L105" s="434">
        <f t="shared" si="52"/>
        <v>10576000</v>
      </c>
      <c r="M105" s="435">
        <f t="shared" si="52"/>
        <v>10576000</v>
      </c>
      <c r="N105" s="433">
        <f t="shared" si="52"/>
        <v>13582000</v>
      </c>
      <c r="O105" s="434">
        <f t="shared" si="52"/>
        <v>16588000</v>
      </c>
      <c r="P105" s="434">
        <f t="shared" si="52"/>
        <v>19594000</v>
      </c>
      <c r="Q105" s="434">
        <f t="shared" si="52"/>
        <v>22636000</v>
      </c>
      <c r="R105" s="435">
        <f t="shared" si="52"/>
        <v>22636000</v>
      </c>
      <c r="S105" s="433">
        <f t="shared" si="52"/>
        <v>26053000</v>
      </c>
      <c r="T105" s="434">
        <f t="shared" si="52"/>
        <v>29470000</v>
      </c>
      <c r="U105" s="434">
        <f t="shared" si="52"/>
        <v>32887000</v>
      </c>
      <c r="V105" s="434">
        <f t="shared" si="52"/>
        <v>36406000</v>
      </c>
      <c r="W105" s="435">
        <f t="shared" si="52"/>
        <v>36406000</v>
      </c>
      <c r="X105" s="433">
        <f t="shared" si="52"/>
        <v>40163000</v>
      </c>
      <c r="Y105" s="434">
        <f t="shared" si="52"/>
        <v>43920000</v>
      </c>
      <c r="Z105" s="434">
        <f t="shared" si="52"/>
        <v>47677000</v>
      </c>
      <c r="AA105" s="434">
        <f t="shared" si="52"/>
        <v>51536000</v>
      </c>
      <c r="AB105" s="435">
        <f t="shared" si="52"/>
        <v>51536000</v>
      </c>
      <c r="AC105" s="435">
        <f t="shared" si="52"/>
        <v>51536000</v>
      </c>
      <c r="AD105" s="8"/>
    </row>
    <row r="106" spans="1:30" ht="13.05" customHeight="1" x14ac:dyDescent="0.2">
      <c r="A106" s="787"/>
      <c r="B106" s="764" t="s">
        <v>389</v>
      </c>
      <c r="C106" s="206" t="str">
        <f>C$3</f>
        <v>Liftoil</v>
      </c>
      <c r="D106" s="218">
        <f>(D3*Parameters!$I6)</f>
        <v>6000</v>
      </c>
      <c r="E106" s="219">
        <f>(E3*Parameters!$I6)</f>
        <v>18000</v>
      </c>
      <c r="F106" s="219">
        <f>(F3*Parameters!$I6)</f>
        <v>18000</v>
      </c>
      <c r="G106" s="219">
        <f>(G3*Parameters!$I6)</f>
        <v>18000</v>
      </c>
      <c r="H106" s="220">
        <f>SUM(D106:G106)</f>
        <v>60000</v>
      </c>
      <c r="I106" s="218">
        <f>(I3*Parameters!$I6)</f>
        <v>60000</v>
      </c>
      <c r="J106" s="219">
        <f>(J3*Parameters!$I6)</f>
        <v>60000</v>
      </c>
      <c r="K106" s="219">
        <f>(K3*Parameters!$I6)</f>
        <v>60000</v>
      </c>
      <c r="L106" s="219">
        <f>(L3*Parameters!$I6)</f>
        <v>60000</v>
      </c>
      <c r="M106" s="220">
        <f>SUM(I106:L106)</f>
        <v>240000</v>
      </c>
      <c r="N106" s="218">
        <f>(N3*Parameters!$I6)</f>
        <v>78000</v>
      </c>
      <c r="O106" s="219">
        <f>(O3*Parameters!$I6)</f>
        <v>78000</v>
      </c>
      <c r="P106" s="219">
        <f>(P3*Parameters!$I6)</f>
        <v>78000</v>
      </c>
      <c r="Q106" s="219">
        <f>(Q3*Parameters!$I6)</f>
        <v>78000</v>
      </c>
      <c r="R106" s="220">
        <f>SUM(N106:Q106)</f>
        <v>312000</v>
      </c>
      <c r="S106" s="218">
        <f>(S3*Parameters!$I6)</f>
        <v>80400</v>
      </c>
      <c r="T106" s="219">
        <f>(T3*Parameters!$I6)</f>
        <v>80400</v>
      </c>
      <c r="U106" s="219">
        <f>(U3*Parameters!$I6)</f>
        <v>80400</v>
      </c>
      <c r="V106" s="219">
        <f>(V3*Parameters!$I6)</f>
        <v>82800</v>
      </c>
      <c r="W106" s="220">
        <f>SUM(S106:V106)</f>
        <v>324000</v>
      </c>
      <c r="X106" s="218">
        <f>(X3*Parameters!$I6)</f>
        <v>98400</v>
      </c>
      <c r="Y106" s="219">
        <f>(Y3*Parameters!$I6)</f>
        <v>98400</v>
      </c>
      <c r="Z106" s="219">
        <f>(Z3*Parameters!$I6)</f>
        <v>98400</v>
      </c>
      <c r="AA106" s="219">
        <f>(AA3*Parameters!$I6)</f>
        <v>100800</v>
      </c>
      <c r="AB106" s="220">
        <f>SUM(X106:AA106)</f>
        <v>396000</v>
      </c>
      <c r="AC106" s="233">
        <f>H106+M106+R106+W106+AB106</f>
        <v>1332000</v>
      </c>
      <c r="AD106" s="8"/>
    </row>
    <row r="107" spans="1:30" ht="13.05" customHeight="1" x14ac:dyDescent="0.2">
      <c r="A107" s="787"/>
      <c r="B107" s="765"/>
      <c r="C107" s="275" t="str">
        <f>C$4</f>
        <v>USA Canada</v>
      </c>
      <c r="D107" s="284">
        <f>(D4*Parameters!$I7)</f>
        <v>0</v>
      </c>
      <c r="E107" s="285">
        <f>(E4*Parameters!$I7)</f>
        <v>0</v>
      </c>
      <c r="F107" s="285">
        <f>(F4*Parameters!$I7)</f>
        <v>0</v>
      </c>
      <c r="G107" s="285">
        <f>(G4*Parameters!$I7)</f>
        <v>0</v>
      </c>
      <c r="H107" s="223">
        <f>SUM(D107:G107)</f>
        <v>0</v>
      </c>
      <c r="I107" s="284">
        <f>(I4*Parameters!$I7)</f>
        <v>0</v>
      </c>
      <c r="J107" s="285">
        <f>(J4*Parameters!$I7)</f>
        <v>0</v>
      </c>
      <c r="K107" s="285">
        <f>(K4*Parameters!$I7)</f>
        <v>0</v>
      </c>
      <c r="L107" s="285">
        <f>(L4*Parameters!$I7)</f>
        <v>0</v>
      </c>
      <c r="M107" s="223">
        <f>SUM(I107:L107)</f>
        <v>0</v>
      </c>
      <c r="N107" s="284">
        <f>(N4*Parameters!$I7)</f>
        <v>30000</v>
      </c>
      <c r="O107" s="285">
        <f>(O4*Parameters!$I7)</f>
        <v>30000</v>
      </c>
      <c r="P107" s="285">
        <f>(P4*Parameters!$I7)</f>
        <v>30000</v>
      </c>
      <c r="Q107" s="285">
        <f>(Q4*Parameters!$I7)</f>
        <v>30000</v>
      </c>
      <c r="R107" s="223">
        <f>SUM(N107:Q107)</f>
        <v>120000</v>
      </c>
      <c r="S107" s="284">
        <f>(S4*Parameters!$I7)</f>
        <v>50400</v>
      </c>
      <c r="T107" s="285">
        <f>(T4*Parameters!$I7)</f>
        <v>50400</v>
      </c>
      <c r="U107" s="285">
        <f>(U4*Parameters!$I7)</f>
        <v>50400</v>
      </c>
      <c r="V107" s="285">
        <f>(V4*Parameters!$I7)</f>
        <v>52800</v>
      </c>
      <c r="W107" s="223">
        <f>SUM(S107:V107)</f>
        <v>204000</v>
      </c>
      <c r="X107" s="284">
        <f>(X4*Parameters!$I7)</f>
        <v>84000</v>
      </c>
      <c r="Y107" s="285">
        <f>(Y4*Parameters!$I7)</f>
        <v>84000</v>
      </c>
      <c r="Z107" s="285">
        <f>(Z4*Parameters!$I7)</f>
        <v>84000</v>
      </c>
      <c r="AA107" s="285">
        <f>(AA4*Parameters!$I7)</f>
        <v>84000</v>
      </c>
      <c r="AB107" s="223">
        <f>SUM(X107:AA107)</f>
        <v>336000</v>
      </c>
      <c r="AC107" s="234">
        <f>H107+M107+R107+W107+AB107</f>
        <v>660000</v>
      </c>
      <c r="AD107" s="8"/>
    </row>
    <row r="108" spans="1:30" x14ac:dyDescent="0.2">
      <c r="A108" s="787"/>
      <c r="B108" s="765"/>
      <c r="C108" s="207" t="str">
        <f>C$5</f>
        <v>Europe</v>
      </c>
      <c r="D108" s="221">
        <f>(D5*Parameters!$I8)</f>
        <v>0</v>
      </c>
      <c r="E108" s="222">
        <f>(E5*Parameters!$I8)</f>
        <v>0</v>
      </c>
      <c r="F108" s="222">
        <f>(F5*Parameters!$I8)</f>
        <v>10800</v>
      </c>
      <c r="G108" s="222">
        <f>(G5*Parameters!$I8)</f>
        <v>25200</v>
      </c>
      <c r="H108" s="223">
        <f>SUM(D108:G108)</f>
        <v>36000</v>
      </c>
      <c r="I108" s="221">
        <f>(I5*Parameters!$I8)</f>
        <v>38400</v>
      </c>
      <c r="J108" s="222">
        <f>(J5*Parameters!$I8)</f>
        <v>38400</v>
      </c>
      <c r="K108" s="222">
        <f>(K5*Parameters!$I8)</f>
        <v>38400</v>
      </c>
      <c r="L108" s="222">
        <f>(L5*Parameters!$I8)</f>
        <v>40800</v>
      </c>
      <c r="M108" s="223">
        <f>SUM(I108:L108)</f>
        <v>156000</v>
      </c>
      <c r="N108" s="221">
        <f>(N5*Parameters!$I8)</f>
        <v>56400</v>
      </c>
      <c r="O108" s="222">
        <f>(O5*Parameters!$I8)</f>
        <v>56400</v>
      </c>
      <c r="P108" s="222">
        <f>(P5*Parameters!$I8)</f>
        <v>56400</v>
      </c>
      <c r="Q108" s="222">
        <f>(Q5*Parameters!$I8)</f>
        <v>58800</v>
      </c>
      <c r="R108" s="223">
        <f>SUM(N108:Q108)</f>
        <v>228000</v>
      </c>
      <c r="S108" s="221">
        <f>(S5*Parameters!$I8)</f>
        <v>72000</v>
      </c>
      <c r="T108" s="222">
        <f>(T5*Parameters!$I8)</f>
        <v>72000</v>
      </c>
      <c r="U108" s="222">
        <f>(U5*Parameters!$I8)</f>
        <v>72000</v>
      </c>
      <c r="V108" s="222">
        <f>(V5*Parameters!$I8)</f>
        <v>72000</v>
      </c>
      <c r="W108" s="223">
        <f>SUM(S108:V108)</f>
        <v>288000</v>
      </c>
      <c r="X108" s="221">
        <f>(X5*Parameters!$I8)</f>
        <v>56400</v>
      </c>
      <c r="Y108" s="222">
        <f>(Y5*Parameters!$I8)</f>
        <v>56400</v>
      </c>
      <c r="Z108" s="222">
        <f>(Z5*Parameters!$I8)</f>
        <v>56400</v>
      </c>
      <c r="AA108" s="222">
        <f>(AA5*Parameters!$I8)</f>
        <v>58800</v>
      </c>
      <c r="AB108" s="223">
        <f>SUM(X108:AA108)</f>
        <v>228000</v>
      </c>
      <c r="AC108" s="234">
        <f>H108+M108+R108+W108+AB108</f>
        <v>936000</v>
      </c>
      <c r="AD108" s="8"/>
    </row>
    <row r="109" spans="1:30" x14ac:dyDescent="0.2">
      <c r="A109" s="787"/>
      <c r="B109" s="765"/>
      <c r="C109" s="207" t="str">
        <f>C$6</f>
        <v>Africa</v>
      </c>
      <c r="D109" s="221">
        <f>(D6*Parameters!$I9)</f>
        <v>0</v>
      </c>
      <c r="E109" s="222">
        <f>(E6*Parameters!$I9)</f>
        <v>0</v>
      </c>
      <c r="F109" s="222">
        <f>(F6*Parameters!$I9)</f>
        <v>0</v>
      </c>
      <c r="G109" s="222">
        <f>(G6*Parameters!$I9)</f>
        <v>0</v>
      </c>
      <c r="H109" s="223">
        <f>SUM(D109:G109)</f>
        <v>0</v>
      </c>
      <c r="I109" s="221">
        <f>(I6*Parameters!$I9)</f>
        <v>26400</v>
      </c>
      <c r="J109" s="222">
        <f>(J6*Parameters!$I9)</f>
        <v>26400</v>
      </c>
      <c r="K109" s="222">
        <f>(K6*Parameters!$I9)</f>
        <v>26400</v>
      </c>
      <c r="L109" s="222">
        <f>(L6*Parameters!$I9)</f>
        <v>28800</v>
      </c>
      <c r="M109" s="223">
        <f>SUM(I109:L109)</f>
        <v>108000</v>
      </c>
      <c r="N109" s="221">
        <f>(N6*Parameters!$I9)</f>
        <v>30000</v>
      </c>
      <c r="O109" s="222">
        <f>(O6*Parameters!$I9)</f>
        <v>30000</v>
      </c>
      <c r="P109" s="222">
        <f>(P6*Parameters!$I9)</f>
        <v>30000</v>
      </c>
      <c r="Q109" s="222">
        <f>(Q6*Parameters!$I9)</f>
        <v>30000</v>
      </c>
      <c r="R109" s="223">
        <f>SUM(N109:Q109)</f>
        <v>120000</v>
      </c>
      <c r="S109" s="221">
        <f>(S6*Parameters!$I9)</f>
        <v>36000</v>
      </c>
      <c r="T109" s="222">
        <f>(T6*Parameters!$I9)</f>
        <v>36000</v>
      </c>
      <c r="U109" s="222">
        <f>(U6*Parameters!$I9)</f>
        <v>36000</v>
      </c>
      <c r="V109" s="222">
        <f>(V6*Parameters!$I9)</f>
        <v>36000</v>
      </c>
      <c r="W109" s="223">
        <f>SUM(S109:V109)</f>
        <v>144000</v>
      </c>
      <c r="X109" s="221">
        <f>(X6*Parameters!$I9)</f>
        <v>26400</v>
      </c>
      <c r="Y109" s="222">
        <f>(Y6*Parameters!$I9)</f>
        <v>26400</v>
      </c>
      <c r="Z109" s="222">
        <f>(Z6*Parameters!$I9)</f>
        <v>26400</v>
      </c>
      <c r="AA109" s="222">
        <f>(AA6*Parameters!$I9)</f>
        <v>28800</v>
      </c>
      <c r="AB109" s="223">
        <f>SUM(X109:AA109)</f>
        <v>108000</v>
      </c>
      <c r="AC109" s="234">
        <f>H109+M109+R109+W109+AB109</f>
        <v>480000</v>
      </c>
      <c r="AD109" s="8"/>
    </row>
    <row r="110" spans="1:30" ht="13.2" thickBot="1" x14ac:dyDescent="0.25">
      <c r="A110" s="787"/>
      <c r="B110" s="765"/>
      <c r="C110" s="208" t="str">
        <f>C$7</f>
        <v>Asia</v>
      </c>
      <c r="D110" s="221">
        <f>(D7*Parameters!$I10)</f>
        <v>0</v>
      </c>
      <c r="E110" s="225">
        <f>(E7*Parameters!$I10)</f>
        <v>0</v>
      </c>
      <c r="F110" s="225">
        <f>(F7*Parameters!$I10)</f>
        <v>0</v>
      </c>
      <c r="G110" s="225">
        <f>(G7*Parameters!$I10)</f>
        <v>0</v>
      </c>
      <c r="H110" s="226">
        <f>SUM(D110:G110)</f>
        <v>0</v>
      </c>
      <c r="I110" s="221">
        <f>(I7*Parameters!$I10)</f>
        <v>0</v>
      </c>
      <c r="J110" s="225">
        <f>(J7*Parameters!$I10)</f>
        <v>0</v>
      </c>
      <c r="K110" s="225">
        <f>(K7*Parameters!$I10)</f>
        <v>12000</v>
      </c>
      <c r="L110" s="225">
        <f>(L7*Parameters!$I10)</f>
        <v>12000</v>
      </c>
      <c r="M110" s="226">
        <f>SUM(I110:L110)</f>
        <v>24000</v>
      </c>
      <c r="N110" s="221">
        <f>(N7*Parameters!$I10)</f>
        <v>6000</v>
      </c>
      <c r="O110" s="225">
        <f>(O7*Parameters!$I10)</f>
        <v>6000</v>
      </c>
      <c r="P110" s="225">
        <f>(P7*Parameters!$I10)</f>
        <v>6000</v>
      </c>
      <c r="Q110" s="225">
        <f>(Q7*Parameters!$I10)</f>
        <v>6000</v>
      </c>
      <c r="R110" s="226">
        <f>SUM(N110:Q110)</f>
        <v>24000</v>
      </c>
      <c r="S110" s="221">
        <f>(S7*Parameters!$I10)</f>
        <v>2400</v>
      </c>
      <c r="T110" s="225">
        <f>(T7*Parameters!$I10)</f>
        <v>2400</v>
      </c>
      <c r="U110" s="225">
        <f>(U7*Parameters!$I10)</f>
        <v>2400</v>
      </c>
      <c r="V110" s="225">
        <f>(V7*Parameters!$I10)</f>
        <v>4800</v>
      </c>
      <c r="W110" s="226">
        <f>SUM(S110:V110)</f>
        <v>12000</v>
      </c>
      <c r="X110" s="221">
        <f>(X7*Parameters!$I10)</f>
        <v>0</v>
      </c>
      <c r="Y110" s="225">
        <f>(Y7*Parameters!$I10)</f>
        <v>0</v>
      </c>
      <c r="Z110" s="225">
        <f>(Z7*Parameters!$I10)</f>
        <v>0</v>
      </c>
      <c r="AA110" s="225">
        <f>(AA7*Parameters!$I10)</f>
        <v>0</v>
      </c>
      <c r="AB110" s="226">
        <f>SUM(X110:AA110)</f>
        <v>0</v>
      </c>
      <c r="AC110" s="235">
        <f>H110+M110+R110+W110+AB110</f>
        <v>60000</v>
      </c>
    </row>
    <row r="111" spans="1:30" ht="13.2" thickBot="1" x14ac:dyDescent="0.25">
      <c r="A111" s="787"/>
      <c r="B111" s="765"/>
      <c r="C111" s="420" t="s">
        <v>253</v>
      </c>
      <c r="D111" s="436">
        <f t="shared" ref="D111:AC111" si="53">SUM(D107:D110)</f>
        <v>0</v>
      </c>
      <c r="E111" s="437">
        <f t="shared" si="53"/>
        <v>0</v>
      </c>
      <c r="F111" s="437">
        <f t="shared" si="53"/>
        <v>10800</v>
      </c>
      <c r="G111" s="437">
        <f t="shared" si="53"/>
        <v>25200</v>
      </c>
      <c r="H111" s="438">
        <f t="shared" si="53"/>
        <v>36000</v>
      </c>
      <c r="I111" s="436">
        <f t="shared" si="53"/>
        <v>64800</v>
      </c>
      <c r="J111" s="437">
        <f t="shared" si="53"/>
        <v>64800</v>
      </c>
      <c r="K111" s="437">
        <f t="shared" si="53"/>
        <v>76800</v>
      </c>
      <c r="L111" s="437">
        <f t="shared" si="53"/>
        <v>81600</v>
      </c>
      <c r="M111" s="438">
        <f t="shared" si="53"/>
        <v>288000</v>
      </c>
      <c r="N111" s="436">
        <f t="shared" si="53"/>
        <v>122400</v>
      </c>
      <c r="O111" s="437">
        <f t="shared" si="53"/>
        <v>122400</v>
      </c>
      <c r="P111" s="437">
        <f t="shared" si="53"/>
        <v>122400</v>
      </c>
      <c r="Q111" s="437">
        <f t="shared" si="53"/>
        <v>124800</v>
      </c>
      <c r="R111" s="438">
        <f t="shared" si="53"/>
        <v>492000</v>
      </c>
      <c r="S111" s="436">
        <f t="shared" si="53"/>
        <v>160800</v>
      </c>
      <c r="T111" s="437">
        <f t="shared" si="53"/>
        <v>160800</v>
      </c>
      <c r="U111" s="437">
        <f t="shared" si="53"/>
        <v>160800</v>
      </c>
      <c r="V111" s="437">
        <f t="shared" si="53"/>
        <v>165600</v>
      </c>
      <c r="W111" s="438">
        <f t="shared" si="53"/>
        <v>648000</v>
      </c>
      <c r="X111" s="436">
        <f t="shared" si="53"/>
        <v>166800</v>
      </c>
      <c r="Y111" s="437">
        <f t="shared" si="53"/>
        <v>166800</v>
      </c>
      <c r="Z111" s="437">
        <f t="shared" si="53"/>
        <v>166800</v>
      </c>
      <c r="AA111" s="437">
        <f t="shared" si="53"/>
        <v>171600</v>
      </c>
      <c r="AB111" s="438">
        <f t="shared" si="53"/>
        <v>672000</v>
      </c>
      <c r="AC111" s="438">
        <f t="shared" si="53"/>
        <v>2136000</v>
      </c>
    </row>
    <row r="112" spans="1:30" ht="13.2" thickBot="1" x14ac:dyDescent="0.25">
      <c r="A112" s="787"/>
      <c r="B112" s="766"/>
      <c r="C112" s="416" t="s">
        <v>139</v>
      </c>
      <c r="D112" s="433">
        <f t="shared" ref="D112:AC112" si="54">D106+D111</f>
        <v>6000</v>
      </c>
      <c r="E112" s="434">
        <f t="shared" si="54"/>
        <v>18000</v>
      </c>
      <c r="F112" s="434">
        <f t="shared" si="54"/>
        <v>28800</v>
      </c>
      <c r="G112" s="434">
        <f t="shared" si="54"/>
        <v>43200</v>
      </c>
      <c r="H112" s="435">
        <f t="shared" si="54"/>
        <v>96000</v>
      </c>
      <c r="I112" s="433">
        <f t="shared" si="54"/>
        <v>124800</v>
      </c>
      <c r="J112" s="434">
        <f t="shared" si="54"/>
        <v>124800</v>
      </c>
      <c r="K112" s="434">
        <f t="shared" si="54"/>
        <v>136800</v>
      </c>
      <c r="L112" s="434">
        <f t="shared" si="54"/>
        <v>141600</v>
      </c>
      <c r="M112" s="435">
        <f t="shared" si="54"/>
        <v>528000</v>
      </c>
      <c r="N112" s="433">
        <f t="shared" si="54"/>
        <v>200400</v>
      </c>
      <c r="O112" s="434">
        <f t="shared" si="54"/>
        <v>200400</v>
      </c>
      <c r="P112" s="434">
        <f t="shared" si="54"/>
        <v>200400</v>
      </c>
      <c r="Q112" s="434">
        <f t="shared" si="54"/>
        <v>202800</v>
      </c>
      <c r="R112" s="435">
        <f t="shared" si="54"/>
        <v>804000</v>
      </c>
      <c r="S112" s="433">
        <f t="shared" si="54"/>
        <v>241200</v>
      </c>
      <c r="T112" s="434">
        <f t="shared" si="54"/>
        <v>241200</v>
      </c>
      <c r="U112" s="434">
        <f t="shared" si="54"/>
        <v>241200</v>
      </c>
      <c r="V112" s="434">
        <f t="shared" si="54"/>
        <v>248400</v>
      </c>
      <c r="W112" s="435">
        <f t="shared" si="54"/>
        <v>972000</v>
      </c>
      <c r="X112" s="433">
        <f t="shared" si="54"/>
        <v>265200</v>
      </c>
      <c r="Y112" s="434">
        <f t="shared" si="54"/>
        <v>265200</v>
      </c>
      <c r="Z112" s="434">
        <f t="shared" si="54"/>
        <v>265200</v>
      </c>
      <c r="AA112" s="434">
        <f t="shared" si="54"/>
        <v>272400</v>
      </c>
      <c r="AB112" s="435">
        <f t="shared" si="54"/>
        <v>1068000</v>
      </c>
      <c r="AC112" s="435">
        <f t="shared" si="54"/>
        <v>3468000</v>
      </c>
    </row>
    <row r="113" spans="1:29" ht="13.05" customHeight="1" x14ac:dyDescent="0.2">
      <c r="A113" s="787"/>
      <c r="B113" s="764" t="s">
        <v>429</v>
      </c>
      <c r="C113" s="206" t="str">
        <f>C$3</f>
        <v>Liftoil</v>
      </c>
      <c r="D113" s="218">
        <f>D52/(1+Parameters!$E14)</f>
        <v>0</v>
      </c>
      <c r="E113" s="219">
        <f>E52/(1+Parameters!$E14)</f>
        <v>1442.3076923076922</v>
      </c>
      <c r="F113" s="219">
        <f>F52/(1+Parameters!$E14)</f>
        <v>5769.2307692307686</v>
      </c>
      <c r="G113" s="219">
        <f>G52/(1+Parameters!$E14)</f>
        <v>10096.153846153846</v>
      </c>
      <c r="H113" s="220">
        <f>SUM(D113:G113)</f>
        <v>17307.692307692305</v>
      </c>
      <c r="I113" s="218">
        <f>I52/(1+Parameters!$E14)</f>
        <v>14423.076923076922</v>
      </c>
      <c r="J113" s="219">
        <f>J52/(1+Parameters!$E14)</f>
        <v>28846.153846153844</v>
      </c>
      <c r="K113" s="219">
        <f>K52/(1+Parameters!$E14)</f>
        <v>43269.230769230766</v>
      </c>
      <c r="L113" s="219">
        <f>L52/(1+Parameters!$E14)</f>
        <v>57692.307692307688</v>
      </c>
      <c r="M113" s="220">
        <f>SUM(I113:L113)</f>
        <v>144230.76923076922</v>
      </c>
      <c r="N113" s="218">
        <f>N52/(1+Parameters!$E14)</f>
        <v>72115.38461538461</v>
      </c>
      <c r="O113" s="219">
        <f>O52/(1+Parameters!$E14)</f>
        <v>90865.38461538461</v>
      </c>
      <c r="P113" s="219">
        <f>P52/(1+Parameters!$E14)</f>
        <v>109615.38461538461</v>
      </c>
      <c r="Q113" s="219">
        <f>Q52/(1+Parameters!$E14)</f>
        <v>128365.38461538461</v>
      </c>
      <c r="R113" s="220">
        <f>SUM(N113:Q113)</f>
        <v>400961.53846153844</v>
      </c>
      <c r="S113" s="218">
        <f>S52/(1+Parameters!$E14)</f>
        <v>147115.38461538462</v>
      </c>
      <c r="T113" s="219">
        <f>T52/(1+Parameters!$E14)</f>
        <v>166442.30769230769</v>
      </c>
      <c r="U113" s="219">
        <f>U52/(1+Parameters!$E14)</f>
        <v>185769.23076923075</v>
      </c>
      <c r="V113" s="219">
        <f>V52/(1+Parameters!$E14)</f>
        <v>205096.15384615384</v>
      </c>
      <c r="W113" s="220">
        <f>SUM(S113:V113)</f>
        <v>704423.07692307688</v>
      </c>
      <c r="X113" s="218">
        <f>X52/(1+Parameters!$E14)</f>
        <v>225000</v>
      </c>
      <c r="Y113" s="219">
        <f>Y52/(1+Parameters!$E14)</f>
        <v>248653.84615384616</v>
      </c>
      <c r="Z113" s="219">
        <f>Z52/(1+Parameters!$E14)</f>
        <v>272307.69230769231</v>
      </c>
      <c r="AA113" s="219">
        <f>AA52/(1+Parameters!$E14)</f>
        <v>295961.53846153844</v>
      </c>
      <c r="AB113" s="220">
        <f>SUM(X113:AA113)</f>
        <v>1041923.076923077</v>
      </c>
      <c r="AC113" s="233">
        <f>H113+M113+R113+W113+AB113</f>
        <v>2308846.153846154</v>
      </c>
    </row>
    <row r="114" spans="1:29" ht="13.05" customHeight="1" x14ac:dyDescent="0.2">
      <c r="A114" s="787"/>
      <c r="B114" s="765"/>
      <c r="C114" s="275" t="str">
        <f>C$4</f>
        <v>USA Canada</v>
      </c>
      <c r="D114" s="284">
        <f>D53/(1+Parameters!$E15)</f>
        <v>0</v>
      </c>
      <c r="E114" s="285">
        <f>E53/(1+Parameters!$E15)</f>
        <v>0</v>
      </c>
      <c r="F114" s="285">
        <f>F53/(1+Parameters!$E15)</f>
        <v>0</v>
      </c>
      <c r="G114" s="285">
        <f>G53/(1+Parameters!$E15)</f>
        <v>0</v>
      </c>
      <c r="H114" s="223">
        <f>SUM(D114:G114)</f>
        <v>0</v>
      </c>
      <c r="I114" s="284">
        <f>I53/(1+Parameters!$E15)</f>
        <v>0</v>
      </c>
      <c r="J114" s="285">
        <f>J53/(1+Parameters!$E15)</f>
        <v>0</v>
      </c>
      <c r="K114" s="285">
        <f>K53/(1+Parameters!$E15)</f>
        <v>0</v>
      </c>
      <c r="L114" s="285">
        <f>L53/(1+Parameters!$E15)</f>
        <v>0</v>
      </c>
      <c r="M114" s="223">
        <f>SUM(I114:L114)</f>
        <v>0</v>
      </c>
      <c r="N114" s="284">
        <f>N53/(1+Parameters!$E15)</f>
        <v>0</v>
      </c>
      <c r="O114" s="285">
        <f>O53/(1+Parameters!$E15)</f>
        <v>7211.538461538461</v>
      </c>
      <c r="P114" s="285">
        <f>P53/(1+Parameters!$E15)</f>
        <v>14423.076923076922</v>
      </c>
      <c r="Q114" s="285">
        <f>Q53/(1+Parameters!$E15)</f>
        <v>21634.615384615383</v>
      </c>
      <c r="R114" s="223">
        <f>SUM(N114:Q114)</f>
        <v>43269.230769230766</v>
      </c>
      <c r="S114" s="284">
        <f>S53/(1+Parameters!$E15)</f>
        <v>28846.153846153844</v>
      </c>
      <c r="T114" s="285">
        <f>T53/(1+Parameters!$E15)</f>
        <v>40961.538461538461</v>
      </c>
      <c r="U114" s="285">
        <f>U53/(1+Parameters!$E15)</f>
        <v>53076.923076923078</v>
      </c>
      <c r="V114" s="285">
        <f>V53/(1+Parameters!$E15)</f>
        <v>65192.307692307688</v>
      </c>
      <c r="W114" s="223">
        <f>SUM(S114:V114)</f>
        <v>188076.92307692306</v>
      </c>
      <c r="X114" s="284">
        <f>X53/(1+Parameters!$E15)</f>
        <v>77884.615384615376</v>
      </c>
      <c r="Y114" s="285">
        <f>Y53/(1+Parameters!$E15)</f>
        <v>98076.923076923078</v>
      </c>
      <c r="Z114" s="285">
        <f>Z53/(1+Parameters!$E15)</f>
        <v>118269.23076923077</v>
      </c>
      <c r="AA114" s="285">
        <f>AA53/(1+Parameters!$E15)</f>
        <v>138461.53846153847</v>
      </c>
      <c r="AB114" s="223">
        <f>SUM(X114:AA114)</f>
        <v>432692.30769230763</v>
      </c>
      <c r="AC114" s="234">
        <f>H114+M114+R114+W114+AB114</f>
        <v>664038.4615384615</v>
      </c>
    </row>
    <row r="115" spans="1:29" x14ac:dyDescent="0.2">
      <c r="A115" s="787"/>
      <c r="B115" s="765"/>
      <c r="C115" s="207" t="str">
        <f>C$5</f>
        <v>Europe</v>
      </c>
      <c r="D115" s="221">
        <f>D54/(1+Parameters!$E16)</f>
        <v>0</v>
      </c>
      <c r="E115" s="222">
        <f>E54/(1+Parameters!$E16)</f>
        <v>0</v>
      </c>
      <c r="F115" s="222">
        <f>F54/(1+Parameters!$E16)</f>
        <v>0</v>
      </c>
      <c r="G115" s="222">
        <f>G54/(1+Parameters!$E16)</f>
        <v>2596.1538461538462</v>
      </c>
      <c r="H115" s="223">
        <f>SUM(D115:G115)</f>
        <v>2596.1538461538462</v>
      </c>
      <c r="I115" s="221">
        <f>I54/(1+Parameters!$E16)</f>
        <v>8653.8461538461543</v>
      </c>
      <c r="J115" s="222">
        <f>J54/(1+Parameters!$E16)</f>
        <v>17884.615384615383</v>
      </c>
      <c r="K115" s="222">
        <f>K54/(1+Parameters!$E16)</f>
        <v>27115.384615384613</v>
      </c>
      <c r="L115" s="222">
        <f>L54/(1+Parameters!$E16)</f>
        <v>36346.153846153844</v>
      </c>
      <c r="M115" s="223">
        <f>SUM(I115:L115)</f>
        <v>90000</v>
      </c>
      <c r="N115" s="221">
        <f>N54/(1+Parameters!$E16)</f>
        <v>46153.846153846149</v>
      </c>
      <c r="O115" s="222">
        <f>O54/(1+Parameters!$E16)</f>
        <v>59711.538461538461</v>
      </c>
      <c r="P115" s="222">
        <f>P54/(1+Parameters!$E16)</f>
        <v>73269.230769230766</v>
      </c>
      <c r="Q115" s="222">
        <f>Q54/(1+Parameters!$E16)</f>
        <v>86826.923076923078</v>
      </c>
      <c r="R115" s="223">
        <f>SUM(N115:Q115)</f>
        <v>265961.53846153844</v>
      </c>
      <c r="S115" s="221">
        <f>S54/(1+Parameters!$E16)</f>
        <v>100961.53846153845</v>
      </c>
      <c r="T115" s="222">
        <f>T54/(1+Parameters!$E16)</f>
        <v>118269.23076923077</v>
      </c>
      <c r="U115" s="222">
        <f>U54/(1+Parameters!$E16)</f>
        <v>135576.92307692306</v>
      </c>
      <c r="V115" s="222">
        <f>V54/(1+Parameters!$E16)</f>
        <v>152884.61538461538</v>
      </c>
      <c r="W115" s="223">
        <f>SUM(S115:V115)</f>
        <v>507692.30769230763</v>
      </c>
      <c r="X115" s="221">
        <f>X54/(1+Parameters!$E16)</f>
        <v>170192.30769230769</v>
      </c>
      <c r="Y115" s="222">
        <f>Y54/(1+Parameters!$E16)</f>
        <v>183750</v>
      </c>
      <c r="Z115" s="222">
        <f>Z54/(1+Parameters!$E16)</f>
        <v>197307.69230769231</v>
      </c>
      <c r="AA115" s="222">
        <f>AA54/(1+Parameters!$E16)</f>
        <v>210865.3846153846</v>
      </c>
      <c r="AB115" s="223">
        <f>SUM(X115:AA115)</f>
        <v>762115.38461538462</v>
      </c>
      <c r="AC115" s="234">
        <f>H115+M115+R115+W115+AB115</f>
        <v>1628365.3846153845</v>
      </c>
    </row>
    <row r="116" spans="1:29" x14ac:dyDescent="0.2">
      <c r="A116" s="787"/>
      <c r="B116" s="765"/>
      <c r="C116" s="207" t="str">
        <f>C$6</f>
        <v>Africa</v>
      </c>
      <c r="D116" s="221">
        <f>D55/(1+Parameters!$E17)</f>
        <v>0</v>
      </c>
      <c r="E116" s="222">
        <f>E55/(1+Parameters!$E17)</f>
        <v>0</v>
      </c>
      <c r="F116" s="222">
        <f>F55/(1+Parameters!$E17)</f>
        <v>0</v>
      </c>
      <c r="G116" s="222">
        <f>G55/(1+Parameters!$E17)</f>
        <v>0</v>
      </c>
      <c r="H116" s="223">
        <f>SUM(D116:G116)</f>
        <v>0</v>
      </c>
      <c r="I116" s="221">
        <f>I55/(1+Parameters!$E17)</f>
        <v>0</v>
      </c>
      <c r="J116" s="222">
        <f>J55/(1+Parameters!$E17)</f>
        <v>6346.1538461538457</v>
      </c>
      <c r="K116" s="222">
        <f>K55/(1+Parameters!$E17)</f>
        <v>12692.307692307691</v>
      </c>
      <c r="L116" s="222">
        <f>L55/(1+Parameters!$E17)</f>
        <v>19038.461538461539</v>
      </c>
      <c r="M116" s="223">
        <f>SUM(I116:L116)</f>
        <v>38076.923076923078</v>
      </c>
      <c r="N116" s="221">
        <f>N55/(1+Parameters!$E17)</f>
        <v>25961.538461538461</v>
      </c>
      <c r="O116" s="222">
        <f>O55/(1+Parameters!$E17)</f>
        <v>33173.076923076922</v>
      </c>
      <c r="P116" s="222">
        <f>P55/(1+Parameters!$E17)</f>
        <v>40384.615384615383</v>
      </c>
      <c r="Q116" s="222">
        <f>Q55/(1+Parameters!$E17)</f>
        <v>47596.153846153844</v>
      </c>
      <c r="R116" s="223">
        <f>SUM(N116:Q116)</f>
        <v>147115.38461538462</v>
      </c>
      <c r="S116" s="221">
        <f>S55/(1+Parameters!$E17)</f>
        <v>54807.692307692305</v>
      </c>
      <c r="T116" s="222">
        <f>T55/(1+Parameters!$E17)</f>
        <v>63461.538461538461</v>
      </c>
      <c r="U116" s="222">
        <f>U55/(1+Parameters!$E17)</f>
        <v>72115.38461538461</v>
      </c>
      <c r="V116" s="222">
        <f>V55/(1+Parameters!$E17)</f>
        <v>80769.230769230766</v>
      </c>
      <c r="W116" s="223">
        <f>SUM(S116:V116)</f>
        <v>271153.84615384613</v>
      </c>
      <c r="X116" s="221">
        <f>X55/(1+Parameters!$E17)</f>
        <v>89423.076923076922</v>
      </c>
      <c r="Y116" s="222">
        <f>Y55/(1+Parameters!$E17)</f>
        <v>95769.230769230766</v>
      </c>
      <c r="Z116" s="222">
        <f>Z55/(1+Parameters!$E17)</f>
        <v>102115.38461538461</v>
      </c>
      <c r="AA116" s="222">
        <f>AA55/(1+Parameters!$E17)</f>
        <v>108461.53846153845</v>
      </c>
      <c r="AB116" s="223">
        <f>SUM(X116:AA116)</f>
        <v>395769.23076923075</v>
      </c>
      <c r="AC116" s="234">
        <f>H116+M116+R116+W116+AB116</f>
        <v>852115.38461538451</v>
      </c>
    </row>
    <row r="117" spans="1:29" ht="13.2" thickBot="1" x14ac:dyDescent="0.25">
      <c r="A117" s="787"/>
      <c r="B117" s="765"/>
      <c r="C117" s="208" t="str">
        <f>C$7</f>
        <v>Asia</v>
      </c>
      <c r="D117" s="221">
        <f>D56/(1+Parameters!$E18)</f>
        <v>0</v>
      </c>
      <c r="E117" s="225">
        <f>E56/(1+Parameters!$E18)</f>
        <v>0</v>
      </c>
      <c r="F117" s="225">
        <f>F56/(1+Parameters!$E18)</f>
        <v>0</v>
      </c>
      <c r="G117" s="225">
        <f>G56/(1+Parameters!$E18)</f>
        <v>0</v>
      </c>
      <c r="H117" s="226">
        <f>SUM(D117:G117)</f>
        <v>0</v>
      </c>
      <c r="I117" s="221">
        <f>I56/(1+Parameters!$E18)</f>
        <v>0</v>
      </c>
      <c r="J117" s="225">
        <f>J56/(1+Parameters!$E18)</f>
        <v>0</v>
      </c>
      <c r="K117" s="225">
        <f>K56/(1+Parameters!$E18)</f>
        <v>0</v>
      </c>
      <c r="L117" s="225">
        <f>L56/(1+Parameters!$E18)</f>
        <v>2884.6153846153843</v>
      </c>
      <c r="M117" s="226">
        <f>SUM(I117:L117)</f>
        <v>2884.6153846153843</v>
      </c>
      <c r="N117" s="221">
        <f>N56/(1+Parameters!$E18)</f>
        <v>5769.2307692307686</v>
      </c>
      <c r="O117" s="225">
        <f>O56/(1+Parameters!$E18)</f>
        <v>7211.538461538461</v>
      </c>
      <c r="P117" s="225">
        <f>P56/(1+Parameters!$E18)</f>
        <v>8653.8461538461543</v>
      </c>
      <c r="Q117" s="225">
        <f>Q56/(1+Parameters!$E18)</f>
        <v>10096.153846153846</v>
      </c>
      <c r="R117" s="226">
        <f>SUM(N117:Q117)</f>
        <v>31730.769230769227</v>
      </c>
      <c r="S117" s="221">
        <f>S56/(1+Parameters!$E18)</f>
        <v>11538.461538461537</v>
      </c>
      <c r="T117" s="225">
        <f>T56/(1+Parameters!$E18)</f>
        <v>12115.384615384615</v>
      </c>
      <c r="U117" s="225">
        <f>U56/(1+Parameters!$E18)</f>
        <v>12692.307692307691</v>
      </c>
      <c r="V117" s="225">
        <f>V56/(1+Parameters!$E18)</f>
        <v>13269.23076923077</v>
      </c>
      <c r="W117" s="226">
        <f>SUM(S117:V117)</f>
        <v>49615.38461538461</v>
      </c>
      <c r="X117" s="221">
        <f>X56/(1+Parameters!$E18)</f>
        <v>14423.076923076922</v>
      </c>
      <c r="Y117" s="225">
        <f>Y56/(1+Parameters!$E18)</f>
        <v>14423.076923076922</v>
      </c>
      <c r="Z117" s="225">
        <f>Z56/(1+Parameters!$E18)</f>
        <v>14423.076923076922</v>
      </c>
      <c r="AA117" s="225">
        <f>AA56/(1+Parameters!$E18)</f>
        <v>14423.076923076922</v>
      </c>
      <c r="AB117" s="226">
        <f>SUM(X117:AA117)</f>
        <v>57692.307692307688</v>
      </c>
      <c r="AC117" s="235">
        <f>H117+M117+R117+W117+AB117</f>
        <v>141923.07692307691</v>
      </c>
    </row>
    <row r="118" spans="1:29" ht="13.2" thickBot="1" x14ac:dyDescent="0.25">
      <c r="A118" s="787"/>
      <c r="B118" s="765"/>
      <c r="C118" s="420" t="s">
        <v>253</v>
      </c>
      <c r="D118" s="436">
        <f t="shared" ref="D118:AC118" si="55">SUM(D114:D117)</f>
        <v>0</v>
      </c>
      <c r="E118" s="437">
        <f t="shared" si="55"/>
        <v>0</v>
      </c>
      <c r="F118" s="437">
        <f t="shared" si="55"/>
        <v>0</v>
      </c>
      <c r="G118" s="437">
        <f t="shared" si="55"/>
        <v>2596.1538461538462</v>
      </c>
      <c r="H118" s="438">
        <f t="shared" si="55"/>
        <v>2596.1538461538462</v>
      </c>
      <c r="I118" s="436">
        <f t="shared" si="55"/>
        <v>8653.8461538461543</v>
      </c>
      <c r="J118" s="437">
        <f t="shared" si="55"/>
        <v>24230.769230769227</v>
      </c>
      <c r="K118" s="437">
        <f t="shared" si="55"/>
        <v>39807.692307692305</v>
      </c>
      <c r="L118" s="437">
        <f t="shared" si="55"/>
        <v>58269.230769230766</v>
      </c>
      <c r="M118" s="438">
        <f t="shared" si="55"/>
        <v>130961.53846153847</v>
      </c>
      <c r="N118" s="436">
        <f t="shared" si="55"/>
        <v>77884.615384615376</v>
      </c>
      <c r="O118" s="437">
        <f t="shared" si="55"/>
        <v>107307.69230769231</v>
      </c>
      <c r="P118" s="437">
        <f t="shared" si="55"/>
        <v>136730.76923076922</v>
      </c>
      <c r="Q118" s="437">
        <f t="shared" si="55"/>
        <v>166153.84615384616</v>
      </c>
      <c r="R118" s="438">
        <f t="shared" si="55"/>
        <v>488076.92307692306</v>
      </c>
      <c r="S118" s="436">
        <f t="shared" si="55"/>
        <v>196153.84615384613</v>
      </c>
      <c r="T118" s="437">
        <f t="shared" si="55"/>
        <v>234807.69230769231</v>
      </c>
      <c r="U118" s="437">
        <f t="shared" si="55"/>
        <v>273461.53846153844</v>
      </c>
      <c r="V118" s="437">
        <f t="shared" si="55"/>
        <v>312115.38461538457</v>
      </c>
      <c r="W118" s="438">
        <f t="shared" si="55"/>
        <v>1016538.4615384615</v>
      </c>
      <c r="X118" s="436">
        <f t="shared" si="55"/>
        <v>351923.07692307694</v>
      </c>
      <c r="Y118" s="437">
        <f t="shared" si="55"/>
        <v>392019.23076923075</v>
      </c>
      <c r="Z118" s="437">
        <f t="shared" si="55"/>
        <v>432115.38461538462</v>
      </c>
      <c r="AA118" s="437">
        <f t="shared" si="55"/>
        <v>472211.53846153844</v>
      </c>
      <c r="AB118" s="438">
        <f t="shared" si="55"/>
        <v>1648269.2307692308</v>
      </c>
      <c r="AC118" s="438">
        <f t="shared" si="55"/>
        <v>3286442.3076923075</v>
      </c>
    </row>
    <row r="119" spans="1:29" ht="13.2" thickBot="1" x14ac:dyDescent="0.25">
      <c r="A119" s="787"/>
      <c r="B119" s="766"/>
      <c r="C119" s="416" t="s">
        <v>139</v>
      </c>
      <c r="D119" s="433">
        <f t="shared" ref="D119:AC119" si="56">D113+D118</f>
        <v>0</v>
      </c>
      <c r="E119" s="434">
        <f t="shared" si="56"/>
        <v>1442.3076923076922</v>
      </c>
      <c r="F119" s="434">
        <f t="shared" si="56"/>
        <v>5769.2307692307686</v>
      </c>
      <c r="G119" s="434">
        <f t="shared" si="56"/>
        <v>12692.307692307691</v>
      </c>
      <c r="H119" s="435">
        <f t="shared" si="56"/>
        <v>19903.846153846152</v>
      </c>
      <c r="I119" s="433">
        <f t="shared" si="56"/>
        <v>23076.923076923078</v>
      </c>
      <c r="J119" s="434">
        <f t="shared" si="56"/>
        <v>53076.923076923071</v>
      </c>
      <c r="K119" s="434">
        <f t="shared" si="56"/>
        <v>83076.923076923063</v>
      </c>
      <c r="L119" s="434">
        <f t="shared" si="56"/>
        <v>115961.53846153845</v>
      </c>
      <c r="M119" s="435">
        <f t="shared" si="56"/>
        <v>275192.30769230769</v>
      </c>
      <c r="N119" s="433">
        <f t="shared" si="56"/>
        <v>150000</v>
      </c>
      <c r="O119" s="434">
        <f t="shared" si="56"/>
        <v>198173.07692307694</v>
      </c>
      <c r="P119" s="434">
        <f t="shared" si="56"/>
        <v>246346.15384615381</v>
      </c>
      <c r="Q119" s="434">
        <f t="shared" si="56"/>
        <v>294519.23076923075</v>
      </c>
      <c r="R119" s="435">
        <f t="shared" si="56"/>
        <v>889038.4615384615</v>
      </c>
      <c r="S119" s="433">
        <f t="shared" si="56"/>
        <v>343269.23076923075</v>
      </c>
      <c r="T119" s="434">
        <f t="shared" si="56"/>
        <v>401250</v>
      </c>
      <c r="U119" s="434">
        <f t="shared" si="56"/>
        <v>459230.76923076919</v>
      </c>
      <c r="V119" s="434">
        <f t="shared" si="56"/>
        <v>517211.53846153838</v>
      </c>
      <c r="W119" s="435">
        <f t="shared" si="56"/>
        <v>1720961.5384615385</v>
      </c>
      <c r="X119" s="433">
        <f t="shared" si="56"/>
        <v>576923.07692307699</v>
      </c>
      <c r="Y119" s="434">
        <f t="shared" si="56"/>
        <v>640673.07692307688</v>
      </c>
      <c r="Z119" s="434">
        <f t="shared" si="56"/>
        <v>704423.07692307699</v>
      </c>
      <c r="AA119" s="434">
        <f t="shared" si="56"/>
        <v>768173.07692307688</v>
      </c>
      <c r="AB119" s="435">
        <f t="shared" si="56"/>
        <v>2690192.307692308</v>
      </c>
      <c r="AC119" s="435">
        <f t="shared" si="56"/>
        <v>5595288.461538462</v>
      </c>
    </row>
    <row r="120" spans="1:29" x14ac:dyDescent="0.2">
      <c r="A120" s="787"/>
      <c r="B120" s="764" t="s">
        <v>430</v>
      </c>
      <c r="C120" s="206" t="str">
        <f>C$3</f>
        <v>Liftoil</v>
      </c>
      <c r="D120" s="218">
        <f>D59/(1+Parameters!$I21)</f>
        <v>0</v>
      </c>
      <c r="E120" s="219">
        <f>E59/(1+Parameters!$I21)</f>
        <v>3750</v>
      </c>
      <c r="F120" s="219">
        <f>F59/(1+Parameters!$I21)</f>
        <v>15000</v>
      </c>
      <c r="G120" s="219">
        <f>G59/(1+Parameters!$I21)</f>
        <v>26250</v>
      </c>
      <c r="H120" s="220">
        <f>SUM(D120:G120)</f>
        <v>45000</v>
      </c>
      <c r="I120" s="218">
        <f>I59/(1+Parameters!$I21)</f>
        <v>37500</v>
      </c>
      <c r="J120" s="219">
        <f>J59/(1+Parameters!$I21)</f>
        <v>75000</v>
      </c>
      <c r="K120" s="219">
        <f>K59/(1+Parameters!$I21)</f>
        <v>112500</v>
      </c>
      <c r="L120" s="219">
        <f>L59/(1+Parameters!$I21)</f>
        <v>150000</v>
      </c>
      <c r="M120" s="220">
        <f>SUM(I120:L120)</f>
        <v>375000</v>
      </c>
      <c r="N120" s="218">
        <f>N59/(1+Parameters!$I21)</f>
        <v>187500</v>
      </c>
      <c r="O120" s="219">
        <f>O59/(1+Parameters!$I21)</f>
        <v>236250</v>
      </c>
      <c r="P120" s="219">
        <f>P59/(1+Parameters!$I21)</f>
        <v>285000</v>
      </c>
      <c r="Q120" s="219">
        <f>Q59/(1+Parameters!$I21)</f>
        <v>333750</v>
      </c>
      <c r="R120" s="220">
        <f>SUM(N120:Q120)</f>
        <v>1042500</v>
      </c>
      <c r="S120" s="218">
        <f>S59/(1+Parameters!$I21)</f>
        <v>382500</v>
      </c>
      <c r="T120" s="219">
        <f>T59/(1+Parameters!$I21)</f>
        <v>432750</v>
      </c>
      <c r="U120" s="219">
        <f>U59/(1+Parameters!$I21)</f>
        <v>483000</v>
      </c>
      <c r="V120" s="219">
        <f>V59/(1+Parameters!$I21)</f>
        <v>533250</v>
      </c>
      <c r="W120" s="220">
        <f>SUM(S120:V120)</f>
        <v>1831500</v>
      </c>
      <c r="X120" s="218">
        <f>X59/(1+Parameters!$I21)</f>
        <v>585000</v>
      </c>
      <c r="Y120" s="219">
        <f>Y59/(1+Parameters!$I21)</f>
        <v>646500</v>
      </c>
      <c r="Z120" s="219">
        <f>Z59/(1+Parameters!$I21)</f>
        <v>708000</v>
      </c>
      <c r="AA120" s="219">
        <f>AA59/(1+Parameters!$I21)</f>
        <v>769500</v>
      </c>
      <c r="AB120" s="220">
        <f>SUM(X120:AA120)</f>
        <v>2709000</v>
      </c>
      <c r="AC120" s="233">
        <f>H120+M120+R120+W120+AB120</f>
        <v>6003000</v>
      </c>
    </row>
    <row r="121" spans="1:29" x14ac:dyDescent="0.2">
      <c r="A121" s="787"/>
      <c r="B121" s="765"/>
      <c r="C121" s="275" t="str">
        <f>C$4</f>
        <v>USA Canada</v>
      </c>
      <c r="D121" s="284">
        <f>D60/(1+Parameters!$I22)</f>
        <v>0</v>
      </c>
      <c r="E121" s="285">
        <f>E60/(1+Parameters!$I22)</f>
        <v>0</v>
      </c>
      <c r="F121" s="285">
        <f>F60/(1+Parameters!$I22)</f>
        <v>0</v>
      </c>
      <c r="G121" s="285">
        <f>G60/(1+Parameters!$I22)</f>
        <v>0</v>
      </c>
      <c r="H121" s="223">
        <f>SUM(D121:G121)</f>
        <v>0</v>
      </c>
      <c r="I121" s="284">
        <f>I60/(1+Parameters!$I22)</f>
        <v>0</v>
      </c>
      <c r="J121" s="285">
        <f>J60/(1+Parameters!$I22)</f>
        <v>0</v>
      </c>
      <c r="K121" s="285">
        <f>K60/(1+Parameters!$I22)</f>
        <v>0</v>
      </c>
      <c r="L121" s="285">
        <f>L60/(1+Parameters!$I22)</f>
        <v>0</v>
      </c>
      <c r="M121" s="223">
        <f>SUM(I121:L121)</f>
        <v>0</v>
      </c>
      <c r="N121" s="284">
        <f>N60/(1+Parameters!$I22)</f>
        <v>0</v>
      </c>
      <c r="O121" s="285">
        <f>O60/(1+Parameters!$I22)</f>
        <v>18750</v>
      </c>
      <c r="P121" s="285">
        <f>P60/(1+Parameters!$I22)</f>
        <v>37500</v>
      </c>
      <c r="Q121" s="285">
        <f>Q60/(1+Parameters!$I22)</f>
        <v>56250</v>
      </c>
      <c r="R121" s="223">
        <f>SUM(N121:Q121)</f>
        <v>112500</v>
      </c>
      <c r="S121" s="284">
        <f>S60/(1+Parameters!$I22)</f>
        <v>75000</v>
      </c>
      <c r="T121" s="285">
        <f>T60/(1+Parameters!$I22)</f>
        <v>106500</v>
      </c>
      <c r="U121" s="285">
        <f>U60/(1+Parameters!$I22)</f>
        <v>138000</v>
      </c>
      <c r="V121" s="285">
        <f>V60/(1+Parameters!$I22)</f>
        <v>169500</v>
      </c>
      <c r="W121" s="223">
        <f>SUM(S121:V121)</f>
        <v>489000</v>
      </c>
      <c r="X121" s="284">
        <f>X60/(1+Parameters!$I22)</f>
        <v>202500</v>
      </c>
      <c r="Y121" s="285">
        <f>Y60/(1+Parameters!$I22)</f>
        <v>255000</v>
      </c>
      <c r="Z121" s="285">
        <f>Z60/(1+Parameters!$I22)</f>
        <v>307500</v>
      </c>
      <c r="AA121" s="285">
        <f>AA60/(1+Parameters!$I22)</f>
        <v>360000</v>
      </c>
      <c r="AB121" s="223">
        <f>SUM(X121:AA121)</f>
        <v>1125000</v>
      </c>
      <c r="AC121" s="234">
        <f>H121+M121+R121+W121+AB121</f>
        <v>1726500</v>
      </c>
    </row>
    <row r="122" spans="1:29" x14ac:dyDescent="0.2">
      <c r="A122" s="787"/>
      <c r="B122" s="765"/>
      <c r="C122" s="207" t="str">
        <f>C$5</f>
        <v>Europe</v>
      </c>
      <c r="D122" s="221">
        <f>D61/(1+Parameters!$I23)</f>
        <v>0</v>
      </c>
      <c r="E122" s="222">
        <f>E61/(1+Parameters!$I23)</f>
        <v>0</v>
      </c>
      <c r="F122" s="222">
        <f>F61/(1+Parameters!$I23)</f>
        <v>0</v>
      </c>
      <c r="G122" s="222">
        <f>G61/(1+Parameters!$I23)</f>
        <v>6750</v>
      </c>
      <c r="H122" s="223">
        <f>SUM(D122:G122)</f>
        <v>6750</v>
      </c>
      <c r="I122" s="221">
        <f>I61/(1+Parameters!$I23)</f>
        <v>22500</v>
      </c>
      <c r="J122" s="222">
        <f>J61/(1+Parameters!$I23)</f>
        <v>46500</v>
      </c>
      <c r="K122" s="222">
        <f>K61/(1+Parameters!$I23)</f>
        <v>70500</v>
      </c>
      <c r="L122" s="222">
        <f>L61/(1+Parameters!$I23)</f>
        <v>94500</v>
      </c>
      <c r="M122" s="223">
        <f>SUM(I122:L122)</f>
        <v>234000</v>
      </c>
      <c r="N122" s="221">
        <f>N61/(1+Parameters!$I23)</f>
        <v>120000</v>
      </c>
      <c r="O122" s="222">
        <f>O61/(1+Parameters!$I23)</f>
        <v>155250</v>
      </c>
      <c r="P122" s="222">
        <f>P61/(1+Parameters!$I23)</f>
        <v>190500</v>
      </c>
      <c r="Q122" s="222">
        <f>Q61/(1+Parameters!$I23)</f>
        <v>225750</v>
      </c>
      <c r="R122" s="223">
        <f>SUM(N122:Q122)</f>
        <v>691500</v>
      </c>
      <c r="S122" s="221">
        <f>S61/(1+Parameters!$I23)</f>
        <v>262500</v>
      </c>
      <c r="T122" s="222">
        <f>T61/(1+Parameters!$I23)</f>
        <v>307500</v>
      </c>
      <c r="U122" s="222">
        <f>U61/(1+Parameters!$I23)</f>
        <v>352500</v>
      </c>
      <c r="V122" s="222">
        <f>V61/(1+Parameters!$I23)</f>
        <v>397500</v>
      </c>
      <c r="W122" s="223">
        <f>SUM(S122:V122)</f>
        <v>1320000</v>
      </c>
      <c r="X122" s="221">
        <f>X61/(1+Parameters!$I23)</f>
        <v>442500</v>
      </c>
      <c r="Y122" s="222">
        <f>Y61/(1+Parameters!$I23)</f>
        <v>477750</v>
      </c>
      <c r="Z122" s="222">
        <f>Z61/(1+Parameters!$I23)</f>
        <v>513000</v>
      </c>
      <c r="AA122" s="222">
        <f>AA61/(1+Parameters!$I23)</f>
        <v>548250</v>
      </c>
      <c r="AB122" s="223">
        <f>SUM(X122:AA122)</f>
        <v>1981500</v>
      </c>
      <c r="AC122" s="234">
        <f>H122+M122+R122+W122+AB122</f>
        <v>4233750</v>
      </c>
    </row>
    <row r="123" spans="1:29" x14ac:dyDescent="0.2">
      <c r="A123" s="787"/>
      <c r="B123" s="765"/>
      <c r="C123" s="207" t="str">
        <f>C$6</f>
        <v>Africa</v>
      </c>
      <c r="D123" s="221">
        <f>D62/(1+Parameters!$I24)</f>
        <v>0</v>
      </c>
      <c r="E123" s="222">
        <f>E62/(1+Parameters!$I24)</f>
        <v>0</v>
      </c>
      <c r="F123" s="222">
        <f>F62/(1+Parameters!$I24)</f>
        <v>0</v>
      </c>
      <c r="G123" s="222">
        <f>G62/(1+Parameters!$I24)</f>
        <v>0</v>
      </c>
      <c r="H123" s="223">
        <f>SUM(D123:G123)</f>
        <v>0</v>
      </c>
      <c r="I123" s="221">
        <f>I62/(1+Parameters!$I24)</f>
        <v>0</v>
      </c>
      <c r="J123" s="222">
        <f>J62/(1+Parameters!$I24)</f>
        <v>16500</v>
      </c>
      <c r="K123" s="222">
        <f>K62/(1+Parameters!$I24)</f>
        <v>33000</v>
      </c>
      <c r="L123" s="222">
        <f>L62/(1+Parameters!$I24)</f>
        <v>49500</v>
      </c>
      <c r="M123" s="223">
        <f>SUM(I123:L123)</f>
        <v>99000</v>
      </c>
      <c r="N123" s="221">
        <f>N62/(1+Parameters!$I24)</f>
        <v>67500</v>
      </c>
      <c r="O123" s="222">
        <f>O62/(1+Parameters!$I24)</f>
        <v>86250</v>
      </c>
      <c r="P123" s="222">
        <f>P62/(1+Parameters!$I24)</f>
        <v>105000</v>
      </c>
      <c r="Q123" s="222">
        <f>Q62/(1+Parameters!$I24)</f>
        <v>123750</v>
      </c>
      <c r="R123" s="223">
        <f>SUM(N123:Q123)</f>
        <v>382500</v>
      </c>
      <c r="S123" s="221">
        <f>S62/(1+Parameters!$I24)</f>
        <v>142500</v>
      </c>
      <c r="T123" s="222">
        <f>T62/(1+Parameters!$I24)</f>
        <v>165000</v>
      </c>
      <c r="U123" s="222">
        <f>U62/(1+Parameters!$I24)</f>
        <v>187500</v>
      </c>
      <c r="V123" s="222">
        <f>V62/(1+Parameters!$I24)</f>
        <v>210000</v>
      </c>
      <c r="W123" s="223">
        <f>SUM(S123:V123)</f>
        <v>705000</v>
      </c>
      <c r="X123" s="221">
        <f>X62/(1+Parameters!$I24)</f>
        <v>232500</v>
      </c>
      <c r="Y123" s="222">
        <f>Y62/(1+Parameters!$I24)</f>
        <v>249000</v>
      </c>
      <c r="Z123" s="222">
        <f>Z62/(1+Parameters!$I24)</f>
        <v>265500</v>
      </c>
      <c r="AA123" s="222">
        <f>AA62/(1+Parameters!$I24)</f>
        <v>282000</v>
      </c>
      <c r="AB123" s="223">
        <f>SUM(X123:AA123)</f>
        <v>1029000</v>
      </c>
      <c r="AC123" s="234">
        <f>H123+M123+R123+W123+AB123</f>
        <v>2215500</v>
      </c>
    </row>
    <row r="124" spans="1:29" ht="13.2" thickBot="1" x14ac:dyDescent="0.25">
      <c r="A124" s="787"/>
      <c r="B124" s="765"/>
      <c r="C124" s="208" t="str">
        <f>C$7</f>
        <v>Asia</v>
      </c>
      <c r="D124" s="221">
        <f>D63/(1+Parameters!$I25)</f>
        <v>0</v>
      </c>
      <c r="E124" s="225">
        <f>E63/(1+Parameters!$I25)</f>
        <v>0</v>
      </c>
      <c r="F124" s="225">
        <f>F63/(1+Parameters!$I25)</f>
        <v>0</v>
      </c>
      <c r="G124" s="225">
        <f>G63/(1+Parameters!$I25)</f>
        <v>0</v>
      </c>
      <c r="H124" s="226">
        <f>SUM(D124:G124)</f>
        <v>0</v>
      </c>
      <c r="I124" s="221">
        <f>I63/(1+Parameters!$I25)</f>
        <v>0</v>
      </c>
      <c r="J124" s="225">
        <f>J63/(1+Parameters!$I25)</f>
        <v>0</v>
      </c>
      <c r="K124" s="225">
        <f>K63/(1+Parameters!$I25)</f>
        <v>0</v>
      </c>
      <c r="L124" s="225">
        <f>L63/(1+Parameters!$I25)</f>
        <v>7500</v>
      </c>
      <c r="M124" s="226">
        <f>SUM(I124:L124)</f>
        <v>7500</v>
      </c>
      <c r="N124" s="221">
        <f>N63/(1+Parameters!$I25)</f>
        <v>15000</v>
      </c>
      <c r="O124" s="225">
        <f>O63/(1+Parameters!$I25)</f>
        <v>18750</v>
      </c>
      <c r="P124" s="225">
        <f>P63/(1+Parameters!$I25)</f>
        <v>22500</v>
      </c>
      <c r="Q124" s="225">
        <f>Q63/(1+Parameters!$I25)</f>
        <v>26250</v>
      </c>
      <c r="R124" s="226">
        <f>SUM(N124:Q124)</f>
        <v>82500</v>
      </c>
      <c r="S124" s="221">
        <f>S63/(1+Parameters!$I25)</f>
        <v>30000</v>
      </c>
      <c r="T124" s="225">
        <f>T63/(1+Parameters!$I25)</f>
        <v>31500</v>
      </c>
      <c r="U124" s="225">
        <f>U63/(1+Parameters!$I25)</f>
        <v>33000</v>
      </c>
      <c r="V124" s="225">
        <f>V63/(1+Parameters!$I25)</f>
        <v>34500</v>
      </c>
      <c r="W124" s="226">
        <f>SUM(S124:V124)</f>
        <v>129000</v>
      </c>
      <c r="X124" s="221">
        <f>X63/(1+Parameters!$I25)</f>
        <v>37500</v>
      </c>
      <c r="Y124" s="225">
        <f>Y63/(1+Parameters!$I25)</f>
        <v>37500</v>
      </c>
      <c r="Z124" s="225">
        <f>Z63/(1+Parameters!$I25)</f>
        <v>37500</v>
      </c>
      <c r="AA124" s="225">
        <f>AA63/(1+Parameters!$I25)</f>
        <v>37500</v>
      </c>
      <c r="AB124" s="226">
        <f>SUM(X124:AA124)</f>
        <v>150000</v>
      </c>
      <c r="AC124" s="235">
        <f>H124+M124+R124+W124+AB124</f>
        <v>369000</v>
      </c>
    </row>
    <row r="125" spans="1:29" ht="13.2" thickBot="1" x14ac:dyDescent="0.25">
      <c r="A125" s="787"/>
      <c r="B125" s="765"/>
      <c r="C125" s="420" t="s">
        <v>253</v>
      </c>
      <c r="D125" s="436">
        <f t="shared" ref="D125:AC125" si="57">SUM(D121:D124)</f>
        <v>0</v>
      </c>
      <c r="E125" s="437">
        <f t="shared" si="57"/>
        <v>0</v>
      </c>
      <c r="F125" s="437">
        <f t="shared" si="57"/>
        <v>0</v>
      </c>
      <c r="G125" s="437">
        <f t="shared" si="57"/>
        <v>6750</v>
      </c>
      <c r="H125" s="438">
        <f t="shared" si="57"/>
        <v>6750</v>
      </c>
      <c r="I125" s="436">
        <f t="shared" si="57"/>
        <v>22500</v>
      </c>
      <c r="J125" s="437">
        <f t="shared" si="57"/>
        <v>63000</v>
      </c>
      <c r="K125" s="437">
        <f t="shared" si="57"/>
        <v>103500</v>
      </c>
      <c r="L125" s="437">
        <f t="shared" si="57"/>
        <v>151500</v>
      </c>
      <c r="M125" s="438">
        <f t="shared" si="57"/>
        <v>340500</v>
      </c>
      <c r="N125" s="436">
        <f t="shared" si="57"/>
        <v>202500</v>
      </c>
      <c r="O125" s="437">
        <f t="shared" si="57"/>
        <v>279000</v>
      </c>
      <c r="P125" s="437">
        <f t="shared" si="57"/>
        <v>355500</v>
      </c>
      <c r="Q125" s="437">
        <f t="shared" si="57"/>
        <v>432000</v>
      </c>
      <c r="R125" s="438">
        <f t="shared" si="57"/>
        <v>1269000</v>
      </c>
      <c r="S125" s="436">
        <f t="shared" si="57"/>
        <v>510000</v>
      </c>
      <c r="T125" s="437">
        <f t="shared" si="57"/>
        <v>610500</v>
      </c>
      <c r="U125" s="437">
        <f t="shared" si="57"/>
        <v>711000</v>
      </c>
      <c r="V125" s="437">
        <f t="shared" si="57"/>
        <v>811500</v>
      </c>
      <c r="W125" s="438">
        <f t="shared" si="57"/>
        <v>2643000</v>
      </c>
      <c r="X125" s="436">
        <f t="shared" si="57"/>
        <v>915000</v>
      </c>
      <c r="Y125" s="437">
        <f t="shared" si="57"/>
        <v>1019250</v>
      </c>
      <c r="Z125" s="437">
        <f t="shared" si="57"/>
        <v>1123500</v>
      </c>
      <c r="AA125" s="437">
        <f t="shared" si="57"/>
        <v>1227750</v>
      </c>
      <c r="AB125" s="438">
        <f t="shared" si="57"/>
        <v>4285500</v>
      </c>
      <c r="AC125" s="438">
        <f t="shared" si="57"/>
        <v>8544750</v>
      </c>
    </row>
    <row r="126" spans="1:29" ht="13.2" thickBot="1" x14ac:dyDescent="0.25">
      <c r="A126" s="787"/>
      <c r="B126" s="766"/>
      <c r="C126" s="416" t="s">
        <v>139</v>
      </c>
      <c r="D126" s="433">
        <f t="shared" ref="D126:AC126" si="58">D120+D125</f>
        <v>0</v>
      </c>
      <c r="E126" s="434">
        <f t="shared" si="58"/>
        <v>3750</v>
      </c>
      <c r="F126" s="434">
        <f t="shared" si="58"/>
        <v>15000</v>
      </c>
      <c r="G126" s="434">
        <f t="shared" si="58"/>
        <v>33000</v>
      </c>
      <c r="H126" s="435">
        <f t="shared" si="58"/>
        <v>51750</v>
      </c>
      <c r="I126" s="433">
        <f t="shared" si="58"/>
        <v>60000</v>
      </c>
      <c r="J126" s="434">
        <f t="shared" si="58"/>
        <v>138000</v>
      </c>
      <c r="K126" s="434">
        <f t="shared" si="58"/>
        <v>216000</v>
      </c>
      <c r="L126" s="434">
        <f t="shared" si="58"/>
        <v>301500</v>
      </c>
      <c r="M126" s="435">
        <f t="shared" si="58"/>
        <v>715500</v>
      </c>
      <c r="N126" s="433">
        <f t="shared" si="58"/>
        <v>390000</v>
      </c>
      <c r="O126" s="434">
        <f t="shared" si="58"/>
        <v>515250</v>
      </c>
      <c r="P126" s="434">
        <f t="shared" si="58"/>
        <v>640500</v>
      </c>
      <c r="Q126" s="434">
        <f t="shared" si="58"/>
        <v>765750</v>
      </c>
      <c r="R126" s="435">
        <f t="shared" si="58"/>
        <v>2311500</v>
      </c>
      <c r="S126" s="433">
        <f t="shared" si="58"/>
        <v>892500</v>
      </c>
      <c r="T126" s="434">
        <f t="shared" si="58"/>
        <v>1043250</v>
      </c>
      <c r="U126" s="434">
        <f t="shared" si="58"/>
        <v>1194000</v>
      </c>
      <c r="V126" s="434">
        <f t="shared" si="58"/>
        <v>1344750</v>
      </c>
      <c r="W126" s="435">
        <f t="shared" si="58"/>
        <v>4474500</v>
      </c>
      <c r="X126" s="433">
        <f t="shared" si="58"/>
        <v>1500000</v>
      </c>
      <c r="Y126" s="434">
        <f t="shared" si="58"/>
        <v>1665750</v>
      </c>
      <c r="Z126" s="434">
        <f t="shared" si="58"/>
        <v>1831500</v>
      </c>
      <c r="AA126" s="434">
        <f t="shared" si="58"/>
        <v>1997250</v>
      </c>
      <c r="AB126" s="435">
        <f t="shared" si="58"/>
        <v>6994500</v>
      </c>
      <c r="AC126" s="435">
        <f t="shared" si="58"/>
        <v>14547750</v>
      </c>
    </row>
    <row r="127" spans="1:29" x14ac:dyDescent="0.2">
      <c r="A127" s="787"/>
      <c r="B127" s="764" t="s">
        <v>434</v>
      </c>
      <c r="C127" s="206" t="str">
        <f>C$3</f>
        <v>Liftoil</v>
      </c>
      <c r="D127" s="218">
        <f>D45*Parameters!$J14*Parameters!$K14</f>
        <v>0</v>
      </c>
      <c r="E127" s="219">
        <f>E45*Parameters!$J14*Parameters!$K14</f>
        <v>0</v>
      </c>
      <c r="F127" s="219">
        <f>F45*Parameters!$J14*Parameters!$K14</f>
        <v>0</v>
      </c>
      <c r="G127" s="219">
        <f>G45*Parameters!$J14*Parameters!$K14</f>
        <v>0</v>
      </c>
      <c r="H127" s="220">
        <f>SUM(D127:G127)</f>
        <v>0</v>
      </c>
      <c r="I127" s="218">
        <f>I45*Parameters!$J14*Parameters!$K14</f>
        <v>0</v>
      </c>
      <c r="J127" s="219">
        <f>J45*Parameters!$J14*Parameters!$K14</f>
        <v>0</v>
      </c>
      <c r="K127" s="219">
        <f>K45*Parameters!$J14*Parameters!$K14</f>
        <v>0</v>
      </c>
      <c r="L127" s="219">
        <f>L45*Parameters!$J14*Parameters!$K14</f>
        <v>0</v>
      </c>
      <c r="M127" s="220">
        <f>SUM(I127:L127)</f>
        <v>0</v>
      </c>
      <c r="N127" s="218">
        <f>N45*Parameters!$J14*Parameters!$K14</f>
        <v>0</v>
      </c>
      <c r="O127" s="219">
        <f>O45*Parameters!$J14*Parameters!$K14</f>
        <v>0</v>
      </c>
      <c r="P127" s="219">
        <f>P45*Parameters!$J14*Parameters!$K14</f>
        <v>0</v>
      </c>
      <c r="Q127" s="219">
        <f>Q45*Parameters!$J14*Parameters!$K14</f>
        <v>0</v>
      </c>
      <c r="R127" s="220">
        <f>SUM(N127:Q127)</f>
        <v>0</v>
      </c>
      <c r="S127" s="218">
        <f>S45*Parameters!$J14*Parameters!$K14</f>
        <v>0</v>
      </c>
      <c r="T127" s="219">
        <f>T45*Parameters!$J14*Parameters!$K14</f>
        <v>0</v>
      </c>
      <c r="U127" s="219">
        <f>U45*Parameters!$J14*Parameters!$K14</f>
        <v>0</v>
      </c>
      <c r="V127" s="219">
        <f>V45*Parameters!$J14*Parameters!$K14</f>
        <v>0</v>
      </c>
      <c r="W127" s="220">
        <f>SUM(S127:V127)</f>
        <v>0</v>
      </c>
      <c r="X127" s="218">
        <f>X45*Parameters!$J14*Parameters!$K14</f>
        <v>0</v>
      </c>
      <c r="Y127" s="219">
        <f>Y45*Parameters!$J14*Parameters!$K14</f>
        <v>0</v>
      </c>
      <c r="Z127" s="219">
        <f>Z45*Parameters!$J14*Parameters!$K14</f>
        <v>0</v>
      </c>
      <c r="AA127" s="219">
        <f>AA45*Parameters!$J14*Parameters!$K14</f>
        <v>0</v>
      </c>
      <c r="AB127" s="220">
        <f>SUM(X127:AA127)</f>
        <v>0</v>
      </c>
      <c r="AC127" s="233">
        <f>H127+M127+R127+W127+AB127</f>
        <v>0</v>
      </c>
    </row>
    <row r="128" spans="1:29" x14ac:dyDescent="0.2">
      <c r="A128" s="787"/>
      <c r="B128" s="765"/>
      <c r="C128" s="275" t="str">
        <f>C$4</f>
        <v>USA Canada</v>
      </c>
      <c r="D128" s="284">
        <f>D46*Parameters!$J15*Parameters!$K15</f>
        <v>0</v>
      </c>
      <c r="E128" s="285">
        <f>E46*Parameters!$J15*Parameters!$K15</f>
        <v>0</v>
      </c>
      <c r="F128" s="285">
        <f>F46*Parameters!$J15*Parameters!$K15</f>
        <v>0</v>
      </c>
      <c r="G128" s="285">
        <f>G46*Parameters!$J15*Parameters!$K15</f>
        <v>0</v>
      </c>
      <c r="H128" s="223">
        <f>SUM(D128:G128)</f>
        <v>0</v>
      </c>
      <c r="I128" s="284">
        <f>I46*Parameters!$J15*Parameters!$K15</f>
        <v>0</v>
      </c>
      <c r="J128" s="285">
        <f>J46*Parameters!$J15*Parameters!$K15</f>
        <v>0</v>
      </c>
      <c r="K128" s="285">
        <f>K46*Parameters!$J15*Parameters!$K15</f>
        <v>0</v>
      </c>
      <c r="L128" s="285">
        <f>L46*Parameters!$J15*Parameters!$K15</f>
        <v>0</v>
      </c>
      <c r="M128" s="223">
        <f>SUM(I128:L128)</f>
        <v>0</v>
      </c>
      <c r="N128" s="284">
        <f>N46*Parameters!$J15*Parameters!$K15</f>
        <v>0</v>
      </c>
      <c r="O128" s="285">
        <f>O46*Parameters!$J15*Parameters!$K15</f>
        <v>0</v>
      </c>
      <c r="P128" s="285">
        <f>P46*Parameters!$J15*Parameters!$K15</f>
        <v>0</v>
      </c>
      <c r="Q128" s="285">
        <f>Q46*Parameters!$J15*Parameters!$K15</f>
        <v>0</v>
      </c>
      <c r="R128" s="223">
        <f>SUM(N128:Q128)</f>
        <v>0</v>
      </c>
      <c r="S128" s="284">
        <f>S46*Parameters!$J15*Parameters!$K15</f>
        <v>0</v>
      </c>
      <c r="T128" s="285">
        <f>T46*Parameters!$J15*Parameters!$K15</f>
        <v>0</v>
      </c>
      <c r="U128" s="285">
        <f>U46*Parameters!$J15*Parameters!$K15</f>
        <v>0</v>
      </c>
      <c r="V128" s="285">
        <f>V46*Parameters!$J15*Parameters!$K15</f>
        <v>0</v>
      </c>
      <c r="W128" s="223">
        <f>SUM(S128:V128)</f>
        <v>0</v>
      </c>
      <c r="X128" s="284">
        <f>X46*Parameters!$J15*Parameters!$K15</f>
        <v>0</v>
      </c>
      <c r="Y128" s="285">
        <f>Y46*Parameters!$J15*Parameters!$K15</f>
        <v>0</v>
      </c>
      <c r="Z128" s="285">
        <f>Z46*Parameters!$J15*Parameters!$K15</f>
        <v>0</v>
      </c>
      <c r="AA128" s="285">
        <f>AA46*Parameters!$J15*Parameters!$K15</f>
        <v>0</v>
      </c>
      <c r="AB128" s="223">
        <f>SUM(X128:AA128)</f>
        <v>0</v>
      </c>
      <c r="AC128" s="234">
        <f>H128+M128+R128+W128+AB128</f>
        <v>0</v>
      </c>
    </row>
    <row r="129" spans="1:29" x14ac:dyDescent="0.2">
      <c r="A129" s="787"/>
      <c r="B129" s="765"/>
      <c r="C129" s="207" t="str">
        <f>C$5</f>
        <v>Europe</v>
      </c>
      <c r="D129" s="221">
        <f>D47*Parameters!$J16*Parameters!$K16</f>
        <v>0</v>
      </c>
      <c r="E129" s="222">
        <f>E47*Parameters!$J16*Parameters!$K16</f>
        <v>0</v>
      </c>
      <c r="F129" s="222">
        <f>F47*Parameters!$J16*Parameters!$K16</f>
        <v>0</v>
      </c>
      <c r="G129" s="222">
        <f>G47*Parameters!$J16*Parameters!$K16</f>
        <v>0</v>
      </c>
      <c r="H129" s="223">
        <f>SUM(D129:G129)</f>
        <v>0</v>
      </c>
      <c r="I129" s="221">
        <f>I47*Parameters!$J16*Parameters!$K16</f>
        <v>0</v>
      </c>
      <c r="J129" s="222">
        <f>J47*Parameters!$J16*Parameters!$K16</f>
        <v>0</v>
      </c>
      <c r="K129" s="222">
        <f>K47*Parameters!$J16*Parameters!$K16</f>
        <v>0</v>
      </c>
      <c r="L129" s="222">
        <f>L47*Parameters!$J16*Parameters!$K16</f>
        <v>0</v>
      </c>
      <c r="M129" s="223">
        <f>SUM(I129:L129)</f>
        <v>0</v>
      </c>
      <c r="N129" s="221">
        <f>N47*Parameters!$J16*Parameters!$K16</f>
        <v>0</v>
      </c>
      <c r="O129" s="222">
        <f>O47*Parameters!$J16*Parameters!$K16</f>
        <v>0</v>
      </c>
      <c r="P129" s="222">
        <f>P47*Parameters!$J16*Parameters!$K16</f>
        <v>0</v>
      </c>
      <c r="Q129" s="222">
        <f>Q47*Parameters!$J16*Parameters!$K16</f>
        <v>0</v>
      </c>
      <c r="R129" s="223">
        <f>SUM(N129:Q129)</f>
        <v>0</v>
      </c>
      <c r="S129" s="221">
        <f>S47*Parameters!$J16*Parameters!$K16</f>
        <v>0</v>
      </c>
      <c r="T129" s="222">
        <f>T47*Parameters!$J16*Parameters!$K16</f>
        <v>0</v>
      </c>
      <c r="U129" s="222">
        <f>U47*Parameters!$J16*Parameters!$K16</f>
        <v>0</v>
      </c>
      <c r="V129" s="222">
        <f>V47*Parameters!$J16*Parameters!$K16</f>
        <v>0</v>
      </c>
      <c r="W129" s="223">
        <f>SUM(S129:V129)</f>
        <v>0</v>
      </c>
      <c r="X129" s="221">
        <f>X47*Parameters!$J16*Parameters!$K16</f>
        <v>0</v>
      </c>
      <c r="Y129" s="222">
        <f>Y47*Parameters!$J16*Parameters!$K16</f>
        <v>0</v>
      </c>
      <c r="Z129" s="222">
        <f>Z47*Parameters!$J16*Parameters!$K16</f>
        <v>0</v>
      </c>
      <c r="AA129" s="222">
        <f>AA47*Parameters!$J16*Parameters!$K16</f>
        <v>0</v>
      </c>
      <c r="AB129" s="223">
        <f>SUM(X129:AA129)</f>
        <v>0</v>
      </c>
      <c r="AC129" s="234">
        <f>H129+M129+R129+W129+AB129</f>
        <v>0</v>
      </c>
    </row>
    <row r="130" spans="1:29" x14ac:dyDescent="0.2">
      <c r="A130" s="787"/>
      <c r="B130" s="765"/>
      <c r="C130" s="207" t="str">
        <f>C$6</f>
        <v>Africa</v>
      </c>
      <c r="D130" s="221">
        <f>D48*Parameters!$J17*Parameters!$K17</f>
        <v>0</v>
      </c>
      <c r="E130" s="222">
        <f>E48*Parameters!$J17*Parameters!$K17</f>
        <v>0</v>
      </c>
      <c r="F130" s="222">
        <f>F48*Parameters!$J17*Parameters!$K17</f>
        <v>0</v>
      </c>
      <c r="G130" s="222">
        <f>G48*Parameters!$J17*Parameters!$K17</f>
        <v>0</v>
      </c>
      <c r="H130" s="223">
        <f>SUM(D130:G130)</f>
        <v>0</v>
      </c>
      <c r="I130" s="221">
        <f>I48*Parameters!$J17*Parameters!$K17</f>
        <v>0</v>
      </c>
      <c r="J130" s="222">
        <f>J48*Parameters!$J17*Parameters!$K17</f>
        <v>0</v>
      </c>
      <c r="K130" s="222">
        <f>K48*Parameters!$J17*Parameters!$K17</f>
        <v>0</v>
      </c>
      <c r="L130" s="222">
        <f>L48*Parameters!$J17*Parameters!$K17</f>
        <v>0</v>
      </c>
      <c r="M130" s="223">
        <f>SUM(I130:L130)</f>
        <v>0</v>
      </c>
      <c r="N130" s="221">
        <f>N48*Parameters!$J17*Parameters!$K17</f>
        <v>0</v>
      </c>
      <c r="O130" s="222">
        <f>O48*Parameters!$J17*Parameters!$K17</f>
        <v>0</v>
      </c>
      <c r="P130" s="222">
        <f>P48*Parameters!$J17*Parameters!$K17</f>
        <v>0</v>
      </c>
      <c r="Q130" s="222">
        <f>Q48*Parameters!$J17*Parameters!$K17</f>
        <v>0</v>
      </c>
      <c r="R130" s="223">
        <f>SUM(N130:Q130)</f>
        <v>0</v>
      </c>
      <c r="S130" s="221">
        <f>S48*Parameters!$J17*Parameters!$K17</f>
        <v>0</v>
      </c>
      <c r="T130" s="222">
        <f>T48*Parameters!$J17*Parameters!$K17</f>
        <v>0</v>
      </c>
      <c r="U130" s="222">
        <f>U48*Parameters!$J17*Parameters!$K17</f>
        <v>0</v>
      </c>
      <c r="V130" s="222">
        <f>V48*Parameters!$J17*Parameters!$K17</f>
        <v>0</v>
      </c>
      <c r="W130" s="223">
        <f>SUM(S130:V130)</f>
        <v>0</v>
      </c>
      <c r="X130" s="221">
        <f>X48*Parameters!$J17*Parameters!$K17</f>
        <v>0</v>
      </c>
      <c r="Y130" s="222">
        <f>Y48*Parameters!$J17*Parameters!$K17</f>
        <v>0</v>
      </c>
      <c r="Z130" s="222">
        <f>Z48*Parameters!$J17*Parameters!$K17</f>
        <v>0</v>
      </c>
      <c r="AA130" s="222">
        <f>AA48*Parameters!$J17*Parameters!$K17</f>
        <v>0</v>
      </c>
      <c r="AB130" s="223">
        <f>SUM(X130:AA130)</f>
        <v>0</v>
      </c>
      <c r="AC130" s="234">
        <f>H130+M130+R130+W130+AB130</f>
        <v>0</v>
      </c>
    </row>
    <row r="131" spans="1:29" ht="13.2" thickBot="1" x14ac:dyDescent="0.25">
      <c r="A131" s="787"/>
      <c r="B131" s="765"/>
      <c r="C131" s="208" t="str">
        <f>C$7</f>
        <v>Asia</v>
      </c>
      <c r="D131" s="224">
        <f>D49*Parameters!$J18*Parameters!$K18</f>
        <v>0</v>
      </c>
      <c r="E131" s="225">
        <f>E49*Parameters!$J18*Parameters!$K18</f>
        <v>0</v>
      </c>
      <c r="F131" s="225">
        <f>F49*Parameters!$J18*Parameters!$K18</f>
        <v>0</v>
      </c>
      <c r="G131" s="225">
        <f>G49*Parameters!$J18*Parameters!$K18</f>
        <v>0</v>
      </c>
      <c r="H131" s="226">
        <f>SUM(D131:G131)</f>
        <v>0</v>
      </c>
      <c r="I131" s="224">
        <f>I49*Parameters!$J18*Parameters!$K18</f>
        <v>0</v>
      </c>
      <c r="J131" s="225">
        <f>J49*Parameters!$J18*Parameters!$K18</f>
        <v>0</v>
      </c>
      <c r="K131" s="225">
        <f>K49*Parameters!$J18*Parameters!$K18</f>
        <v>0</v>
      </c>
      <c r="L131" s="225">
        <f>L49*Parameters!$J18*Parameters!$K18</f>
        <v>0</v>
      </c>
      <c r="M131" s="226">
        <f>SUM(I131:L131)</f>
        <v>0</v>
      </c>
      <c r="N131" s="224">
        <f>N49*Parameters!$J18*Parameters!$K18</f>
        <v>0</v>
      </c>
      <c r="O131" s="225">
        <f>O49*Parameters!$J18*Parameters!$K18</f>
        <v>0</v>
      </c>
      <c r="P131" s="225">
        <f>P49*Parameters!$J18*Parameters!$K18</f>
        <v>0</v>
      </c>
      <c r="Q131" s="225">
        <f>Q49*Parameters!$J18*Parameters!$K18</f>
        <v>0</v>
      </c>
      <c r="R131" s="226">
        <f>SUM(N131:Q131)</f>
        <v>0</v>
      </c>
      <c r="S131" s="224">
        <f>S49*Parameters!$J18*Parameters!$K18</f>
        <v>0</v>
      </c>
      <c r="T131" s="225">
        <f>T49*Parameters!$J18*Parameters!$K18</f>
        <v>0</v>
      </c>
      <c r="U131" s="225">
        <f>U49*Parameters!$J18*Parameters!$K18</f>
        <v>0</v>
      </c>
      <c r="V131" s="225">
        <f>V49*Parameters!$J18*Parameters!$K18</f>
        <v>0</v>
      </c>
      <c r="W131" s="226">
        <f>SUM(S131:V131)</f>
        <v>0</v>
      </c>
      <c r="X131" s="224">
        <f>X49*Parameters!$J18*Parameters!$K18</f>
        <v>0</v>
      </c>
      <c r="Y131" s="225">
        <f>Y49*Parameters!$J18*Parameters!$K18</f>
        <v>0</v>
      </c>
      <c r="Z131" s="225">
        <f>Z49*Parameters!$J18*Parameters!$K18</f>
        <v>0</v>
      </c>
      <c r="AA131" s="225">
        <f>AA49*Parameters!$J18*Parameters!$K18</f>
        <v>0</v>
      </c>
      <c r="AB131" s="226">
        <f>SUM(X131:AA131)</f>
        <v>0</v>
      </c>
      <c r="AC131" s="235">
        <f>H131+M131+R131+W131+AB131</f>
        <v>0</v>
      </c>
    </row>
    <row r="132" spans="1:29" ht="13.2" thickBot="1" x14ac:dyDescent="0.25">
      <c r="A132" s="787"/>
      <c r="B132" s="765"/>
      <c r="C132" s="420" t="s">
        <v>253</v>
      </c>
      <c r="D132" s="436">
        <f t="shared" ref="D132:AC132" si="59">SUM(D128:D131)</f>
        <v>0</v>
      </c>
      <c r="E132" s="437">
        <f t="shared" si="59"/>
        <v>0</v>
      </c>
      <c r="F132" s="437">
        <f t="shared" si="59"/>
        <v>0</v>
      </c>
      <c r="G132" s="437">
        <f t="shared" si="59"/>
        <v>0</v>
      </c>
      <c r="H132" s="438">
        <f t="shared" si="59"/>
        <v>0</v>
      </c>
      <c r="I132" s="436">
        <f t="shared" si="59"/>
        <v>0</v>
      </c>
      <c r="J132" s="437">
        <f t="shared" si="59"/>
        <v>0</v>
      </c>
      <c r="K132" s="437">
        <f t="shared" si="59"/>
        <v>0</v>
      </c>
      <c r="L132" s="437">
        <f t="shared" si="59"/>
        <v>0</v>
      </c>
      <c r="M132" s="438">
        <f t="shared" si="59"/>
        <v>0</v>
      </c>
      <c r="N132" s="436">
        <f t="shared" si="59"/>
        <v>0</v>
      </c>
      <c r="O132" s="437">
        <f t="shared" si="59"/>
        <v>0</v>
      </c>
      <c r="P132" s="437">
        <f t="shared" si="59"/>
        <v>0</v>
      </c>
      <c r="Q132" s="437">
        <f t="shared" si="59"/>
        <v>0</v>
      </c>
      <c r="R132" s="438">
        <f t="shared" si="59"/>
        <v>0</v>
      </c>
      <c r="S132" s="436">
        <f t="shared" si="59"/>
        <v>0</v>
      </c>
      <c r="T132" s="437">
        <f t="shared" si="59"/>
        <v>0</v>
      </c>
      <c r="U132" s="437">
        <f t="shared" si="59"/>
        <v>0</v>
      </c>
      <c r="V132" s="437">
        <f t="shared" si="59"/>
        <v>0</v>
      </c>
      <c r="W132" s="438">
        <f t="shared" si="59"/>
        <v>0</v>
      </c>
      <c r="X132" s="436">
        <f t="shared" si="59"/>
        <v>0</v>
      </c>
      <c r="Y132" s="437">
        <f t="shared" si="59"/>
        <v>0</v>
      </c>
      <c r="Z132" s="437">
        <f t="shared" si="59"/>
        <v>0</v>
      </c>
      <c r="AA132" s="437">
        <f t="shared" si="59"/>
        <v>0</v>
      </c>
      <c r="AB132" s="438">
        <f t="shared" si="59"/>
        <v>0</v>
      </c>
      <c r="AC132" s="438">
        <f t="shared" si="59"/>
        <v>0</v>
      </c>
    </row>
    <row r="133" spans="1:29" ht="13.2" thickBot="1" x14ac:dyDescent="0.25">
      <c r="A133" s="787"/>
      <c r="B133" s="766"/>
      <c r="C133" s="416" t="s">
        <v>139</v>
      </c>
      <c r="D133" s="433">
        <f t="shared" ref="D133:AC133" si="60">D127+D132</f>
        <v>0</v>
      </c>
      <c r="E133" s="434">
        <f t="shared" si="60"/>
        <v>0</v>
      </c>
      <c r="F133" s="434">
        <f t="shared" si="60"/>
        <v>0</v>
      </c>
      <c r="G133" s="434">
        <f t="shared" si="60"/>
        <v>0</v>
      </c>
      <c r="H133" s="435">
        <f t="shared" si="60"/>
        <v>0</v>
      </c>
      <c r="I133" s="433">
        <f t="shared" si="60"/>
        <v>0</v>
      </c>
      <c r="J133" s="434">
        <f t="shared" si="60"/>
        <v>0</v>
      </c>
      <c r="K133" s="434">
        <f t="shared" si="60"/>
        <v>0</v>
      </c>
      <c r="L133" s="434">
        <f t="shared" si="60"/>
        <v>0</v>
      </c>
      <c r="M133" s="435">
        <f t="shared" si="60"/>
        <v>0</v>
      </c>
      <c r="N133" s="433">
        <f t="shared" si="60"/>
        <v>0</v>
      </c>
      <c r="O133" s="434">
        <f t="shared" si="60"/>
        <v>0</v>
      </c>
      <c r="P133" s="434">
        <f t="shared" si="60"/>
        <v>0</v>
      </c>
      <c r="Q133" s="434">
        <f t="shared" si="60"/>
        <v>0</v>
      </c>
      <c r="R133" s="435">
        <f t="shared" si="60"/>
        <v>0</v>
      </c>
      <c r="S133" s="433">
        <f t="shared" si="60"/>
        <v>0</v>
      </c>
      <c r="T133" s="434">
        <f t="shared" si="60"/>
        <v>0</v>
      </c>
      <c r="U133" s="434">
        <f t="shared" si="60"/>
        <v>0</v>
      </c>
      <c r="V133" s="434">
        <f t="shared" si="60"/>
        <v>0</v>
      </c>
      <c r="W133" s="435">
        <f t="shared" si="60"/>
        <v>0</v>
      </c>
      <c r="X133" s="433">
        <f t="shared" si="60"/>
        <v>0</v>
      </c>
      <c r="Y133" s="434">
        <f t="shared" si="60"/>
        <v>0</v>
      </c>
      <c r="Z133" s="434">
        <f t="shared" si="60"/>
        <v>0</v>
      </c>
      <c r="AA133" s="434">
        <f t="shared" si="60"/>
        <v>0</v>
      </c>
      <c r="AB133" s="435">
        <f t="shared" si="60"/>
        <v>0</v>
      </c>
      <c r="AC133" s="435">
        <f t="shared" si="60"/>
        <v>0</v>
      </c>
    </row>
    <row r="134" spans="1:29" ht="13.05" customHeight="1" x14ac:dyDescent="0.2">
      <c r="A134" s="787"/>
      <c r="B134" s="764" t="s">
        <v>232</v>
      </c>
      <c r="C134" s="206" t="str">
        <f>C$3</f>
        <v>Liftoil</v>
      </c>
      <c r="D134" s="218">
        <f>(D45-D73)*Parameters!$J6</f>
        <v>135.47639999999998</v>
      </c>
      <c r="E134" s="219">
        <f>(E45-E73)*Parameters!$J6</f>
        <v>677.38199999999995</v>
      </c>
      <c r="F134" s="219">
        <f>(F45-F73)*Parameters!$J6</f>
        <v>1490.2404000000001</v>
      </c>
      <c r="G134" s="219">
        <f>(G45-G73)*Parameters!$J6</f>
        <v>2303.0988000000002</v>
      </c>
      <c r="H134" s="220">
        <f>SUM(D134:G134)</f>
        <v>4606.1976000000004</v>
      </c>
      <c r="I134" s="218">
        <f>(I45-I73)*Parameters!$J6</f>
        <v>4064.2920000000004</v>
      </c>
      <c r="J134" s="219">
        <f>(J45-J73)*Parameters!$J6</f>
        <v>6773.82</v>
      </c>
      <c r="K134" s="219">
        <f>(K45-K73)*Parameters!$J6</f>
        <v>9483.348</v>
      </c>
      <c r="L134" s="219">
        <f>(L45-L73)*Parameters!$J6</f>
        <v>12192.876000000002</v>
      </c>
      <c r="M134" s="220">
        <f>SUM(I134:L134)</f>
        <v>32514.336000000003</v>
      </c>
      <c r="N134" s="218">
        <f>(N45-N73)*Parameters!$J6</f>
        <v>15308.833200000001</v>
      </c>
      <c r="O134" s="219">
        <f>(O45-O73)*Parameters!$J6</f>
        <v>18831.2196</v>
      </c>
      <c r="P134" s="219">
        <f>(P45-P73)*Parameters!$J6</f>
        <v>22353.606</v>
      </c>
      <c r="Q134" s="219">
        <f>(Q45-Q73)*Parameters!$J6</f>
        <v>25875.992400000003</v>
      </c>
      <c r="R134" s="220">
        <f>SUM(N134:Q134)</f>
        <v>82369.651200000008</v>
      </c>
      <c r="S134" s="218">
        <f>(S45-S73)*Parameters!$J6</f>
        <v>29452.569360000001</v>
      </c>
      <c r="T134" s="219">
        <f>(T45-T73)*Parameters!$J6</f>
        <v>33083.336880000003</v>
      </c>
      <c r="U134" s="219">
        <f>(U45-U73)*Parameters!$J6</f>
        <v>36714.104400000004</v>
      </c>
      <c r="V134" s="219">
        <f>(V45-V73)*Parameters!$J6</f>
        <v>40399.062480000001</v>
      </c>
      <c r="W134" s="220">
        <f>SUM(S134:V134)</f>
        <v>139649.07312000002</v>
      </c>
      <c r="X134" s="218">
        <f>(X45-X73)*Parameters!$J6</f>
        <v>44490.449759999996</v>
      </c>
      <c r="Y134" s="219">
        <f>(Y45-Y73)*Parameters!$J6</f>
        <v>48934.075680000002</v>
      </c>
      <c r="Z134" s="219">
        <f>(Z45-Z73)*Parameters!$J6</f>
        <v>53377.7016</v>
      </c>
      <c r="AA134" s="219">
        <f>(AA45-AA73)*Parameters!$J6</f>
        <v>57875.518080000002</v>
      </c>
      <c r="AB134" s="220">
        <f>SUM(X134:AA134)</f>
        <v>204677.74512000001</v>
      </c>
      <c r="AC134" s="233">
        <f>H134+M134+R134+W134+AB134</f>
        <v>463817.00304000004</v>
      </c>
    </row>
    <row r="135" spans="1:29" ht="13.05" customHeight="1" x14ac:dyDescent="0.2">
      <c r="A135" s="787"/>
      <c r="B135" s="765"/>
      <c r="C135" s="275" t="str">
        <f>C$4</f>
        <v>USA Canada</v>
      </c>
      <c r="D135" s="284">
        <f>(D46-D74)*Parameters!$J7</f>
        <v>0</v>
      </c>
      <c r="E135" s="285">
        <f>(E46-E74)*Parameters!$J7</f>
        <v>0</v>
      </c>
      <c r="F135" s="285">
        <f>(F46-F74)*Parameters!$J7</f>
        <v>0</v>
      </c>
      <c r="G135" s="285">
        <f>(G46-G74)*Parameters!$J7</f>
        <v>0</v>
      </c>
      <c r="H135" s="223">
        <f>SUM(D135:G135)</f>
        <v>0</v>
      </c>
      <c r="I135" s="284">
        <f>(I46-I74)*Parameters!$J7</f>
        <v>0</v>
      </c>
      <c r="J135" s="285">
        <f>(J46-J74)*Parameters!$J7</f>
        <v>0</v>
      </c>
      <c r="K135" s="285">
        <f>(K46-K74)*Parameters!$J7</f>
        <v>0</v>
      </c>
      <c r="L135" s="285">
        <f>(L46-L74)*Parameters!$J7</f>
        <v>0</v>
      </c>
      <c r="M135" s="223">
        <f>SUM(I135:L135)</f>
        <v>0</v>
      </c>
      <c r="N135" s="284">
        <f>(N46-N74)*Parameters!$J7</f>
        <v>677.38199999999995</v>
      </c>
      <c r="O135" s="285">
        <f>(O46-O74)*Parameters!$J7</f>
        <v>2032.1460000000002</v>
      </c>
      <c r="P135" s="285">
        <f>(P46-P74)*Parameters!$J7</f>
        <v>3386.91</v>
      </c>
      <c r="Q135" s="285">
        <f>(Q46-Q74)*Parameters!$J7</f>
        <v>4741.674</v>
      </c>
      <c r="R135" s="223">
        <f>SUM(N135:Q135)</f>
        <v>10838.112000000001</v>
      </c>
      <c r="S135" s="284">
        <f>(S46-S74)*Parameters!$J7</f>
        <v>6557.0577599999997</v>
      </c>
      <c r="T135" s="285">
        <f>(T46-T74)*Parameters!$J7</f>
        <v>8833.0612799999999</v>
      </c>
      <c r="U135" s="285">
        <f>(U46-U74)*Parameters!$J7</f>
        <v>11109.0648</v>
      </c>
      <c r="V135" s="285">
        <f>(V46-V74)*Parameters!$J7</f>
        <v>13439.258880000001</v>
      </c>
      <c r="W135" s="223">
        <f>SUM(S135:V135)</f>
        <v>39938.442719999999</v>
      </c>
      <c r="X135" s="284">
        <f>(X46-X74)*Parameters!$J7</f>
        <v>16528.120800000001</v>
      </c>
      <c r="Y135" s="285">
        <f>(Y46-Y74)*Parameters!$J7</f>
        <v>20321.46</v>
      </c>
      <c r="Z135" s="285">
        <f>(Z46-Z74)*Parameters!$J7</f>
        <v>24114.799200000001</v>
      </c>
      <c r="AA135" s="285">
        <f>(AA46-AA74)*Parameters!$J7</f>
        <v>27908.1384</v>
      </c>
      <c r="AB135" s="223">
        <f>SUM(X135:AA135)</f>
        <v>88872.518400000001</v>
      </c>
      <c r="AC135" s="234">
        <f>H135+M135+R135+W135+AB135</f>
        <v>139649.07312000002</v>
      </c>
    </row>
    <row r="136" spans="1:29" x14ac:dyDescent="0.2">
      <c r="A136" s="787"/>
      <c r="B136" s="765"/>
      <c r="C136" s="207" t="str">
        <f>C$5</f>
        <v>Europe</v>
      </c>
      <c r="D136" s="221">
        <f>(D47-D75)*Parameters!$J8</f>
        <v>0</v>
      </c>
      <c r="E136" s="222">
        <f>(E47-E75)*Parameters!$J8</f>
        <v>0</v>
      </c>
      <c r="F136" s="222">
        <f>(F47-F75)*Parameters!$J8</f>
        <v>243.85752000000002</v>
      </c>
      <c r="G136" s="222">
        <f>(G47-G75)*Parameters!$J8</f>
        <v>1056.7159200000001</v>
      </c>
      <c r="H136" s="223">
        <f>SUM(D136:G136)</f>
        <v>1300.5734400000001</v>
      </c>
      <c r="I136" s="221">
        <f>(I47-I75)*Parameters!$J8</f>
        <v>2492.7657600000002</v>
      </c>
      <c r="J136" s="222">
        <f>(J47-J75)*Parameters!$J8</f>
        <v>4226.8636800000004</v>
      </c>
      <c r="K136" s="222">
        <f>(K47-K75)*Parameters!$J8</f>
        <v>5960.9616000000005</v>
      </c>
      <c r="L136" s="222">
        <f>(L47-L75)*Parameters!$J8</f>
        <v>7749.2500800000007</v>
      </c>
      <c r="M136" s="223">
        <f>SUM(I136:L136)</f>
        <v>20429.841120000001</v>
      </c>
      <c r="N136" s="221">
        <f>(N47-N75)*Parameters!$J8</f>
        <v>9943.9677600000014</v>
      </c>
      <c r="O136" s="222">
        <f>(O47-O75)*Parameters!$J8</f>
        <v>12490.924080000001</v>
      </c>
      <c r="P136" s="222">
        <f>(P47-P75)*Parameters!$J8</f>
        <v>15037.8804</v>
      </c>
      <c r="Q136" s="222">
        <f>(Q47-Q75)*Parameters!$J8</f>
        <v>17639.027280000002</v>
      </c>
      <c r="R136" s="223">
        <f>SUM(N136:Q136)</f>
        <v>55111.799520000008</v>
      </c>
      <c r="S136" s="221">
        <f>(S47-S75)*Parameters!$J8</f>
        <v>20592.412800000002</v>
      </c>
      <c r="T136" s="222">
        <f>(T47-T75)*Parameters!$J8</f>
        <v>23843.846400000002</v>
      </c>
      <c r="U136" s="222">
        <f>(U47-U75)*Parameters!$J8</f>
        <v>27095.279999999999</v>
      </c>
      <c r="V136" s="222">
        <f>(V47-V75)*Parameters!$J8</f>
        <v>30346.713599999999</v>
      </c>
      <c r="W136" s="223">
        <f>SUM(S136:V136)</f>
        <v>101878.2528</v>
      </c>
      <c r="X136" s="221">
        <f>(X47-X75)*Parameters!$J8</f>
        <v>33245.908560000003</v>
      </c>
      <c r="Y136" s="222">
        <f>(Y47-Y75)*Parameters!$J8</f>
        <v>35792.864880000001</v>
      </c>
      <c r="Z136" s="222">
        <f>(Z47-Z75)*Parameters!$J8</f>
        <v>38339.821199999998</v>
      </c>
      <c r="AA136" s="222">
        <f>(AA47-AA75)*Parameters!$J8</f>
        <v>40940.968080000006</v>
      </c>
      <c r="AB136" s="223">
        <f>SUM(X136:AA136)</f>
        <v>148319.56271999999</v>
      </c>
      <c r="AC136" s="234">
        <f>H136+M136+R136+W136+AB136</f>
        <v>327040.02960000001</v>
      </c>
    </row>
    <row r="137" spans="1:29" x14ac:dyDescent="0.2">
      <c r="A137" s="787"/>
      <c r="B137" s="765"/>
      <c r="C137" s="207" t="str">
        <f>C$6</f>
        <v>Africa</v>
      </c>
      <c r="D137" s="221">
        <f>(D48-D76)*Parameters!$J9</f>
        <v>0</v>
      </c>
      <c r="E137" s="222">
        <f>(E48-E76)*Parameters!$J9</f>
        <v>0</v>
      </c>
      <c r="F137" s="222">
        <f>(F48-F76)*Parameters!$J9</f>
        <v>0</v>
      </c>
      <c r="G137" s="222">
        <f>(G48-G76)*Parameters!$J9</f>
        <v>0</v>
      </c>
      <c r="H137" s="223">
        <f>SUM(D137:G137)</f>
        <v>0</v>
      </c>
      <c r="I137" s="221">
        <f>(I48-I76)*Parameters!$J9</f>
        <v>596.09616000000005</v>
      </c>
      <c r="J137" s="222">
        <f>(J48-J76)*Parameters!$J9</f>
        <v>1788.2884799999999</v>
      </c>
      <c r="K137" s="222">
        <f>(K48-K76)*Parameters!$J9</f>
        <v>2980.4808000000003</v>
      </c>
      <c r="L137" s="222">
        <f>(L48-L76)*Parameters!$J9</f>
        <v>4226.8636800000004</v>
      </c>
      <c r="M137" s="223">
        <f>SUM(I137:L137)</f>
        <v>9591.72912</v>
      </c>
      <c r="N137" s="221">
        <f>(N48-N76)*Parameters!$J9</f>
        <v>5554.5324000000001</v>
      </c>
      <c r="O137" s="222">
        <f>(O48-O76)*Parameters!$J9</f>
        <v>6909.2964000000002</v>
      </c>
      <c r="P137" s="222">
        <f>(P48-P76)*Parameters!$J9</f>
        <v>8264.0604000000003</v>
      </c>
      <c r="Q137" s="222">
        <f>(Q48-Q76)*Parameters!$J9</f>
        <v>9618.8243999999995</v>
      </c>
      <c r="R137" s="223">
        <f>SUM(N137:Q137)</f>
        <v>30346.713599999995</v>
      </c>
      <c r="S137" s="221">
        <f>(S48-S76)*Parameters!$J9</f>
        <v>11109.0648</v>
      </c>
      <c r="T137" s="222">
        <f>(T48-T76)*Parameters!$J9</f>
        <v>12734.7816</v>
      </c>
      <c r="U137" s="222">
        <f>(U48-U76)*Parameters!$J9</f>
        <v>14360.4984</v>
      </c>
      <c r="V137" s="222">
        <f>(V48-V76)*Parameters!$J9</f>
        <v>15986.215200000001</v>
      </c>
      <c r="W137" s="223">
        <f>SUM(S137:V137)</f>
        <v>54190.560000000005</v>
      </c>
      <c r="X137" s="221">
        <f>(X48-X76)*Parameters!$J9</f>
        <v>17395.169760000001</v>
      </c>
      <c r="Y137" s="222">
        <f>(Y48-Y76)*Parameters!$J9</f>
        <v>18587.362080000003</v>
      </c>
      <c r="Z137" s="222">
        <f>(Z48-Z76)*Parameters!$J9</f>
        <v>19779.554400000001</v>
      </c>
      <c r="AA137" s="222">
        <f>(AA48-AA76)*Parameters!$J9</f>
        <v>21025.937280000002</v>
      </c>
      <c r="AB137" s="223">
        <f>SUM(X137:AA137)</f>
        <v>76788.023520000002</v>
      </c>
      <c r="AC137" s="234">
        <f>H137+M137+R137+W137+AB137</f>
        <v>170917.02623999998</v>
      </c>
    </row>
    <row r="138" spans="1:29" ht="13.2" thickBot="1" x14ac:dyDescent="0.25">
      <c r="A138" s="787"/>
      <c r="B138" s="765"/>
      <c r="C138" s="208" t="str">
        <f>C$7</f>
        <v>Asia</v>
      </c>
      <c r="D138" s="221">
        <f>(D49-D77)*Parameters!$J10</f>
        <v>0</v>
      </c>
      <c r="E138" s="225">
        <f>(E49-E77)*Parameters!$J10</f>
        <v>0</v>
      </c>
      <c r="F138" s="225">
        <f>(F49-F77)*Parameters!$J10</f>
        <v>0</v>
      </c>
      <c r="G138" s="225">
        <f>(G49-G77)*Parameters!$J10</f>
        <v>0</v>
      </c>
      <c r="H138" s="226">
        <f>SUM(D138:G138)</f>
        <v>0</v>
      </c>
      <c r="I138" s="221">
        <f>(I49-I77)*Parameters!$J10</f>
        <v>0</v>
      </c>
      <c r="J138" s="225">
        <f>(J49-J77)*Parameters!$J10</f>
        <v>0</v>
      </c>
      <c r="K138" s="225">
        <f>(K49-K77)*Parameters!$J10</f>
        <v>270.95279999999997</v>
      </c>
      <c r="L138" s="225">
        <f>(L49-L77)*Parameters!$J10</f>
        <v>812.85839999999996</v>
      </c>
      <c r="M138" s="226">
        <f>SUM(I138:L138)</f>
        <v>1083.8111999999999</v>
      </c>
      <c r="N138" s="221">
        <f>(N49-N77)*Parameters!$J10</f>
        <v>1219.2875999999999</v>
      </c>
      <c r="O138" s="225">
        <f>(O49-O77)*Parameters!$J10</f>
        <v>1490.2404000000001</v>
      </c>
      <c r="P138" s="225">
        <f>(P49-P77)*Parameters!$J10</f>
        <v>1761.1932000000002</v>
      </c>
      <c r="Q138" s="225">
        <f>(Q49-Q77)*Parameters!$J10</f>
        <v>2032.1460000000002</v>
      </c>
      <c r="R138" s="226">
        <f>SUM(N138:Q138)</f>
        <v>6502.8672000000006</v>
      </c>
      <c r="S138" s="221">
        <f>(S49-S77)*Parameters!$J10</f>
        <v>2221.8129600000002</v>
      </c>
      <c r="T138" s="225">
        <f>(T49-T77)*Parameters!$J10</f>
        <v>2330.1940800000002</v>
      </c>
      <c r="U138" s="225">
        <f>(U49-U77)*Parameters!$J10</f>
        <v>2438.5751999999998</v>
      </c>
      <c r="V138" s="225">
        <f>(V49-V77)*Parameters!$J10</f>
        <v>2601.1468799999998</v>
      </c>
      <c r="W138" s="226">
        <f>SUM(S138:V138)</f>
        <v>9591.72912</v>
      </c>
      <c r="X138" s="221">
        <f>(X49-X77)*Parameters!$J10</f>
        <v>2709.5279999999998</v>
      </c>
      <c r="Y138" s="225">
        <f>(Y49-Y77)*Parameters!$J10</f>
        <v>2709.5279999999998</v>
      </c>
      <c r="Z138" s="225">
        <f>(Z49-Z77)*Parameters!$J10</f>
        <v>2709.5279999999998</v>
      </c>
      <c r="AA138" s="225">
        <f>(AA49-AA77)*Parameters!$J10</f>
        <v>2709.5279999999998</v>
      </c>
      <c r="AB138" s="226">
        <f>SUM(X138:AA138)</f>
        <v>10838.111999999999</v>
      </c>
      <c r="AC138" s="235">
        <f>H138+M138+R138+W138+AB138</f>
        <v>28016.519520000002</v>
      </c>
    </row>
    <row r="139" spans="1:29" ht="13.2" thickBot="1" x14ac:dyDescent="0.25">
      <c r="A139" s="787"/>
      <c r="B139" s="765"/>
      <c r="C139" s="420" t="s">
        <v>253</v>
      </c>
      <c r="D139" s="436">
        <f t="shared" ref="D139:AC139" si="61">SUM(D135:D138)</f>
        <v>0</v>
      </c>
      <c r="E139" s="437">
        <f t="shared" si="61"/>
        <v>0</v>
      </c>
      <c r="F139" s="437">
        <f t="shared" si="61"/>
        <v>243.85752000000002</v>
      </c>
      <c r="G139" s="437">
        <f t="shared" si="61"/>
        <v>1056.7159200000001</v>
      </c>
      <c r="H139" s="438">
        <f t="shared" si="61"/>
        <v>1300.5734400000001</v>
      </c>
      <c r="I139" s="436">
        <f t="shared" si="61"/>
        <v>3088.8619200000003</v>
      </c>
      <c r="J139" s="437">
        <f t="shared" si="61"/>
        <v>6015.1521600000005</v>
      </c>
      <c r="K139" s="437">
        <f t="shared" si="61"/>
        <v>9212.395199999999</v>
      </c>
      <c r="L139" s="437">
        <f t="shared" si="61"/>
        <v>12788.972159999999</v>
      </c>
      <c r="M139" s="438">
        <f t="shared" si="61"/>
        <v>31105.381440000001</v>
      </c>
      <c r="N139" s="436">
        <f t="shared" si="61"/>
        <v>17395.169760000001</v>
      </c>
      <c r="O139" s="437">
        <f t="shared" si="61"/>
        <v>22922.606879999999</v>
      </c>
      <c r="P139" s="437">
        <f t="shared" si="61"/>
        <v>28450.044000000002</v>
      </c>
      <c r="Q139" s="437">
        <f t="shared" si="61"/>
        <v>34031.671679999999</v>
      </c>
      <c r="R139" s="438">
        <f t="shared" si="61"/>
        <v>102799.49232000002</v>
      </c>
      <c r="S139" s="436">
        <f t="shared" si="61"/>
        <v>40480.348320000005</v>
      </c>
      <c r="T139" s="437">
        <f t="shared" si="61"/>
        <v>47741.883360000007</v>
      </c>
      <c r="U139" s="437">
        <f t="shared" si="61"/>
        <v>55003.418400000002</v>
      </c>
      <c r="V139" s="437">
        <f t="shared" si="61"/>
        <v>62373.334559999996</v>
      </c>
      <c r="W139" s="438">
        <f t="shared" si="61"/>
        <v>205598.98464000001</v>
      </c>
      <c r="X139" s="436">
        <f t="shared" si="61"/>
        <v>69878.72712000001</v>
      </c>
      <c r="Y139" s="437">
        <f t="shared" si="61"/>
        <v>77411.214960000012</v>
      </c>
      <c r="Z139" s="437">
        <f t="shared" si="61"/>
        <v>84943.702800000014</v>
      </c>
      <c r="AA139" s="437">
        <f t="shared" si="61"/>
        <v>92584.571760000006</v>
      </c>
      <c r="AB139" s="438">
        <f t="shared" si="61"/>
        <v>324818.21664</v>
      </c>
      <c r="AC139" s="438">
        <f t="shared" si="61"/>
        <v>665622.64847999997</v>
      </c>
    </row>
    <row r="140" spans="1:29" ht="13.2" thickBot="1" x14ac:dyDescent="0.25">
      <c r="A140" s="787"/>
      <c r="B140" s="766"/>
      <c r="C140" s="416" t="s">
        <v>139</v>
      </c>
      <c r="D140" s="433">
        <f t="shared" ref="D140:AC140" si="62">D134+D139</f>
        <v>135.47639999999998</v>
      </c>
      <c r="E140" s="434">
        <f t="shared" si="62"/>
        <v>677.38199999999995</v>
      </c>
      <c r="F140" s="434">
        <f t="shared" si="62"/>
        <v>1734.0979200000002</v>
      </c>
      <c r="G140" s="434">
        <f t="shared" si="62"/>
        <v>3359.8147200000003</v>
      </c>
      <c r="H140" s="435">
        <f t="shared" si="62"/>
        <v>5906.7710400000005</v>
      </c>
      <c r="I140" s="433">
        <f t="shared" si="62"/>
        <v>7153.1539200000007</v>
      </c>
      <c r="J140" s="434">
        <f t="shared" si="62"/>
        <v>12788.972160000001</v>
      </c>
      <c r="K140" s="434">
        <f t="shared" si="62"/>
        <v>18695.743199999997</v>
      </c>
      <c r="L140" s="434">
        <f t="shared" si="62"/>
        <v>24981.848160000001</v>
      </c>
      <c r="M140" s="435">
        <f t="shared" si="62"/>
        <v>63619.717440000008</v>
      </c>
      <c r="N140" s="433">
        <f t="shared" si="62"/>
        <v>32704.002960000002</v>
      </c>
      <c r="O140" s="434">
        <f t="shared" si="62"/>
        <v>41753.826480000003</v>
      </c>
      <c r="P140" s="434">
        <f t="shared" si="62"/>
        <v>50803.65</v>
      </c>
      <c r="Q140" s="434">
        <f t="shared" si="62"/>
        <v>59907.664080000002</v>
      </c>
      <c r="R140" s="435">
        <f t="shared" si="62"/>
        <v>185169.14352000004</v>
      </c>
      <c r="S140" s="433">
        <f t="shared" si="62"/>
        <v>69932.917680000013</v>
      </c>
      <c r="T140" s="434">
        <f t="shared" si="62"/>
        <v>80825.22024000001</v>
      </c>
      <c r="U140" s="434">
        <f t="shared" si="62"/>
        <v>91717.522800000006</v>
      </c>
      <c r="V140" s="434">
        <f t="shared" si="62"/>
        <v>102772.39704</v>
      </c>
      <c r="W140" s="435">
        <f t="shared" si="62"/>
        <v>345248.05776</v>
      </c>
      <c r="X140" s="433">
        <f t="shared" si="62"/>
        <v>114369.17688000001</v>
      </c>
      <c r="Y140" s="434">
        <f t="shared" si="62"/>
        <v>126345.29064000002</v>
      </c>
      <c r="Z140" s="434">
        <f t="shared" si="62"/>
        <v>138321.4044</v>
      </c>
      <c r="AA140" s="434">
        <f t="shared" si="62"/>
        <v>150460.08984</v>
      </c>
      <c r="AB140" s="435">
        <f t="shared" si="62"/>
        <v>529495.96175999998</v>
      </c>
      <c r="AC140" s="435">
        <f t="shared" si="62"/>
        <v>1129439.6515200001</v>
      </c>
    </row>
    <row r="141" spans="1:29" ht="13.05" customHeight="1" x14ac:dyDescent="0.2">
      <c r="A141" s="787"/>
      <c r="B141" s="764" t="s">
        <v>359</v>
      </c>
      <c r="C141" s="206" t="str">
        <f>C$3</f>
        <v>Liftoil</v>
      </c>
      <c r="D141" s="218">
        <f>D99*Parameters!$K6/4</f>
        <v>2775</v>
      </c>
      <c r="E141" s="219">
        <f>E99*Parameters!$K6/4</f>
        <v>11100</v>
      </c>
      <c r="F141" s="219">
        <f>F99*Parameters!$K6/4</f>
        <v>19425</v>
      </c>
      <c r="G141" s="219">
        <f>G99*Parameters!$K6/4</f>
        <v>27750</v>
      </c>
      <c r="H141" s="220">
        <f>SUM(D141:G141)</f>
        <v>61050</v>
      </c>
      <c r="I141" s="218">
        <f>I99*Parameters!$K6/4</f>
        <v>52750</v>
      </c>
      <c r="J141" s="219">
        <f>J99*Parameters!$K6/4</f>
        <v>77750</v>
      </c>
      <c r="K141" s="219">
        <f>K99*Parameters!$K6/4</f>
        <v>102750</v>
      </c>
      <c r="L141" s="219">
        <f>L99*Parameters!$K6/4</f>
        <v>127750</v>
      </c>
      <c r="M141" s="220">
        <f>SUM(I141:L141)</f>
        <v>361000</v>
      </c>
      <c r="N141" s="218">
        <f>N99*Parameters!$K6/4</f>
        <v>157000</v>
      </c>
      <c r="O141" s="219">
        <f>O99*Parameters!$K6/4</f>
        <v>186250</v>
      </c>
      <c r="P141" s="219">
        <f>P99*Parameters!$K6/4</f>
        <v>215500</v>
      </c>
      <c r="Q141" s="219">
        <f>Q99*Parameters!$K6/4</f>
        <v>244750</v>
      </c>
      <c r="R141" s="220">
        <f>SUM(N141:Q141)</f>
        <v>803500</v>
      </c>
      <c r="S141" s="218">
        <f>S99*Parameters!$K6/4</f>
        <v>273225</v>
      </c>
      <c r="T141" s="219">
        <f>T99*Parameters!$K6/4</f>
        <v>301700</v>
      </c>
      <c r="U141" s="219">
        <f>U99*Parameters!$K6/4</f>
        <v>330175</v>
      </c>
      <c r="V141" s="219">
        <f>V99*Parameters!$K6/4</f>
        <v>359500</v>
      </c>
      <c r="W141" s="220">
        <f>SUM(S141:V141)</f>
        <v>1264600</v>
      </c>
      <c r="X141" s="218">
        <f>X99*Parameters!$K6/4</f>
        <v>394350</v>
      </c>
      <c r="Y141" s="219">
        <f>Y99*Parameters!$K6/4</f>
        <v>429200</v>
      </c>
      <c r="Z141" s="219">
        <f>Z99*Parameters!$K6/4</f>
        <v>464050</v>
      </c>
      <c r="AA141" s="219">
        <f>AA99*Parameters!$K6/4</f>
        <v>499750</v>
      </c>
      <c r="AB141" s="220">
        <f>SUM(X141:AA141)</f>
        <v>1787350</v>
      </c>
      <c r="AC141" s="233">
        <f>H141+M141+R141+W141+AB141</f>
        <v>4277500</v>
      </c>
    </row>
    <row r="142" spans="1:29" ht="13.05" customHeight="1" x14ac:dyDescent="0.2">
      <c r="A142" s="787"/>
      <c r="B142" s="765"/>
      <c r="C142" s="275" t="str">
        <f>C$4</f>
        <v>USA Canada</v>
      </c>
      <c r="D142" s="284">
        <f>D100*Parameters!$K7/4</f>
        <v>0</v>
      </c>
      <c r="E142" s="285">
        <f>E100*Parameters!$K7/4</f>
        <v>0</v>
      </c>
      <c r="F142" s="285">
        <f>F100*Parameters!$K7/4</f>
        <v>0</v>
      </c>
      <c r="G142" s="285">
        <f>G100*Parameters!$K7/4</f>
        <v>0</v>
      </c>
      <c r="H142" s="223">
        <f>SUM(D142:G142)</f>
        <v>0</v>
      </c>
      <c r="I142" s="284">
        <f>I100*Parameters!$K7/4</f>
        <v>0</v>
      </c>
      <c r="J142" s="285">
        <f>J100*Parameters!$K7/4</f>
        <v>0</v>
      </c>
      <c r="K142" s="285">
        <f>K100*Parameters!$K7/4</f>
        <v>0</v>
      </c>
      <c r="L142" s="285">
        <f>L100*Parameters!$K7/4</f>
        <v>0</v>
      </c>
      <c r="M142" s="223">
        <f>SUM(I142:L142)</f>
        <v>0</v>
      </c>
      <c r="N142" s="284">
        <f>N100*Parameters!$K7/4</f>
        <v>11250</v>
      </c>
      <c r="O142" s="285">
        <f>O100*Parameters!$K7/4</f>
        <v>22500</v>
      </c>
      <c r="P142" s="285">
        <f>P100*Parameters!$K7/4</f>
        <v>33750</v>
      </c>
      <c r="Q142" s="285">
        <f>Q100*Parameters!$K7/4</f>
        <v>45000</v>
      </c>
      <c r="R142" s="223">
        <f>SUM(N142:Q142)</f>
        <v>112500</v>
      </c>
      <c r="S142" s="284">
        <f>S100*Parameters!$K7/4</f>
        <v>62850</v>
      </c>
      <c r="T142" s="285">
        <f>T100*Parameters!$K7/4</f>
        <v>80700</v>
      </c>
      <c r="U142" s="285">
        <f>U100*Parameters!$K7/4</f>
        <v>98550</v>
      </c>
      <c r="V142" s="285">
        <f>V100*Parameters!$K7/4</f>
        <v>117250</v>
      </c>
      <c r="W142" s="223">
        <f>SUM(S142:V142)</f>
        <v>359350</v>
      </c>
      <c r="X142" s="284">
        <f>X100*Parameters!$K7/4</f>
        <v>147000</v>
      </c>
      <c r="Y142" s="285">
        <f>Y100*Parameters!$K7/4</f>
        <v>176750</v>
      </c>
      <c r="Z142" s="285">
        <f>Z100*Parameters!$K7/4</f>
        <v>206500</v>
      </c>
      <c r="AA142" s="285">
        <f>AA100*Parameters!$K7/4</f>
        <v>236250</v>
      </c>
      <c r="AB142" s="223">
        <f>SUM(X142:AA142)</f>
        <v>766500</v>
      </c>
      <c r="AC142" s="234">
        <f>H142+M142+R142+W142+AB142</f>
        <v>1238350</v>
      </c>
    </row>
    <row r="143" spans="1:29" x14ac:dyDescent="0.2">
      <c r="A143" s="787"/>
      <c r="B143" s="765"/>
      <c r="C143" s="207" t="str">
        <f>C$5</f>
        <v>Europe</v>
      </c>
      <c r="D143" s="221">
        <f>D101*Parameters!$K8/4</f>
        <v>0</v>
      </c>
      <c r="E143" s="222">
        <f>E101*Parameters!$K8/4</f>
        <v>0</v>
      </c>
      <c r="F143" s="222">
        <f>F101*Parameters!$K8/4</f>
        <v>4995</v>
      </c>
      <c r="G143" s="222">
        <f>G101*Parameters!$K8/4</f>
        <v>16650</v>
      </c>
      <c r="H143" s="223">
        <f>SUM(D143:G143)</f>
        <v>21645</v>
      </c>
      <c r="I143" s="221">
        <f>I101*Parameters!$K8/4</f>
        <v>32650</v>
      </c>
      <c r="J143" s="222">
        <f>J101*Parameters!$K8/4</f>
        <v>48650</v>
      </c>
      <c r="K143" s="222">
        <f>K101*Parameters!$K8/4</f>
        <v>64650</v>
      </c>
      <c r="L143" s="222">
        <f>L101*Parameters!$K8/4</f>
        <v>81650</v>
      </c>
      <c r="M143" s="223">
        <f>SUM(I143:L143)</f>
        <v>227600</v>
      </c>
      <c r="N143" s="221">
        <f>N101*Parameters!$K8/4</f>
        <v>102800</v>
      </c>
      <c r="O143" s="222">
        <f>O101*Parameters!$K8/4</f>
        <v>123950</v>
      </c>
      <c r="P143" s="222">
        <f>P101*Parameters!$K8/4</f>
        <v>145100</v>
      </c>
      <c r="Q143" s="222">
        <f>Q101*Parameters!$K8/4</f>
        <v>167150</v>
      </c>
      <c r="R143" s="223">
        <f>SUM(N143:Q143)</f>
        <v>539000</v>
      </c>
      <c r="S143" s="221">
        <f>S101*Parameters!$K8/4</f>
        <v>192650</v>
      </c>
      <c r="T143" s="222">
        <f>T101*Parameters!$K8/4</f>
        <v>218150</v>
      </c>
      <c r="U143" s="222">
        <f>U101*Parameters!$K8/4</f>
        <v>243650</v>
      </c>
      <c r="V143" s="222">
        <f>V101*Parameters!$K8/4</f>
        <v>269150</v>
      </c>
      <c r="W143" s="223">
        <f>SUM(S143:V143)</f>
        <v>923600</v>
      </c>
      <c r="X143" s="221">
        <f>X101*Parameters!$K8/4</f>
        <v>289125</v>
      </c>
      <c r="Y143" s="222">
        <f>Y101*Parameters!$K8/4</f>
        <v>309100</v>
      </c>
      <c r="Z143" s="222">
        <f>Z101*Parameters!$K8/4</f>
        <v>329075</v>
      </c>
      <c r="AA143" s="222">
        <f>AA101*Parameters!$K8/4</f>
        <v>349900</v>
      </c>
      <c r="AB143" s="223">
        <f>SUM(X143:AA143)</f>
        <v>1277200</v>
      </c>
      <c r="AC143" s="234">
        <f>H143+M143+R143+W143+AB143</f>
        <v>2989045</v>
      </c>
    </row>
    <row r="144" spans="1:29" x14ac:dyDescent="0.2">
      <c r="A144" s="787"/>
      <c r="B144" s="765"/>
      <c r="C144" s="207" t="str">
        <f>C$6</f>
        <v>Africa</v>
      </c>
      <c r="D144" s="221">
        <f>D102*Parameters!$K9/4</f>
        <v>0</v>
      </c>
      <c r="E144" s="222">
        <f>E102*Parameters!$K9/4</f>
        <v>0</v>
      </c>
      <c r="F144" s="222">
        <f>F102*Parameters!$K9/4</f>
        <v>0</v>
      </c>
      <c r="G144" s="222">
        <f>G102*Parameters!$K9/4</f>
        <v>0</v>
      </c>
      <c r="H144" s="223">
        <f>SUM(D144:G144)</f>
        <v>0</v>
      </c>
      <c r="I144" s="221">
        <f>I102*Parameters!$K9/4</f>
        <v>11000</v>
      </c>
      <c r="J144" s="222">
        <f>J102*Parameters!$K9/4</f>
        <v>22000</v>
      </c>
      <c r="K144" s="222">
        <f>K102*Parameters!$K9/4</f>
        <v>33000</v>
      </c>
      <c r="L144" s="222">
        <f>L102*Parameters!$K9/4</f>
        <v>45000</v>
      </c>
      <c r="M144" s="223">
        <f>SUM(I144:L144)</f>
        <v>111000</v>
      </c>
      <c r="N144" s="221">
        <f>N102*Parameters!$K9/4</f>
        <v>56250</v>
      </c>
      <c r="O144" s="222">
        <f>O102*Parameters!$K9/4</f>
        <v>67500</v>
      </c>
      <c r="P144" s="222">
        <f>P102*Parameters!$K9/4</f>
        <v>78750</v>
      </c>
      <c r="Q144" s="222">
        <f>Q102*Parameters!$K9/4</f>
        <v>90000</v>
      </c>
      <c r="R144" s="223">
        <f>SUM(N144:Q144)</f>
        <v>292500</v>
      </c>
      <c r="S144" s="221">
        <f>S102*Parameters!$K9/4</f>
        <v>102750</v>
      </c>
      <c r="T144" s="222">
        <f>T102*Parameters!$K9/4</f>
        <v>115500</v>
      </c>
      <c r="U144" s="222">
        <f>U102*Parameters!$K9/4</f>
        <v>128250</v>
      </c>
      <c r="V144" s="222">
        <f>V102*Parameters!$K9/4</f>
        <v>141000</v>
      </c>
      <c r="W144" s="223">
        <f>SUM(S144:V144)</f>
        <v>487500</v>
      </c>
      <c r="X144" s="221">
        <f>X102*Parameters!$K9/4</f>
        <v>150350</v>
      </c>
      <c r="Y144" s="222">
        <f>Y102*Parameters!$K9/4</f>
        <v>159700</v>
      </c>
      <c r="Z144" s="222">
        <f>Z102*Parameters!$K9/4</f>
        <v>169050</v>
      </c>
      <c r="AA144" s="222">
        <f>AA102*Parameters!$K9/4</f>
        <v>179250</v>
      </c>
      <c r="AB144" s="223">
        <f>SUM(X144:AA144)</f>
        <v>658350</v>
      </c>
      <c r="AC144" s="234">
        <f>H144+M144+R144+W144+AB144</f>
        <v>1549350</v>
      </c>
    </row>
    <row r="145" spans="1:30" ht="13.2" thickBot="1" x14ac:dyDescent="0.25">
      <c r="A145" s="787"/>
      <c r="B145" s="765"/>
      <c r="C145" s="208" t="str">
        <f>C$7</f>
        <v>Asia</v>
      </c>
      <c r="D145" s="224">
        <f>D103*Parameters!$K10/4</f>
        <v>0</v>
      </c>
      <c r="E145" s="225">
        <f>E103*Parameters!$K10/4</f>
        <v>0</v>
      </c>
      <c r="F145" s="225">
        <f>F103*Parameters!$K10/4</f>
        <v>0</v>
      </c>
      <c r="G145" s="225">
        <f>G103*Parameters!$K10/4</f>
        <v>0</v>
      </c>
      <c r="H145" s="226">
        <f>SUM(D145:G145)</f>
        <v>0</v>
      </c>
      <c r="I145" s="224">
        <f>I103*Parameters!$K10/4</f>
        <v>0</v>
      </c>
      <c r="J145" s="225">
        <f>J103*Parameters!$K10/4</f>
        <v>0</v>
      </c>
      <c r="K145" s="225">
        <f>K103*Parameters!$K10/4</f>
        <v>5000</v>
      </c>
      <c r="L145" s="225">
        <f>L103*Parameters!$K10/4</f>
        <v>10000</v>
      </c>
      <c r="M145" s="226">
        <f>SUM(I145:L145)</f>
        <v>15000</v>
      </c>
      <c r="N145" s="224">
        <f>N103*Parameters!$K10/4</f>
        <v>12250</v>
      </c>
      <c r="O145" s="225">
        <f>O103*Parameters!$K10/4</f>
        <v>14500</v>
      </c>
      <c r="P145" s="225">
        <f>P103*Parameters!$K10/4</f>
        <v>16750</v>
      </c>
      <c r="Q145" s="225">
        <f>Q103*Parameters!$K10/4</f>
        <v>19000</v>
      </c>
      <c r="R145" s="226">
        <f>SUM(N145:Q145)</f>
        <v>62500</v>
      </c>
      <c r="S145" s="224">
        <f>S103*Parameters!$K10/4</f>
        <v>19850</v>
      </c>
      <c r="T145" s="225">
        <f>T103*Parameters!$K10/4</f>
        <v>20700</v>
      </c>
      <c r="U145" s="225">
        <f>U103*Parameters!$K10/4</f>
        <v>21550</v>
      </c>
      <c r="V145" s="225">
        <f>V103*Parameters!$K10/4</f>
        <v>23250</v>
      </c>
      <c r="W145" s="226">
        <f>SUM(S145:V145)</f>
        <v>85350</v>
      </c>
      <c r="X145" s="224">
        <f>X103*Parameters!$K10/4</f>
        <v>23250</v>
      </c>
      <c r="Y145" s="225">
        <f>Y103*Parameters!$K10/4</f>
        <v>23250</v>
      </c>
      <c r="Z145" s="225">
        <f>Z103*Parameters!$K10/4</f>
        <v>23250</v>
      </c>
      <c r="AA145" s="225">
        <f>AA103*Parameters!$K10/4</f>
        <v>23250</v>
      </c>
      <c r="AB145" s="226">
        <f>SUM(X145:AA145)</f>
        <v>93000</v>
      </c>
      <c r="AC145" s="235">
        <f>H145+M145+R145+W145+AB145</f>
        <v>255850</v>
      </c>
    </row>
    <row r="146" spans="1:30" ht="13.2" thickBot="1" x14ac:dyDescent="0.25">
      <c r="A146" s="787"/>
      <c r="B146" s="765"/>
      <c r="C146" s="420" t="s">
        <v>253</v>
      </c>
      <c r="D146" s="436">
        <f t="shared" ref="D146:AC146" si="63">SUM(D142:D145)</f>
        <v>0</v>
      </c>
      <c r="E146" s="437">
        <f t="shared" si="63"/>
        <v>0</v>
      </c>
      <c r="F146" s="437">
        <f t="shared" si="63"/>
        <v>4995</v>
      </c>
      <c r="G146" s="437">
        <f t="shared" si="63"/>
        <v>16650</v>
      </c>
      <c r="H146" s="438">
        <f t="shared" si="63"/>
        <v>21645</v>
      </c>
      <c r="I146" s="436">
        <f t="shared" si="63"/>
        <v>43650</v>
      </c>
      <c r="J146" s="437">
        <f t="shared" si="63"/>
        <v>70650</v>
      </c>
      <c r="K146" s="437">
        <f t="shared" si="63"/>
        <v>102650</v>
      </c>
      <c r="L146" s="437">
        <f t="shared" si="63"/>
        <v>136650</v>
      </c>
      <c r="M146" s="438">
        <f t="shared" si="63"/>
        <v>353600</v>
      </c>
      <c r="N146" s="436">
        <f t="shared" si="63"/>
        <v>182550</v>
      </c>
      <c r="O146" s="437">
        <f t="shared" si="63"/>
        <v>228450</v>
      </c>
      <c r="P146" s="437">
        <f t="shared" si="63"/>
        <v>274350</v>
      </c>
      <c r="Q146" s="437">
        <f t="shared" si="63"/>
        <v>321150</v>
      </c>
      <c r="R146" s="438">
        <f t="shared" si="63"/>
        <v>1006500</v>
      </c>
      <c r="S146" s="436">
        <f t="shared" si="63"/>
        <v>378100</v>
      </c>
      <c r="T146" s="437">
        <f t="shared" si="63"/>
        <v>435050</v>
      </c>
      <c r="U146" s="437">
        <f t="shared" si="63"/>
        <v>492000</v>
      </c>
      <c r="V146" s="437">
        <f t="shared" si="63"/>
        <v>550650</v>
      </c>
      <c r="W146" s="438">
        <f t="shared" si="63"/>
        <v>1855800</v>
      </c>
      <c r="X146" s="436">
        <f t="shared" si="63"/>
        <v>609725</v>
      </c>
      <c r="Y146" s="437">
        <f t="shared" si="63"/>
        <v>668800</v>
      </c>
      <c r="Z146" s="437">
        <f t="shared" si="63"/>
        <v>727875</v>
      </c>
      <c r="AA146" s="437">
        <f t="shared" si="63"/>
        <v>788650</v>
      </c>
      <c r="AB146" s="438">
        <f t="shared" si="63"/>
        <v>2795050</v>
      </c>
      <c r="AC146" s="438">
        <f t="shared" si="63"/>
        <v>6032595</v>
      </c>
    </row>
    <row r="147" spans="1:30" ht="13.2" thickBot="1" x14ac:dyDescent="0.25">
      <c r="A147" s="787"/>
      <c r="B147" s="766"/>
      <c r="C147" s="416" t="s">
        <v>139</v>
      </c>
      <c r="D147" s="433">
        <f t="shared" ref="D147:AC147" si="64">D141+D146</f>
        <v>2775</v>
      </c>
      <c r="E147" s="434">
        <f t="shared" si="64"/>
        <v>11100</v>
      </c>
      <c r="F147" s="434">
        <f t="shared" si="64"/>
        <v>24420</v>
      </c>
      <c r="G147" s="434">
        <f t="shared" si="64"/>
        <v>44400</v>
      </c>
      <c r="H147" s="435">
        <f t="shared" si="64"/>
        <v>82695</v>
      </c>
      <c r="I147" s="433">
        <f t="shared" si="64"/>
        <v>96400</v>
      </c>
      <c r="J147" s="434">
        <f t="shared" si="64"/>
        <v>148400</v>
      </c>
      <c r="K147" s="434">
        <f t="shared" si="64"/>
        <v>205400</v>
      </c>
      <c r="L147" s="434">
        <f t="shared" si="64"/>
        <v>264400</v>
      </c>
      <c r="M147" s="435">
        <f t="shared" si="64"/>
        <v>714600</v>
      </c>
      <c r="N147" s="433">
        <f t="shared" si="64"/>
        <v>339550</v>
      </c>
      <c r="O147" s="434">
        <f t="shared" si="64"/>
        <v>414700</v>
      </c>
      <c r="P147" s="434">
        <f t="shared" si="64"/>
        <v>489850</v>
      </c>
      <c r="Q147" s="434">
        <f t="shared" si="64"/>
        <v>565900</v>
      </c>
      <c r="R147" s="435">
        <f t="shared" si="64"/>
        <v>1810000</v>
      </c>
      <c r="S147" s="433">
        <f t="shared" si="64"/>
        <v>651325</v>
      </c>
      <c r="T147" s="434">
        <f t="shared" si="64"/>
        <v>736750</v>
      </c>
      <c r="U147" s="434">
        <f t="shared" si="64"/>
        <v>822175</v>
      </c>
      <c r="V147" s="434">
        <f t="shared" si="64"/>
        <v>910150</v>
      </c>
      <c r="W147" s="435">
        <f t="shared" si="64"/>
        <v>3120400</v>
      </c>
      <c r="X147" s="433">
        <f t="shared" si="64"/>
        <v>1004075</v>
      </c>
      <c r="Y147" s="434">
        <f t="shared" si="64"/>
        <v>1098000</v>
      </c>
      <c r="Z147" s="434">
        <f t="shared" si="64"/>
        <v>1191925</v>
      </c>
      <c r="AA147" s="434">
        <f t="shared" si="64"/>
        <v>1288400</v>
      </c>
      <c r="AB147" s="435">
        <f t="shared" si="64"/>
        <v>4582400</v>
      </c>
      <c r="AC147" s="435">
        <f t="shared" si="64"/>
        <v>10310095</v>
      </c>
    </row>
    <row r="148" spans="1:30" ht="13.05" customHeight="1" x14ac:dyDescent="0.2">
      <c r="A148" s="787"/>
      <c r="B148" s="764" t="s">
        <v>246</v>
      </c>
      <c r="C148" s="206" t="str">
        <f>C$3</f>
        <v>Liftoil</v>
      </c>
      <c r="D148" s="218">
        <f>D45*Parameters!$L6</f>
        <v>0</v>
      </c>
      <c r="E148" s="219">
        <f>E45*Parameters!$L6</f>
        <v>0</v>
      </c>
      <c r="F148" s="219">
        <f>F45*Parameters!$L6</f>
        <v>0</v>
      </c>
      <c r="G148" s="219">
        <f>G45*Parameters!$L6</f>
        <v>0</v>
      </c>
      <c r="H148" s="220">
        <f>SUM(D148:G148)</f>
        <v>0</v>
      </c>
      <c r="I148" s="218">
        <f>I45*Parameters!$L6</f>
        <v>0</v>
      </c>
      <c r="J148" s="219">
        <f>J45*Parameters!$L6</f>
        <v>0</v>
      </c>
      <c r="K148" s="219">
        <f>K45*Parameters!$L6</f>
        <v>0</v>
      </c>
      <c r="L148" s="219">
        <f>L45*Parameters!$L6</f>
        <v>0</v>
      </c>
      <c r="M148" s="220">
        <f>SUM(I148:L148)</f>
        <v>0</v>
      </c>
      <c r="N148" s="218">
        <f>N45*Parameters!$L6</f>
        <v>0</v>
      </c>
      <c r="O148" s="219">
        <f>O45*Parameters!$L6</f>
        <v>0</v>
      </c>
      <c r="P148" s="219">
        <f>P45*Parameters!$L6</f>
        <v>0</v>
      </c>
      <c r="Q148" s="219">
        <f>Q45*Parameters!$L6</f>
        <v>0</v>
      </c>
      <c r="R148" s="220">
        <f>SUM(N148:Q148)</f>
        <v>0</v>
      </c>
      <c r="S148" s="218">
        <f>S45*Parameters!$L6</f>
        <v>0</v>
      </c>
      <c r="T148" s="219">
        <f>T45*Parameters!$L6</f>
        <v>0</v>
      </c>
      <c r="U148" s="219">
        <f>U45*Parameters!$L6</f>
        <v>0</v>
      </c>
      <c r="V148" s="219">
        <f>V45*Parameters!$L6</f>
        <v>0</v>
      </c>
      <c r="W148" s="220">
        <f>SUM(S148:V148)</f>
        <v>0</v>
      </c>
      <c r="X148" s="218">
        <f>X45*Parameters!$L6</f>
        <v>0</v>
      </c>
      <c r="Y148" s="219">
        <f>Y45*Parameters!$L6</f>
        <v>0</v>
      </c>
      <c r="Z148" s="219">
        <f>Z45*Parameters!$L6</f>
        <v>0</v>
      </c>
      <c r="AA148" s="219">
        <f>AA45*Parameters!$L6</f>
        <v>0</v>
      </c>
      <c r="AB148" s="220">
        <f>SUM(X148:AA148)</f>
        <v>0</v>
      </c>
      <c r="AC148" s="233">
        <f>H148+M148+R148+W148+AB148</f>
        <v>0</v>
      </c>
    </row>
    <row r="149" spans="1:30" ht="13.05" customHeight="1" x14ac:dyDescent="0.2">
      <c r="A149" s="787"/>
      <c r="B149" s="765"/>
      <c r="C149" s="275" t="str">
        <f>C$4</f>
        <v>USA Canada</v>
      </c>
      <c r="D149" s="221">
        <f>D46*Parameters!$L7</f>
        <v>0</v>
      </c>
      <c r="E149" s="285">
        <f>E46*Parameters!$L7</f>
        <v>0</v>
      </c>
      <c r="F149" s="285">
        <f>F46*Parameters!$L7</f>
        <v>0</v>
      </c>
      <c r="G149" s="285">
        <f>G46*Parameters!$L7</f>
        <v>0</v>
      </c>
      <c r="H149" s="223">
        <f>SUM(D149:G149)</f>
        <v>0</v>
      </c>
      <c r="I149" s="221">
        <f>I46*Parameters!$L7</f>
        <v>0</v>
      </c>
      <c r="J149" s="285">
        <f>J46*Parameters!$L7</f>
        <v>0</v>
      </c>
      <c r="K149" s="285">
        <f>K46*Parameters!$L7</f>
        <v>0</v>
      </c>
      <c r="L149" s="285">
        <f>L46*Parameters!$L7</f>
        <v>0</v>
      </c>
      <c r="M149" s="223">
        <f>SUM(I149:L149)</f>
        <v>0</v>
      </c>
      <c r="N149" s="221">
        <f>N46*Parameters!$L7</f>
        <v>0</v>
      </c>
      <c r="O149" s="285">
        <f>O46*Parameters!$L7</f>
        <v>0</v>
      </c>
      <c r="P149" s="285">
        <f>P46*Parameters!$L7</f>
        <v>0</v>
      </c>
      <c r="Q149" s="285">
        <f>Q46*Parameters!$L7</f>
        <v>0</v>
      </c>
      <c r="R149" s="223">
        <f>SUM(N149:Q149)</f>
        <v>0</v>
      </c>
      <c r="S149" s="221">
        <f>S46*Parameters!$L7</f>
        <v>0</v>
      </c>
      <c r="T149" s="285">
        <f>T46*Parameters!$L7</f>
        <v>0</v>
      </c>
      <c r="U149" s="285">
        <f>U46*Parameters!$L7</f>
        <v>0</v>
      </c>
      <c r="V149" s="285">
        <f>V46*Parameters!$L7</f>
        <v>0</v>
      </c>
      <c r="W149" s="223">
        <f>SUM(S149:V149)</f>
        <v>0</v>
      </c>
      <c r="X149" s="221">
        <f>X46*Parameters!$L7</f>
        <v>0</v>
      </c>
      <c r="Y149" s="285">
        <f>Y46*Parameters!$L7</f>
        <v>0</v>
      </c>
      <c r="Z149" s="285">
        <f>Z46*Parameters!$L7</f>
        <v>0</v>
      </c>
      <c r="AA149" s="285">
        <f>AA46*Parameters!$L7</f>
        <v>0</v>
      </c>
      <c r="AB149" s="223">
        <f>SUM(X149:AA149)</f>
        <v>0</v>
      </c>
      <c r="AC149" s="234">
        <f>H149+M149+R149+W149+AB149</f>
        <v>0</v>
      </c>
    </row>
    <row r="150" spans="1:30" x14ac:dyDescent="0.2">
      <c r="A150" s="787"/>
      <c r="B150" s="765"/>
      <c r="C150" s="207" t="str">
        <f>C$5</f>
        <v>Europe</v>
      </c>
      <c r="D150" s="221">
        <f>D47*Parameters!$L8</f>
        <v>0</v>
      </c>
      <c r="E150" s="222">
        <f>E47*Parameters!$L8</f>
        <v>0</v>
      </c>
      <c r="F150" s="222">
        <f>F47*Parameters!$L8</f>
        <v>0</v>
      </c>
      <c r="G150" s="222">
        <f>G47*Parameters!$L8</f>
        <v>0</v>
      </c>
      <c r="H150" s="223">
        <f>SUM(D150:G150)</f>
        <v>0</v>
      </c>
      <c r="I150" s="221">
        <f>I47*Parameters!$L8</f>
        <v>0</v>
      </c>
      <c r="J150" s="222">
        <f>J47*Parameters!$L8</f>
        <v>0</v>
      </c>
      <c r="K150" s="222">
        <f>K47*Parameters!$L8</f>
        <v>0</v>
      </c>
      <c r="L150" s="222">
        <f>L47*Parameters!$L8</f>
        <v>0</v>
      </c>
      <c r="M150" s="223">
        <f>SUM(I150:L150)</f>
        <v>0</v>
      </c>
      <c r="N150" s="221">
        <f>N47*Parameters!$L8</f>
        <v>0</v>
      </c>
      <c r="O150" s="222">
        <f>O47*Parameters!$L8</f>
        <v>0</v>
      </c>
      <c r="P150" s="222">
        <f>P47*Parameters!$L8</f>
        <v>0</v>
      </c>
      <c r="Q150" s="222">
        <f>Q47*Parameters!$L8</f>
        <v>0</v>
      </c>
      <c r="R150" s="223">
        <f>SUM(N150:Q150)</f>
        <v>0</v>
      </c>
      <c r="S150" s="221">
        <f>S47*Parameters!$L8</f>
        <v>0</v>
      </c>
      <c r="T150" s="222">
        <f>T47*Parameters!$L8</f>
        <v>0</v>
      </c>
      <c r="U150" s="222">
        <f>U47*Parameters!$L8</f>
        <v>0</v>
      </c>
      <c r="V150" s="222">
        <f>V47*Parameters!$L8</f>
        <v>0</v>
      </c>
      <c r="W150" s="223">
        <f>SUM(S150:V150)</f>
        <v>0</v>
      </c>
      <c r="X150" s="221">
        <f>X47*Parameters!$L8</f>
        <v>0</v>
      </c>
      <c r="Y150" s="222">
        <f>Y47*Parameters!$L8</f>
        <v>0</v>
      </c>
      <c r="Z150" s="222">
        <f>Z47*Parameters!$L8</f>
        <v>0</v>
      </c>
      <c r="AA150" s="222">
        <f>AA47*Parameters!$L8</f>
        <v>0</v>
      </c>
      <c r="AB150" s="223">
        <f>SUM(X150:AA150)</f>
        <v>0</v>
      </c>
      <c r="AC150" s="234">
        <f>H150+M150+R150+W150+AB150</f>
        <v>0</v>
      </c>
    </row>
    <row r="151" spans="1:30" x14ac:dyDescent="0.2">
      <c r="A151" s="787"/>
      <c r="B151" s="765"/>
      <c r="C151" s="207" t="str">
        <f>C$6</f>
        <v>Africa</v>
      </c>
      <c r="D151" s="221">
        <f>D48*Parameters!$L9</f>
        <v>0</v>
      </c>
      <c r="E151" s="222">
        <f>E48*Parameters!$L9</f>
        <v>0</v>
      </c>
      <c r="F151" s="222">
        <f>F48*Parameters!$L9</f>
        <v>0</v>
      </c>
      <c r="G151" s="222">
        <f>G48*Parameters!$L9</f>
        <v>0</v>
      </c>
      <c r="H151" s="223">
        <f>SUM(D151:G151)</f>
        <v>0</v>
      </c>
      <c r="I151" s="221">
        <f>I48*Parameters!$L9</f>
        <v>0</v>
      </c>
      <c r="J151" s="222">
        <f>J48*Parameters!$L9</f>
        <v>0</v>
      </c>
      <c r="K151" s="222">
        <f>K48*Parameters!$L9</f>
        <v>0</v>
      </c>
      <c r="L151" s="222">
        <f>L48*Parameters!$L9</f>
        <v>0</v>
      </c>
      <c r="M151" s="223">
        <f>SUM(I151:L151)</f>
        <v>0</v>
      </c>
      <c r="N151" s="221">
        <f>N48*Parameters!$L9</f>
        <v>0</v>
      </c>
      <c r="O151" s="222">
        <f>O48*Parameters!$L9</f>
        <v>0</v>
      </c>
      <c r="P151" s="222">
        <f>P48*Parameters!$L9</f>
        <v>0</v>
      </c>
      <c r="Q151" s="222">
        <f>Q48*Parameters!$L9</f>
        <v>0</v>
      </c>
      <c r="R151" s="223">
        <f>SUM(N151:Q151)</f>
        <v>0</v>
      </c>
      <c r="S151" s="221">
        <f>S48*Parameters!$L9</f>
        <v>0</v>
      </c>
      <c r="T151" s="222">
        <f>T48*Parameters!$L9</f>
        <v>0</v>
      </c>
      <c r="U151" s="222">
        <f>U48*Parameters!$L9</f>
        <v>0</v>
      </c>
      <c r="V151" s="222">
        <f>V48*Parameters!$L9</f>
        <v>0</v>
      </c>
      <c r="W151" s="223">
        <f>SUM(S151:V151)</f>
        <v>0</v>
      </c>
      <c r="X151" s="221">
        <f>X48*Parameters!$L9</f>
        <v>0</v>
      </c>
      <c r="Y151" s="222">
        <f>Y48*Parameters!$L9</f>
        <v>0</v>
      </c>
      <c r="Z151" s="222">
        <f>Z48*Parameters!$L9</f>
        <v>0</v>
      </c>
      <c r="AA151" s="222">
        <f>AA48*Parameters!$L9</f>
        <v>0</v>
      </c>
      <c r="AB151" s="223">
        <f>SUM(X151:AA151)</f>
        <v>0</v>
      </c>
      <c r="AC151" s="234">
        <f>H151+M151+R151+W151+AB151</f>
        <v>0</v>
      </c>
    </row>
    <row r="152" spans="1:30" ht="13.2" thickBot="1" x14ac:dyDescent="0.25">
      <c r="A152" s="787"/>
      <c r="B152" s="765"/>
      <c r="C152" s="208" t="str">
        <f>C$7</f>
        <v>Asia</v>
      </c>
      <c r="D152" s="224">
        <f>D49*Parameters!$L10</f>
        <v>0</v>
      </c>
      <c r="E152" s="225">
        <f>E49*Parameters!$L10</f>
        <v>0</v>
      </c>
      <c r="F152" s="225">
        <f>F49*Parameters!$L10</f>
        <v>0</v>
      </c>
      <c r="G152" s="225">
        <f>G49*Parameters!$L10</f>
        <v>0</v>
      </c>
      <c r="H152" s="226">
        <f>SUM(D152:G152)</f>
        <v>0</v>
      </c>
      <c r="I152" s="224">
        <f>I49*Parameters!$L10</f>
        <v>0</v>
      </c>
      <c r="J152" s="225">
        <f>J49*Parameters!$L10</f>
        <v>0</v>
      </c>
      <c r="K152" s="225">
        <f>K49*Parameters!$L10</f>
        <v>0</v>
      </c>
      <c r="L152" s="225">
        <f>L49*Parameters!$L10</f>
        <v>0</v>
      </c>
      <c r="M152" s="226">
        <f>SUM(I152:L152)</f>
        <v>0</v>
      </c>
      <c r="N152" s="224">
        <f>N49*Parameters!$L10</f>
        <v>0</v>
      </c>
      <c r="O152" s="225">
        <f>O49*Parameters!$L10</f>
        <v>0</v>
      </c>
      <c r="P152" s="225">
        <f>P49*Parameters!$L10</f>
        <v>0</v>
      </c>
      <c r="Q152" s="225">
        <f>Q49*Parameters!$L10</f>
        <v>0</v>
      </c>
      <c r="R152" s="226">
        <f>SUM(N152:Q152)</f>
        <v>0</v>
      </c>
      <c r="S152" s="224">
        <f>S49*Parameters!$L10</f>
        <v>0</v>
      </c>
      <c r="T152" s="225">
        <f>T49*Parameters!$L10</f>
        <v>0</v>
      </c>
      <c r="U152" s="225">
        <f>U49*Parameters!$L10</f>
        <v>0</v>
      </c>
      <c r="V152" s="225">
        <f>V49*Parameters!$L10</f>
        <v>0</v>
      </c>
      <c r="W152" s="226">
        <f>SUM(S152:V152)</f>
        <v>0</v>
      </c>
      <c r="X152" s="224">
        <f>X49*Parameters!$L10</f>
        <v>0</v>
      </c>
      <c r="Y152" s="225">
        <f>Y49*Parameters!$L10</f>
        <v>0</v>
      </c>
      <c r="Z152" s="225">
        <f>Z49*Parameters!$L10</f>
        <v>0</v>
      </c>
      <c r="AA152" s="225">
        <f>AA49*Parameters!$L10</f>
        <v>0</v>
      </c>
      <c r="AB152" s="226">
        <f>SUM(X152:AA152)</f>
        <v>0</v>
      </c>
      <c r="AC152" s="235">
        <f>H152+M152+R152+W152+AB152</f>
        <v>0</v>
      </c>
    </row>
    <row r="153" spans="1:30" ht="13.2" thickBot="1" x14ac:dyDescent="0.25">
      <c r="A153" s="787"/>
      <c r="B153" s="765"/>
      <c r="C153" s="420" t="s">
        <v>253</v>
      </c>
      <c r="D153" s="436">
        <f t="shared" ref="D153:AC153" si="65">SUM(D149:D152)</f>
        <v>0</v>
      </c>
      <c r="E153" s="437">
        <f t="shared" si="65"/>
        <v>0</v>
      </c>
      <c r="F153" s="437">
        <f t="shared" si="65"/>
        <v>0</v>
      </c>
      <c r="G153" s="437">
        <f t="shared" si="65"/>
        <v>0</v>
      </c>
      <c r="H153" s="438">
        <f t="shared" si="65"/>
        <v>0</v>
      </c>
      <c r="I153" s="436">
        <f t="shared" si="65"/>
        <v>0</v>
      </c>
      <c r="J153" s="437">
        <f t="shared" si="65"/>
        <v>0</v>
      </c>
      <c r="K153" s="437">
        <f t="shared" si="65"/>
        <v>0</v>
      </c>
      <c r="L153" s="437">
        <f t="shared" si="65"/>
        <v>0</v>
      </c>
      <c r="M153" s="438">
        <f t="shared" si="65"/>
        <v>0</v>
      </c>
      <c r="N153" s="436">
        <f t="shared" si="65"/>
        <v>0</v>
      </c>
      <c r="O153" s="437">
        <f t="shared" si="65"/>
        <v>0</v>
      </c>
      <c r="P153" s="437">
        <f t="shared" si="65"/>
        <v>0</v>
      </c>
      <c r="Q153" s="437">
        <f t="shared" si="65"/>
        <v>0</v>
      </c>
      <c r="R153" s="438">
        <f t="shared" si="65"/>
        <v>0</v>
      </c>
      <c r="S153" s="436">
        <f t="shared" si="65"/>
        <v>0</v>
      </c>
      <c r="T153" s="437">
        <f t="shared" si="65"/>
        <v>0</v>
      </c>
      <c r="U153" s="437">
        <f t="shared" si="65"/>
        <v>0</v>
      </c>
      <c r="V153" s="437">
        <f t="shared" si="65"/>
        <v>0</v>
      </c>
      <c r="W153" s="438">
        <f t="shared" si="65"/>
        <v>0</v>
      </c>
      <c r="X153" s="436">
        <f t="shared" si="65"/>
        <v>0</v>
      </c>
      <c r="Y153" s="437">
        <f t="shared" si="65"/>
        <v>0</v>
      </c>
      <c r="Z153" s="437">
        <f t="shared" si="65"/>
        <v>0</v>
      </c>
      <c r="AA153" s="437">
        <f t="shared" si="65"/>
        <v>0</v>
      </c>
      <c r="AB153" s="438">
        <f t="shared" si="65"/>
        <v>0</v>
      </c>
      <c r="AC153" s="438">
        <f t="shared" si="65"/>
        <v>0</v>
      </c>
    </row>
    <row r="154" spans="1:30" ht="13.2" thickBot="1" x14ac:dyDescent="0.25">
      <c r="A154" s="787"/>
      <c r="B154" s="766"/>
      <c r="C154" s="416" t="s">
        <v>139</v>
      </c>
      <c r="D154" s="433">
        <f t="shared" ref="D154:AC154" si="66">D148+D153</f>
        <v>0</v>
      </c>
      <c r="E154" s="434">
        <f t="shared" si="66"/>
        <v>0</v>
      </c>
      <c r="F154" s="434">
        <f t="shared" si="66"/>
        <v>0</v>
      </c>
      <c r="G154" s="434">
        <f t="shared" si="66"/>
        <v>0</v>
      </c>
      <c r="H154" s="435">
        <f t="shared" si="66"/>
        <v>0</v>
      </c>
      <c r="I154" s="433">
        <f t="shared" si="66"/>
        <v>0</v>
      </c>
      <c r="J154" s="434">
        <f t="shared" si="66"/>
        <v>0</v>
      </c>
      <c r="K154" s="434">
        <f t="shared" si="66"/>
        <v>0</v>
      </c>
      <c r="L154" s="434">
        <f t="shared" si="66"/>
        <v>0</v>
      </c>
      <c r="M154" s="435">
        <f t="shared" si="66"/>
        <v>0</v>
      </c>
      <c r="N154" s="433">
        <f t="shared" si="66"/>
        <v>0</v>
      </c>
      <c r="O154" s="434">
        <f t="shared" si="66"/>
        <v>0</v>
      </c>
      <c r="P154" s="434">
        <f t="shared" si="66"/>
        <v>0</v>
      </c>
      <c r="Q154" s="434">
        <f t="shared" si="66"/>
        <v>0</v>
      </c>
      <c r="R154" s="435">
        <f t="shared" si="66"/>
        <v>0</v>
      </c>
      <c r="S154" s="433">
        <f t="shared" si="66"/>
        <v>0</v>
      </c>
      <c r="T154" s="434">
        <f t="shared" si="66"/>
        <v>0</v>
      </c>
      <c r="U154" s="434">
        <f t="shared" si="66"/>
        <v>0</v>
      </c>
      <c r="V154" s="434">
        <f t="shared" si="66"/>
        <v>0</v>
      </c>
      <c r="W154" s="435">
        <f t="shared" si="66"/>
        <v>0</v>
      </c>
      <c r="X154" s="433">
        <f t="shared" si="66"/>
        <v>0</v>
      </c>
      <c r="Y154" s="434">
        <f t="shared" si="66"/>
        <v>0</v>
      </c>
      <c r="Z154" s="434">
        <f t="shared" si="66"/>
        <v>0</v>
      </c>
      <c r="AA154" s="434">
        <f t="shared" si="66"/>
        <v>0</v>
      </c>
      <c r="AB154" s="435">
        <f t="shared" si="66"/>
        <v>0</v>
      </c>
      <c r="AC154" s="435">
        <f t="shared" si="66"/>
        <v>0</v>
      </c>
    </row>
    <row r="155" spans="1:30" x14ac:dyDescent="0.2">
      <c r="A155" s="787"/>
      <c r="B155" s="764" t="s">
        <v>106</v>
      </c>
      <c r="C155" s="206" t="str">
        <f>C$3</f>
        <v>Liftoil</v>
      </c>
      <c r="D155" s="376">
        <f>H155/4</f>
        <v>145491</v>
      </c>
      <c r="E155" s="377">
        <f>H155/4</f>
        <v>145491</v>
      </c>
      <c r="F155" s="377">
        <f>H155/4</f>
        <v>145491</v>
      </c>
      <c r="G155" s="377">
        <f>H155/4</f>
        <v>145491</v>
      </c>
      <c r="H155" s="220">
        <f>'G&amp;A Expenses'!$D$200*Parameters!$C61</f>
        <v>581964</v>
      </c>
      <c r="I155" s="376">
        <f>M155/4</f>
        <v>168145.25</v>
      </c>
      <c r="J155" s="377">
        <f>M155/4</f>
        <v>168145.25</v>
      </c>
      <c r="K155" s="377">
        <f>M155/4</f>
        <v>168145.25</v>
      </c>
      <c r="L155" s="377">
        <f>M155/4</f>
        <v>168145.25</v>
      </c>
      <c r="M155" s="220">
        <f>'G&amp;A Expenses'!$F$200*Parameters!$E61</f>
        <v>672581</v>
      </c>
      <c r="N155" s="376">
        <f>R155/4</f>
        <v>184925.68499999997</v>
      </c>
      <c r="O155" s="377">
        <f>R155/4</f>
        <v>184925.68499999997</v>
      </c>
      <c r="P155" s="377">
        <f>R155/4</f>
        <v>184925.68499999997</v>
      </c>
      <c r="Q155" s="377">
        <f>R155/4</f>
        <v>184925.68499999997</v>
      </c>
      <c r="R155" s="220">
        <f>'G&amp;A Expenses'!$H$200*Parameters!$G61</f>
        <v>739702.73999999987</v>
      </c>
      <c r="S155" s="376">
        <f>W155/4</f>
        <v>207181.83487500012</v>
      </c>
      <c r="T155" s="377">
        <f>W155/4</f>
        <v>207181.83487500012</v>
      </c>
      <c r="U155" s="377">
        <f>W155/4</f>
        <v>207181.83487500012</v>
      </c>
      <c r="V155" s="377">
        <f>W155/4</f>
        <v>207181.83487500012</v>
      </c>
      <c r="W155" s="220">
        <f>'G&amp;A Expenses'!$J$200*Parameters!$I61</f>
        <v>828727.33950000047</v>
      </c>
      <c r="X155" s="376">
        <f>AB155/4</f>
        <v>227623.77591600004</v>
      </c>
      <c r="Y155" s="377">
        <f>AB155/4</f>
        <v>227623.77591600004</v>
      </c>
      <c r="Z155" s="377">
        <f>AB155/4</f>
        <v>227623.77591600004</v>
      </c>
      <c r="AA155" s="377">
        <f>AB155/4</f>
        <v>227623.77591600004</v>
      </c>
      <c r="AB155" s="220">
        <f>'G&amp;A Expenses'!$L$200*Parameters!$K61</f>
        <v>910495.10366400017</v>
      </c>
      <c r="AC155" s="233">
        <f>H155+M155+R155+W155+AB155</f>
        <v>3733470.183164</v>
      </c>
    </row>
    <row r="156" spans="1:30" x14ac:dyDescent="0.2">
      <c r="A156" s="787"/>
      <c r="B156" s="765"/>
      <c r="C156" s="275" t="str">
        <f>C$4</f>
        <v>USA Canada</v>
      </c>
      <c r="D156" s="378">
        <f>H156/4</f>
        <v>0</v>
      </c>
      <c r="E156" s="379">
        <f>H156/4</f>
        <v>0</v>
      </c>
      <c r="F156" s="379">
        <f>H156/4</f>
        <v>0</v>
      </c>
      <c r="G156" s="379">
        <f>H156/4</f>
        <v>0</v>
      </c>
      <c r="H156" s="223">
        <f>'G&amp;A Expenses'!$D$137*Parameters!$C62</f>
        <v>0</v>
      </c>
      <c r="I156" s="378">
        <f>M156/4</f>
        <v>0</v>
      </c>
      <c r="J156" s="379">
        <f>M156/4</f>
        <v>0</v>
      </c>
      <c r="K156" s="379">
        <f>M156/4</f>
        <v>0</v>
      </c>
      <c r="L156" s="379">
        <f>M156/4</f>
        <v>0</v>
      </c>
      <c r="M156" s="223">
        <f>'G&amp;A Expenses'!$F$137*Parameters!$E62</f>
        <v>0</v>
      </c>
      <c r="N156" s="378">
        <f>R156/4</f>
        <v>366811</v>
      </c>
      <c r="O156" s="379">
        <f>R156/4</f>
        <v>366811</v>
      </c>
      <c r="P156" s="379">
        <f>R156/4</f>
        <v>366811</v>
      </c>
      <c r="Q156" s="379">
        <f>R156/4</f>
        <v>366811</v>
      </c>
      <c r="R156" s="223">
        <f>'G&amp;A Expenses'!$H$137*Parameters!$G62</f>
        <v>1467244</v>
      </c>
      <c r="S156" s="378">
        <f>W156/4</f>
        <v>397652.86</v>
      </c>
      <c r="T156" s="379">
        <f>W156/4</f>
        <v>397652.86</v>
      </c>
      <c r="U156" s="379">
        <f>W156/4</f>
        <v>397652.86</v>
      </c>
      <c r="V156" s="379">
        <f>W156/4</f>
        <v>397652.86</v>
      </c>
      <c r="W156" s="223">
        <f>'G&amp;A Expenses'!$J$137*Parameters!$I62</f>
        <v>1590611.44</v>
      </c>
      <c r="X156" s="378">
        <f>AB156/4</f>
        <v>418174.89874999999</v>
      </c>
      <c r="Y156" s="379">
        <f>AB156/4</f>
        <v>418174.89874999999</v>
      </c>
      <c r="Z156" s="379">
        <f>AB156/4</f>
        <v>418174.89874999999</v>
      </c>
      <c r="AA156" s="379">
        <f>AB156/4</f>
        <v>418174.89874999999</v>
      </c>
      <c r="AB156" s="223">
        <f>'G&amp;A Expenses'!$L$137*Parameters!$K62</f>
        <v>1672699.595</v>
      </c>
      <c r="AC156" s="234">
        <f>H156+M156+R156+W156+AB156</f>
        <v>4730555.0350000001</v>
      </c>
    </row>
    <row r="157" spans="1:30" ht="13.2" thickBot="1" x14ac:dyDescent="0.25">
      <c r="A157" s="787"/>
      <c r="B157" s="765"/>
      <c r="C157" s="208" t="s">
        <v>353</v>
      </c>
      <c r="D157" s="380">
        <f>H157/4</f>
        <v>201812</v>
      </c>
      <c r="E157" s="381">
        <f>H157/4</f>
        <v>201812</v>
      </c>
      <c r="F157" s="381">
        <f>H157/4</f>
        <v>201812</v>
      </c>
      <c r="G157" s="381">
        <f>H157/4</f>
        <v>201812</v>
      </c>
      <c r="H157" s="226">
        <f>'G&amp;A Expenses'!$D$78*Parameters!$C63*Parameters!$J$21</f>
        <v>807248</v>
      </c>
      <c r="I157" s="380">
        <f>M157/4</f>
        <v>327444.09750000003</v>
      </c>
      <c r="J157" s="381">
        <f>M157/4</f>
        <v>327444.09750000003</v>
      </c>
      <c r="K157" s="381">
        <f>M157/4</f>
        <v>327444.09750000003</v>
      </c>
      <c r="L157" s="381">
        <f>M157/4</f>
        <v>327444.09750000003</v>
      </c>
      <c r="M157" s="226">
        <f>'G&amp;A Expenses'!$F$78*Parameters!$E63*Parameters!$K$21</f>
        <v>1309776.3900000001</v>
      </c>
      <c r="N157" s="380">
        <f>R157/4</f>
        <v>457232.44710000011</v>
      </c>
      <c r="O157" s="381">
        <f>R157/4</f>
        <v>457232.44710000011</v>
      </c>
      <c r="P157" s="381">
        <f>R157/4</f>
        <v>457232.44710000011</v>
      </c>
      <c r="Q157" s="381">
        <f>R157/4</f>
        <v>457232.44710000011</v>
      </c>
      <c r="R157" s="226">
        <f>'G&amp;A Expenses'!$H$78*Parameters!$G63*Parameters!$L$21</f>
        <v>1828929.7884000004</v>
      </c>
      <c r="S157" s="380">
        <f>W157/4</f>
        <v>525002.91532975016</v>
      </c>
      <c r="T157" s="381">
        <f>W157/4</f>
        <v>525002.91532975016</v>
      </c>
      <c r="U157" s="381">
        <f>W157/4</f>
        <v>525002.91532975016</v>
      </c>
      <c r="V157" s="381">
        <f>W157/4</f>
        <v>525002.91532975016</v>
      </c>
      <c r="W157" s="226">
        <f>'G&amp;A Expenses'!$J$78*Parameters!$I63*Parameters!$M$21</f>
        <v>2100011.6613190006</v>
      </c>
      <c r="X157" s="380">
        <f>AB157/4</f>
        <v>550744.51250126748</v>
      </c>
      <c r="Y157" s="381">
        <f>AB157/4</f>
        <v>550744.51250126748</v>
      </c>
      <c r="Z157" s="381">
        <f>AB157/4</f>
        <v>550744.51250126748</v>
      </c>
      <c r="AA157" s="381">
        <f>AB157/4</f>
        <v>550744.51250126748</v>
      </c>
      <c r="AB157" s="226">
        <f>'G&amp;A Expenses'!$L$78*Parameters!$K63*Parameters!$N$21</f>
        <v>2202978.0500050699</v>
      </c>
      <c r="AC157" s="235">
        <f>H157+M157+R157+W157+AB157</f>
        <v>8248943.8897240711</v>
      </c>
    </row>
    <row r="158" spans="1:30" ht="13.2" thickBot="1" x14ac:dyDescent="0.25">
      <c r="A158" s="787"/>
      <c r="B158" s="765"/>
      <c r="C158" s="420" t="s">
        <v>253</v>
      </c>
      <c r="D158" s="436">
        <f t="shared" ref="D158:AC158" si="67">D156+D157</f>
        <v>201812</v>
      </c>
      <c r="E158" s="437">
        <f t="shared" si="67"/>
        <v>201812</v>
      </c>
      <c r="F158" s="437">
        <f t="shared" si="67"/>
        <v>201812</v>
      </c>
      <c r="G158" s="437">
        <f t="shared" si="67"/>
        <v>201812</v>
      </c>
      <c r="H158" s="438">
        <f t="shared" si="67"/>
        <v>807248</v>
      </c>
      <c r="I158" s="436">
        <f t="shared" si="67"/>
        <v>327444.09750000003</v>
      </c>
      <c r="J158" s="437">
        <f t="shared" si="67"/>
        <v>327444.09750000003</v>
      </c>
      <c r="K158" s="437">
        <f t="shared" si="67"/>
        <v>327444.09750000003</v>
      </c>
      <c r="L158" s="437">
        <f t="shared" si="67"/>
        <v>327444.09750000003</v>
      </c>
      <c r="M158" s="438">
        <f t="shared" si="67"/>
        <v>1309776.3900000001</v>
      </c>
      <c r="N158" s="436">
        <f t="shared" si="67"/>
        <v>824043.44710000011</v>
      </c>
      <c r="O158" s="437">
        <f t="shared" si="67"/>
        <v>824043.44710000011</v>
      </c>
      <c r="P158" s="437">
        <f t="shared" si="67"/>
        <v>824043.44710000011</v>
      </c>
      <c r="Q158" s="437">
        <f t="shared" si="67"/>
        <v>824043.44710000011</v>
      </c>
      <c r="R158" s="438">
        <f t="shared" si="67"/>
        <v>3296173.7884000004</v>
      </c>
      <c r="S158" s="436">
        <f t="shared" si="67"/>
        <v>922655.77532975015</v>
      </c>
      <c r="T158" s="437">
        <f t="shared" si="67"/>
        <v>922655.77532975015</v>
      </c>
      <c r="U158" s="437">
        <f t="shared" si="67"/>
        <v>922655.77532975015</v>
      </c>
      <c r="V158" s="437">
        <f t="shared" si="67"/>
        <v>922655.77532975015</v>
      </c>
      <c r="W158" s="438">
        <f t="shared" si="67"/>
        <v>3690623.1013190006</v>
      </c>
      <c r="X158" s="436">
        <f t="shared" si="67"/>
        <v>968919.41125126742</v>
      </c>
      <c r="Y158" s="437">
        <f t="shared" si="67"/>
        <v>968919.41125126742</v>
      </c>
      <c r="Z158" s="437">
        <f t="shared" si="67"/>
        <v>968919.41125126742</v>
      </c>
      <c r="AA158" s="437">
        <f t="shared" si="67"/>
        <v>968919.41125126742</v>
      </c>
      <c r="AB158" s="438">
        <f t="shared" si="67"/>
        <v>3875677.6450050697</v>
      </c>
      <c r="AC158" s="439">
        <f t="shared" si="67"/>
        <v>12979498.924724072</v>
      </c>
    </row>
    <row r="159" spans="1:30" ht="13.2" thickBot="1" x14ac:dyDescent="0.25">
      <c r="A159" s="788"/>
      <c r="B159" s="766"/>
      <c r="C159" s="416" t="s">
        <v>139</v>
      </c>
      <c r="D159" s="227">
        <f t="shared" ref="D159:AC159" si="68">D158+D155</f>
        <v>347303</v>
      </c>
      <c r="E159" s="228">
        <f t="shared" si="68"/>
        <v>347303</v>
      </c>
      <c r="F159" s="228">
        <f t="shared" si="68"/>
        <v>347303</v>
      </c>
      <c r="G159" s="228">
        <f t="shared" si="68"/>
        <v>347303</v>
      </c>
      <c r="H159" s="229">
        <f t="shared" si="68"/>
        <v>1389212</v>
      </c>
      <c r="I159" s="227">
        <f t="shared" si="68"/>
        <v>495589.34750000003</v>
      </c>
      <c r="J159" s="228">
        <f t="shared" si="68"/>
        <v>495589.34750000003</v>
      </c>
      <c r="K159" s="228">
        <f t="shared" si="68"/>
        <v>495589.34750000003</v>
      </c>
      <c r="L159" s="228">
        <f t="shared" si="68"/>
        <v>495589.34750000003</v>
      </c>
      <c r="M159" s="229">
        <f t="shared" si="68"/>
        <v>1982357.3900000001</v>
      </c>
      <c r="N159" s="227">
        <f t="shared" si="68"/>
        <v>1008969.1321</v>
      </c>
      <c r="O159" s="228">
        <f t="shared" si="68"/>
        <v>1008969.1321</v>
      </c>
      <c r="P159" s="228">
        <f t="shared" si="68"/>
        <v>1008969.1321</v>
      </c>
      <c r="Q159" s="228">
        <f t="shared" si="68"/>
        <v>1008969.1321</v>
      </c>
      <c r="R159" s="229">
        <f t="shared" si="68"/>
        <v>4035876.5284000002</v>
      </c>
      <c r="S159" s="227">
        <f t="shared" si="68"/>
        <v>1129837.6102047502</v>
      </c>
      <c r="T159" s="228">
        <f t="shared" si="68"/>
        <v>1129837.6102047502</v>
      </c>
      <c r="U159" s="228">
        <f t="shared" si="68"/>
        <v>1129837.6102047502</v>
      </c>
      <c r="V159" s="228">
        <f t="shared" si="68"/>
        <v>1129837.6102047502</v>
      </c>
      <c r="W159" s="229">
        <f t="shared" si="68"/>
        <v>4519350.4408190008</v>
      </c>
      <c r="X159" s="227">
        <f t="shared" si="68"/>
        <v>1196543.1871672675</v>
      </c>
      <c r="Y159" s="228">
        <f t="shared" si="68"/>
        <v>1196543.1871672675</v>
      </c>
      <c r="Z159" s="228">
        <f t="shared" si="68"/>
        <v>1196543.1871672675</v>
      </c>
      <c r="AA159" s="228">
        <f t="shared" si="68"/>
        <v>1196543.1871672675</v>
      </c>
      <c r="AB159" s="229">
        <f t="shared" si="68"/>
        <v>4786172.7486690702</v>
      </c>
      <c r="AC159" s="256">
        <f t="shared" si="68"/>
        <v>16712969.107888073</v>
      </c>
    </row>
    <row r="160" spans="1:30" x14ac:dyDescent="0.2">
      <c r="A160" s="786" t="s">
        <v>482</v>
      </c>
      <c r="B160" s="764" t="s">
        <v>419</v>
      </c>
      <c r="C160" s="206" t="str">
        <f>C$3</f>
        <v>Liftoil</v>
      </c>
      <c r="D160" s="194">
        <f>ROUNDDOWN(Forecast!L$19*Parameters!$B$46,0)</f>
        <v>16</v>
      </c>
      <c r="E160" s="190">
        <f>ROUNDDOWN(Forecast!L$19*Parameters!$C$46,0)</f>
        <v>48</v>
      </c>
      <c r="F160" s="190">
        <f>ROUNDDOWN(Forecast!L$19*Parameters!$D$46,0)</f>
        <v>48</v>
      </c>
      <c r="G160" s="190">
        <f>Forecast!L$19-SUM(D160:F160)</f>
        <v>48</v>
      </c>
      <c r="H160" s="195">
        <f>SUM(D160:G160)</f>
        <v>160</v>
      </c>
      <c r="I160" s="194">
        <f>ROUNDDOWN(Forecast!M$19*Parameters!$F$46,0)</f>
        <v>47</v>
      </c>
      <c r="J160" s="190">
        <f>ROUNDDOWN(Forecast!M$19*Parameters!$G$46,0)</f>
        <v>47</v>
      </c>
      <c r="K160" s="190">
        <f>ROUNDDOWN(Forecast!M$19*Parameters!$H$46,0)</f>
        <v>47</v>
      </c>
      <c r="L160" s="190">
        <f>Forecast!M$19-SUM(I160:K160)</f>
        <v>49</v>
      </c>
      <c r="M160" s="195">
        <f>SUM(I160:L160)</f>
        <v>190</v>
      </c>
      <c r="N160" s="194">
        <f>ROUNDDOWN(Forecast!N$19*Parameters!$J$46,0)</f>
        <v>45</v>
      </c>
      <c r="O160" s="190">
        <f>ROUNDDOWN(Forecast!N$19*Parameters!$K$46,0)</f>
        <v>45</v>
      </c>
      <c r="P160" s="190">
        <f>ROUNDDOWN(Forecast!N$19*Parameters!$L$46,0)</f>
        <v>45</v>
      </c>
      <c r="Q160" s="190">
        <f>Forecast!N$19-SUM(N160:P160)</f>
        <v>45</v>
      </c>
      <c r="R160" s="195">
        <f>SUM(N160:Q160)</f>
        <v>180</v>
      </c>
      <c r="S160" s="194">
        <f>ROUNDDOWN(Forecast!O$19*Parameters!$B$54,0)</f>
        <v>20</v>
      </c>
      <c r="T160" s="190">
        <f>ROUNDDOWN(Forecast!O$19*Parameters!$C$54,0)</f>
        <v>20</v>
      </c>
      <c r="U160" s="190">
        <f>ROUNDDOWN(Forecast!O$19*Parameters!$D$54,0)</f>
        <v>20</v>
      </c>
      <c r="V160" s="190">
        <f>Forecast!O$19-SUM(S160:U160)</f>
        <v>20</v>
      </c>
      <c r="W160" s="195">
        <f>SUM(S160:V160)</f>
        <v>80</v>
      </c>
      <c r="X160" s="194">
        <f>ROUNDDOWN(Forecast!P$19*Parameters!$F$54,0)</f>
        <v>0</v>
      </c>
      <c r="Y160" s="190">
        <f>ROUNDDOWN(Forecast!P$19*Parameters!$G$54,0)</f>
        <v>0</v>
      </c>
      <c r="Z160" s="190">
        <f>ROUNDDOWN(Forecast!P$19*Parameters!$H$54,0)</f>
        <v>0</v>
      </c>
      <c r="AA160" s="190">
        <f>Forecast!P$19-SUM(X160:Z160)</f>
        <v>0</v>
      </c>
      <c r="AB160" s="195">
        <f>SUM(X160:AA160)</f>
        <v>0</v>
      </c>
      <c r="AC160" s="198">
        <f>H160+M160+R160+W160+AB160</f>
        <v>610</v>
      </c>
      <c r="AD160"/>
    </row>
    <row r="161" spans="1:30" x14ac:dyDescent="0.2">
      <c r="A161" s="789"/>
      <c r="B161" s="765"/>
      <c r="C161" s="275" t="str">
        <f>C$4</f>
        <v>USA Canada</v>
      </c>
      <c r="D161" s="276">
        <f>ROUNDDOWN(Forecast!L$22*Parameters!$B$47,0)</f>
        <v>0</v>
      </c>
      <c r="E161" s="277">
        <f>ROUNDDOWN(Forecast!L$22*Parameters!$C$47,0)</f>
        <v>0</v>
      </c>
      <c r="F161" s="277">
        <f>ROUNDDOWN(Forecast!L$22*Parameters!$D$47,0)</f>
        <v>0</v>
      </c>
      <c r="G161" s="277">
        <f>Forecast!L$22-SUM(D161:F161)</f>
        <v>0</v>
      </c>
      <c r="H161" s="278">
        <f>SUM(D161:G161)</f>
        <v>0</v>
      </c>
      <c r="I161" s="276">
        <f>ROUNDDOWN(Forecast!M$22*Parameters!$F$47,0)</f>
        <v>0</v>
      </c>
      <c r="J161" s="277">
        <f>ROUNDDOWN(Forecast!M$22*Parameters!$G$47,0)</f>
        <v>0</v>
      </c>
      <c r="K161" s="277">
        <f>ROUNDDOWN(Forecast!M$22*Parameters!$H$47,0)</f>
        <v>0</v>
      </c>
      <c r="L161" s="277">
        <f>Forecast!M$22-SUM(I161:K161)</f>
        <v>0</v>
      </c>
      <c r="M161" s="278">
        <f>SUM(I161:L161)</f>
        <v>0</v>
      </c>
      <c r="N161" s="276">
        <f>ROUNDDOWN(Forecast!N$22*Parameters!$J$47,0)</f>
        <v>0</v>
      </c>
      <c r="O161" s="277">
        <f>ROUNDDOWN(Forecast!N$22*Parameters!$K$47,0)</f>
        <v>0</v>
      </c>
      <c r="P161" s="277">
        <f>ROUNDDOWN(Forecast!N$22*Parameters!$L$47,0)</f>
        <v>0</v>
      </c>
      <c r="Q161" s="277">
        <f>Forecast!N$22-SUM(N161:P161)</f>
        <v>0</v>
      </c>
      <c r="R161" s="278">
        <f>SUM(N161:Q161)</f>
        <v>0</v>
      </c>
      <c r="S161" s="276">
        <f>ROUNDDOWN(Forecast!O$22*Parameters!$B$53,0)</f>
        <v>0</v>
      </c>
      <c r="T161" s="277">
        <f>ROUNDDOWN(Forecast!O$22*Parameters!$C$53,0)</f>
        <v>0</v>
      </c>
      <c r="U161" s="277">
        <f>ROUNDDOWN(Forecast!O$22*Parameters!$D$53,0)</f>
        <v>0</v>
      </c>
      <c r="V161" s="277">
        <f>Forecast!O$22-SUM(S161:U161)</f>
        <v>0</v>
      </c>
      <c r="W161" s="278">
        <f>SUM(S161:V161)</f>
        <v>0</v>
      </c>
      <c r="X161" s="276">
        <f>ROUNDDOWN(Forecast!P$22*Parameters!$F$53,0)</f>
        <v>0</v>
      </c>
      <c r="Y161" s="277">
        <f>ROUNDDOWN(Forecast!P$22*Parameters!$G$53,0)</f>
        <v>0</v>
      </c>
      <c r="Z161" s="277">
        <f>ROUNDDOWN(Forecast!P$22*Parameters!$H$53,0)</f>
        <v>0</v>
      </c>
      <c r="AA161" s="277">
        <f>Forecast!P$22-SUM(X161:Z161)</f>
        <v>0</v>
      </c>
      <c r="AB161" s="278">
        <f>SUM(X161:AA161)</f>
        <v>0</v>
      </c>
      <c r="AC161" s="279">
        <f>H161+M161+R161+W161+AB161</f>
        <v>0</v>
      </c>
      <c r="AD161"/>
    </row>
    <row r="162" spans="1:30" x14ac:dyDescent="0.2">
      <c r="A162" s="789"/>
      <c r="B162" s="765"/>
      <c r="C162" s="207" t="str">
        <f>C$5</f>
        <v>Europe</v>
      </c>
      <c r="D162" s="196">
        <f>ROUNDDOWN(Forecast!L$33*Parameters!$B$48,0)</f>
        <v>0</v>
      </c>
      <c r="E162" s="189">
        <f>ROUNDDOWN(Forecast!L$33*Parameters!$C$48,0)</f>
        <v>0</v>
      </c>
      <c r="F162" s="189">
        <f>ROUNDDOWN(Forecast!L$33*Parameters!$D$48,0)</f>
        <v>0</v>
      </c>
      <c r="G162" s="189">
        <f>Forecast!L$33-SUM(D162:F162)</f>
        <v>0</v>
      </c>
      <c r="H162" s="197">
        <f>SUM(D162:G162)</f>
        <v>0</v>
      </c>
      <c r="I162" s="196">
        <f>ROUNDDOWN(Forecast!M$33*Parameters!$F$48,0)</f>
        <v>0</v>
      </c>
      <c r="J162" s="189">
        <f>ROUNDDOWN(Forecast!M$33*Parameters!$G$48,0)</f>
        <v>0</v>
      </c>
      <c r="K162" s="189">
        <f>ROUNDDOWN(Forecast!M$33*Parameters!$H$48,0)</f>
        <v>0</v>
      </c>
      <c r="L162" s="189">
        <f>Forecast!M$33-SUM(I162:K162)</f>
        <v>0</v>
      </c>
      <c r="M162" s="197">
        <f>SUM(I162:L162)</f>
        <v>0</v>
      </c>
      <c r="N162" s="196">
        <f>ROUNDDOWN(Forecast!N$33*Parameters!$J$48,0)</f>
        <v>0</v>
      </c>
      <c r="O162" s="189">
        <f>ROUNDDOWN(Forecast!N$33*Parameters!$K$48,0)</f>
        <v>0</v>
      </c>
      <c r="P162" s="189">
        <f>ROUNDDOWN(Forecast!N$33*Parameters!$L$48,0)</f>
        <v>0</v>
      </c>
      <c r="Q162" s="189">
        <f>Forecast!N$33-SUM(N162:P162)</f>
        <v>0</v>
      </c>
      <c r="R162" s="197">
        <f>SUM(N162:Q162)</f>
        <v>0</v>
      </c>
      <c r="S162" s="196">
        <f>ROUNDDOWN(Forecast!O$33*Parameters!$B$55,0)</f>
        <v>0</v>
      </c>
      <c r="T162" s="189">
        <f>ROUNDDOWN(Forecast!O$33*Parameters!$C$55,0)</f>
        <v>0</v>
      </c>
      <c r="U162" s="189">
        <f>ROUNDDOWN(Forecast!O$33*Parameters!$D$55,0)</f>
        <v>0</v>
      </c>
      <c r="V162" s="189">
        <f>Forecast!O$33-SUM(S162:U162)</f>
        <v>0</v>
      </c>
      <c r="W162" s="197">
        <f>SUM(S162:V162)</f>
        <v>0</v>
      </c>
      <c r="X162" s="196">
        <f>ROUNDDOWN(Forecast!P$33*Parameters!$F$55,0)</f>
        <v>0</v>
      </c>
      <c r="Y162" s="189">
        <f>ROUNDDOWN(Forecast!P$33*Parameters!$G$55,0)</f>
        <v>0</v>
      </c>
      <c r="Z162" s="189">
        <f>ROUNDDOWN(Forecast!P$33*Parameters!$H$55,0)</f>
        <v>0</v>
      </c>
      <c r="AA162" s="189">
        <f>Forecast!P$33-SUM(X162:Z162)</f>
        <v>0</v>
      </c>
      <c r="AB162" s="197">
        <f>SUM(X162:AA162)</f>
        <v>0</v>
      </c>
      <c r="AC162" s="199">
        <f>H162+M162+R162+W162+AB162</f>
        <v>0</v>
      </c>
      <c r="AD162"/>
    </row>
    <row r="163" spans="1:30" x14ac:dyDescent="0.2">
      <c r="A163" s="789"/>
      <c r="B163" s="765"/>
      <c r="C163" s="207" t="str">
        <f>C$6</f>
        <v>Africa</v>
      </c>
      <c r="D163" s="196">
        <f>ROUNDDOWN(Forecast!L$41*Parameters!$B$49,0)</f>
        <v>0</v>
      </c>
      <c r="E163" s="189">
        <f>ROUNDDOWN(Forecast!L$41*Parameters!$C$49,0)</f>
        <v>0</v>
      </c>
      <c r="F163" s="189">
        <f>ROUNDDOWN(Forecast!L$41*Parameters!$D$49,0)</f>
        <v>0</v>
      </c>
      <c r="G163" s="189">
        <f>Forecast!L$41-SUM(D163:F163)</f>
        <v>0</v>
      </c>
      <c r="H163" s="197">
        <f>SUM(D163:G163)</f>
        <v>0</v>
      </c>
      <c r="I163" s="196">
        <f>ROUNDDOWN(Forecast!M$41*Parameters!$F$49,0)</f>
        <v>0</v>
      </c>
      <c r="J163" s="189">
        <f>ROUNDDOWN(Forecast!M$41*Parameters!$G$49,0)</f>
        <v>0</v>
      </c>
      <c r="K163" s="189">
        <f>ROUNDDOWN(Forecast!M$41*Parameters!$H$49,0)</f>
        <v>0</v>
      </c>
      <c r="L163" s="189">
        <f>Forecast!M$41-SUM(I163:K163)</f>
        <v>0</v>
      </c>
      <c r="M163" s="197">
        <f>SUM(I163:L163)</f>
        <v>0</v>
      </c>
      <c r="N163" s="196">
        <f>ROUNDDOWN(Forecast!N$41*Parameters!$J$49,0)</f>
        <v>0</v>
      </c>
      <c r="O163" s="189">
        <f>ROUNDDOWN(Forecast!N$41*Parameters!$K$49,0)</f>
        <v>0</v>
      </c>
      <c r="P163" s="189">
        <f>ROUNDDOWN(Forecast!N$41*Parameters!$L$49,0)</f>
        <v>0</v>
      </c>
      <c r="Q163" s="189">
        <f>Forecast!N$41-SUM(N163:P163)</f>
        <v>0</v>
      </c>
      <c r="R163" s="197">
        <f>SUM(N163:Q163)</f>
        <v>0</v>
      </c>
      <c r="S163" s="196">
        <f>ROUNDDOWN(Forecast!O$41*Parameters!$B$56,0)</f>
        <v>0</v>
      </c>
      <c r="T163" s="189">
        <f>ROUNDDOWN(Forecast!O$41*Parameters!$C$56,0)</f>
        <v>0</v>
      </c>
      <c r="U163" s="189">
        <f>ROUNDDOWN(Forecast!O$41*Parameters!$D$56,0)</f>
        <v>0</v>
      </c>
      <c r="V163" s="189">
        <f>Forecast!O$41-SUM(S163:U163)</f>
        <v>0</v>
      </c>
      <c r="W163" s="197">
        <f>SUM(S163:V163)</f>
        <v>0</v>
      </c>
      <c r="X163" s="196">
        <f>ROUNDDOWN(Forecast!P$41*Parameters!$F$56,0)</f>
        <v>0</v>
      </c>
      <c r="Y163" s="189">
        <f>ROUNDDOWN(Forecast!P$41*Parameters!$G$56,0)</f>
        <v>0</v>
      </c>
      <c r="Z163" s="189">
        <f>ROUNDDOWN(Forecast!P$41*Parameters!$H$56,0)</f>
        <v>0</v>
      </c>
      <c r="AA163" s="189">
        <f>Forecast!P$41-SUM(X163:Z163)</f>
        <v>0</v>
      </c>
      <c r="AB163" s="197">
        <f>SUM(X163:AA163)</f>
        <v>0</v>
      </c>
      <c r="AC163" s="199">
        <f>H163+M163+R163+W163+AB163</f>
        <v>0</v>
      </c>
      <c r="AD163" s="263"/>
    </row>
    <row r="164" spans="1:30" ht="13.2" thickBot="1" x14ac:dyDescent="0.25">
      <c r="A164" s="789"/>
      <c r="B164" s="765"/>
      <c r="C164" s="208" t="str">
        <f>C$7</f>
        <v>Asia</v>
      </c>
      <c r="D164" s="200">
        <f>ROUNDDOWN(Forecast!L$49*Parameters!$B$50,0)</f>
        <v>0</v>
      </c>
      <c r="E164" s="201">
        <f>ROUNDDOWN(Forecast!L$49*Parameters!$C$50,0)</f>
        <v>0</v>
      </c>
      <c r="F164" s="201">
        <f>ROUNDDOWN(Forecast!L$49*Parameters!$D$50,0)</f>
        <v>0</v>
      </c>
      <c r="G164" s="201">
        <f>Forecast!L$49-SUM(D164:F164)</f>
        <v>0</v>
      </c>
      <c r="H164" s="202">
        <f>SUM(D164:G164)</f>
        <v>0</v>
      </c>
      <c r="I164" s="200">
        <f>ROUNDDOWN(Forecast!M$49*Parameters!$F$50,0)</f>
        <v>0</v>
      </c>
      <c r="J164" s="201">
        <f>ROUNDDOWN(Forecast!M$49*Parameters!$G$50,0)</f>
        <v>0</v>
      </c>
      <c r="K164" s="201">
        <f>ROUNDDOWN(Forecast!M$49*Parameters!$H$50,0)</f>
        <v>0</v>
      </c>
      <c r="L164" s="201">
        <f>Forecast!M$49-SUM(I164:K164)</f>
        <v>0</v>
      </c>
      <c r="M164" s="202">
        <f>SUM(I164:L164)</f>
        <v>0</v>
      </c>
      <c r="N164" s="200">
        <f>ROUNDDOWN(Forecast!N$49*Parameters!$J$50,0)</f>
        <v>0</v>
      </c>
      <c r="O164" s="201">
        <f>ROUNDDOWN(Forecast!N$49*Parameters!$K$50,0)</f>
        <v>0</v>
      </c>
      <c r="P164" s="201">
        <f>ROUNDDOWN(Forecast!N$49*Parameters!$L$50,0)</f>
        <v>0</v>
      </c>
      <c r="Q164" s="201">
        <f>Forecast!N$49-SUM(N164:P164)</f>
        <v>0</v>
      </c>
      <c r="R164" s="202">
        <f>SUM(N164:Q164)</f>
        <v>0</v>
      </c>
      <c r="S164" s="200">
        <f>ROUNDDOWN(Forecast!O$49*Parameters!$B$57,0)</f>
        <v>0</v>
      </c>
      <c r="T164" s="201">
        <f>ROUNDDOWN(Forecast!O$49*Parameters!$C$57,0)</f>
        <v>0</v>
      </c>
      <c r="U164" s="201">
        <f>ROUNDDOWN(Forecast!O$49*Parameters!$D$57,0)</f>
        <v>0</v>
      </c>
      <c r="V164" s="201">
        <f>Forecast!O$49-SUM(S164:U164)</f>
        <v>0</v>
      </c>
      <c r="W164" s="202">
        <f>SUM(S164:V164)</f>
        <v>0</v>
      </c>
      <c r="X164" s="200">
        <f>ROUNDDOWN(Forecast!P$49*Parameters!$F$57,0)</f>
        <v>0</v>
      </c>
      <c r="Y164" s="201">
        <f>ROUNDDOWN(Forecast!P$49*Parameters!$G$57,0)</f>
        <v>0</v>
      </c>
      <c r="Z164" s="201">
        <f>ROUNDDOWN(Forecast!P$49*Parameters!$H$57,0)</f>
        <v>0</v>
      </c>
      <c r="AA164" s="201">
        <f>Forecast!P$49-SUM(X164:Z164)</f>
        <v>0</v>
      </c>
      <c r="AB164" s="202">
        <f>SUM(X164:AA164)</f>
        <v>0</v>
      </c>
      <c r="AC164" s="203">
        <f>H164+M164+R164+W164+AB164</f>
        <v>0</v>
      </c>
      <c r="AD164" s="263"/>
    </row>
    <row r="165" spans="1:30" ht="13.2" thickBot="1" x14ac:dyDescent="0.25">
      <c r="A165" s="789"/>
      <c r="B165" s="765"/>
      <c r="C165" s="420" t="s">
        <v>253</v>
      </c>
      <c r="D165" s="418">
        <f t="shared" ref="D165:AC165" si="69">SUM(D161:D164)</f>
        <v>0</v>
      </c>
      <c r="E165" s="419">
        <f t="shared" si="69"/>
        <v>0</v>
      </c>
      <c r="F165" s="419">
        <f t="shared" si="69"/>
        <v>0</v>
      </c>
      <c r="G165" s="419">
        <f t="shared" si="69"/>
        <v>0</v>
      </c>
      <c r="H165" s="419">
        <f t="shared" si="69"/>
        <v>0</v>
      </c>
      <c r="I165" s="418">
        <f t="shared" si="69"/>
        <v>0</v>
      </c>
      <c r="J165" s="419">
        <f t="shared" si="69"/>
        <v>0</v>
      </c>
      <c r="K165" s="419">
        <f t="shared" si="69"/>
        <v>0</v>
      </c>
      <c r="L165" s="419">
        <f t="shared" si="69"/>
        <v>0</v>
      </c>
      <c r="M165" s="419">
        <f t="shared" si="69"/>
        <v>0</v>
      </c>
      <c r="N165" s="418">
        <f t="shared" si="69"/>
        <v>0</v>
      </c>
      <c r="O165" s="419">
        <f t="shared" si="69"/>
        <v>0</v>
      </c>
      <c r="P165" s="419">
        <f t="shared" si="69"/>
        <v>0</v>
      </c>
      <c r="Q165" s="419">
        <f t="shared" si="69"/>
        <v>0</v>
      </c>
      <c r="R165" s="419">
        <f t="shared" si="69"/>
        <v>0</v>
      </c>
      <c r="S165" s="418">
        <f t="shared" si="69"/>
        <v>0</v>
      </c>
      <c r="T165" s="419">
        <f t="shared" si="69"/>
        <v>0</v>
      </c>
      <c r="U165" s="419">
        <f t="shared" si="69"/>
        <v>0</v>
      </c>
      <c r="V165" s="419">
        <f t="shared" si="69"/>
        <v>0</v>
      </c>
      <c r="W165" s="419">
        <f t="shared" si="69"/>
        <v>0</v>
      </c>
      <c r="X165" s="418">
        <f t="shared" si="69"/>
        <v>0</v>
      </c>
      <c r="Y165" s="419">
        <f t="shared" si="69"/>
        <v>0</v>
      </c>
      <c r="Z165" s="419">
        <f t="shared" si="69"/>
        <v>0</v>
      </c>
      <c r="AA165" s="419">
        <f t="shared" si="69"/>
        <v>0</v>
      </c>
      <c r="AB165" s="425">
        <f t="shared" si="69"/>
        <v>0</v>
      </c>
      <c r="AC165" s="431">
        <f t="shared" si="69"/>
        <v>0</v>
      </c>
      <c r="AD165" s="263"/>
    </row>
    <row r="166" spans="1:30" ht="13.2" thickBot="1" x14ac:dyDescent="0.25">
      <c r="A166" s="789"/>
      <c r="B166" s="766"/>
      <c r="C166" s="416" t="s">
        <v>139</v>
      </c>
      <c r="D166" s="204">
        <f t="shared" ref="D166:AC166" si="70">D160+D165</f>
        <v>16</v>
      </c>
      <c r="E166" s="205">
        <f t="shared" si="70"/>
        <v>48</v>
      </c>
      <c r="F166" s="205">
        <f t="shared" si="70"/>
        <v>48</v>
      </c>
      <c r="G166" s="205">
        <f t="shared" si="70"/>
        <v>48</v>
      </c>
      <c r="H166" s="205">
        <f t="shared" si="70"/>
        <v>160</v>
      </c>
      <c r="I166" s="204">
        <f t="shared" si="70"/>
        <v>47</v>
      </c>
      <c r="J166" s="205">
        <f t="shared" si="70"/>
        <v>47</v>
      </c>
      <c r="K166" s="205">
        <f t="shared" si="70"/>
        <v>47</v>
      </c>
      <c r="L166" s="205">
        <f t="shared" si="70"/>
        <v>49</v>
      </c>
      <c r="M166" s="205">
        <f t="shared" si="70"/>
        <v>190</v>
      </c>
      <c r="N166" s="204">
        <f t="shared" si="70"/>
        <v>45</v>
      </c>
      <c r="O166" s="205">
        <f t="shared" si="70"/>
        <v>45</v>
      </c>
      <c r="P166" s="205">
        <f t="shared" si="70"/>
        <v>45</v>
      </c>
      <c r="Q166" s="205">
        <f t="shared" si="70"/>
        <v>45</v>
      </c>
      <c r="R166" s="205">
        <f t="shared" si="70"/>
        <v>180</v>
      </c>
      <c r="S166" s="204">
        <f t="shared" si="70"/>
        <v>20</v>
      </c>
      <c r="T166" s="205">
        <f t="shared" si="70"/>
        <v>20</v>
      </c>
      <c r="U166" s="205">
        <f t="shared" si="70"/>
        <v>20</v>
      </c>
      <c r="V166" s="205">
        <f t="shared" si="70"/>
        <v>20</v>
      </c>
      <c r="W166" s="205">
        <f t="shared" si="70"/>
        <v>80</v>
      </c>
      <c r="X166" s="204">
        <f t="shared" si="70"/>
        <v>0</v>
      </c>
      <c r="Y166" s="205">
        <f t="shared" si="70"/>
        <v>0</v>
      </c>
      <c r="Z166" s="205">
        <f t="shared" si="70"/>
        <v>0</v>
      </c>
      <c r="AA166" s="205">
        <f t="shared" si="70"/>
        <v>0</v>
      </c>
      <c r="AB166" s="426">
        <f t="shared" si="70"/>
        <v>0</v>
      </c>
      <c r="AC166" s="432">
        <f t="shared" si="70"/>
        <v>610</v>
      </c>
      <c r="AD166" s="263"/>
    </row>
    <row r="167" spans="1:30" x14ac:dyDescent="0.2">
      <c r="A167" s="789"/>
      <c r="B167" s="764" t="s">
        <v>52</v>
      </c>
      <c r="C167" s="206" t="str">
        <f>C$3</f>
        <v>Liftoil</v>
      </c>
      <c r="D167" s="209">
        <f>D160</f>
        <v>16</v>
      </c>
      <c r="E167" s="212">
        <f t="shared" ref="E167:G171" si="71">D167+E160</f>
        <v>64</v>
      </c>
      <c r="F167" s="212">
        <f t="shared" si="71"/>
        <v>112</v>
      </c>
      <c r="G167" s="212">
        <f t="shared" si="71"/>
        <v>160</v>
      </c>
      <c r="H167" s="215">
        <f>G167</f>
        <v>160</v>
      </c>
      <c r="I167" s="212">
        <f t="shared" ref="I167:L171" si="72">H167+I160</f>
        <v>207</v>
      </c>
      <c r="J167" s="212">
        <f t="shared" si="72"/>
        <v>254</v>
      </c>
      <c r="K167" s="212">
        <f t="shared" si="72"/>
        <v>301</v>
      </c>
      <c r="L167" s="212">
        <f t="shared" si="72"/>
        <v>350</v>
      </c>
      <c r="M167" s="215">
        <f>L167</f>
        <v>350</v>
      </c>
      <c r="N167" s="212">
        <f t="shared" ref="N167:Q171" si="73">M167+N160</f>
        <v>395</v>
      </c>
      <c r="O167" s="212">
        <f t="shared" si="73"/>
        <v>440</v>
      </c>
      <c r="P167" s="212">
        <f t="shared" si="73"/>
        <v>485</v>
      </c>
      <c r="Q167" s="212">
        <f t="shared" si="73"/>
        <v>530</v>
      </c>
      <c r="R167" s="215">
        <f>Q167</f>
        <v>530</v>
      </c>
      <c r="S167" s="212">
        <f t="shared" ref="S167:V171" si="74">R167+S160</f>
        <v>550</v>
      </c>
      <c r="T167" s="212">
        <f t="shared" si="74"/>
        <v>570</v>
      </c>
      <c r="U167" s="212">
        <f t="shared" si="74"/>
        <v>590</v>
      </c>
      <c r="V167" s="212">
        <f t="shared" si="74"/>
        <v>610</v>
      </c>
      <c r="W167" s="215">
        <f>V167</f>
        <v>610</v>
      </c>
      <c r="X167" s="212">
        <f t="shared" ref="X167:AA171" si="75">W167+X160</f>
        <v>610</v>
      </c>
      <c r="Y167" s="212">
        <f t="shared" si="75"/>
        <v>610</v>
      </c>
      <c r="Z167" s="212">
        <f t="shared" si="75"/>
        <v>610</v>
      </c>
      <c r="AA167" s="212">
        <f t="shared" si="75"/>
        <v>610</v>
      </c>
      <c r="AB167" s="215">
        <f t="shared" ref="AB167:AC171" si="76">AA167</f>
        <v>610</v>
      </c>
      <c r="AC167" s="230">
        <f t="shared" si="76"/>
        <v>610</v>
      </c>
      <c r="AD167" s="263"/>
    </row>
    <row r="168" spans="1:30" x14ac:dyDescent="0.2">
      <c r="A168" s="789"/>
      <c r="B168" s="765"/>
      <c r="C168" s="275" t="str">
        <f>C$4</f>
        <v>USA Canada</v>
      </c>
      <c r="D168" s="280">
        <f>D161</f>
        <v>0</v>
      </c>
      <c r="E168" s="281">
        <f t="shared" si="71"/>
        <v>0</v>
      </c>
      <c r="F168" s="281">
        <f t="shared" si="71"/>
        <v>0</v>
      </c>
      <c r="G168" s="281">
        <f t="shared" si="71"/>
        <v>0</v>
      </c>
      <c r="H168" s="282">
        <f>G168</f>
        <v>0</v>
      </c>
      <c r="I168" s="281">
        <f t="shared" si="72"/>
        <v>0</v>
      </c>
      <c r="J168" s="281">
        <f t="shared" si="72"/>
        <v>0</v>
      </c>
      <c r="K168" s="281">
        <f t="shared" si="72"/>
        <v>0</v>
      </c>
      <c r="L168" s="281">
        <f t="shared" si="72"/>
        <v>0</v>
      </c>
      <c r="M168" s="282">
        <f>L168</f>
        <v>0</v>
      </c>
      <c r="N168" s="281">
        <f t="shared" si="73"/>
        <v>0</v>
      </c>
      <c r="O168" s="281">
        <f t="shared" si="73"/>
        <v>0</v>
      </c>
      <c r="P168" s="281">
        <f t="shared" si="73"/>
        <v>0</v>
      </c>
      <c r="Q168" s="281">
        <f t="shared" si="73"/>
        <v>0</v>
      </c>
      <c r="R168" s="282">
        <f>Q168</f>
        <v>0</v>
      </c>
      <c r="S168" s="281">
        <f t="shared" si="74"/>
        <v>0</v>
      </c>
      <c r="T168" s="281">
        <f t="shared" si="74"/>
        <v>0</v>
      </c>
      <c r="U168" s="281">
        <f t="shared" si="74"/>
        <v>0</v>
      </c>
      <c r="V168" s="281">
        <f t="shared" si="74"/>
        <v>0</v>
      </c>
      <c r="W168" s="282">
        <f>V168</f>
        <v>0</v>
      </c>
      <c r="X168" s="281">
        <f t="shared" si="75"/>
        <v>0</v>
      </c>
      <c r="Y168" s="281">
        <f t="shared" si="75"/>
        <v>0</v>
      </c>
      <c r="Z168" s="281">
        <f t="shared" si="75"/>
        <v>0</v>
      </c>
      <c r="AA168" s="281">
        <f t="shared" si="75"/>
        <v>0</v>
      </c>
      <c r="AB168" s="282">
        <f t="shared" si="76"/>
        <v>0</v>
      </c>
      <c r="AC168" s="283">
        <f t="shared" si="76"/>
        <v>0</v>
      </c>
      <c r="AD168" s="263"/>
    </row>
    <row r="169" spans="1:30" x14ac:dyDescent="0.2">
      <c r="A169" s="789"/>
      <c r="B169" s="765"/>
      <c r="C169" s="207" t="str">
        <f>C$5</f>
        <v>Europe</v>
      </c>
      <c r="D169" s="210">
        <f>D162</f>
        <v>0</v>
      </c>
      <c r="E169" s="213">
        <f t="shared" si="71"/>
        <v>0</v>
      </c>
      <c r="F169" s="213">
        <f t="shared" si="71"/>
        <v>0</v>
      </c>
      <c r="G169" s="213">
        <f t="shared" si="71"/>
        <v>0</v>
      </c>
      <c r="H169" s="216">
        <f>G169</f>
        <v>0</v>
      </c>
      <c r="I169" s="213">
        <f t="shared" si="72"/>
        <v>0</v>
      </c>
      <c r="J169" s="213">
        <f t="shared" si="72"/>
        <v>0</v>
      </c>
      <c r="K169" s="213">
        <f t="shared" si="72"/>
        <v>0</v>
      </c>
      <c r="L169" s="213">
        <f t="shared" si="72"/>
        <v>0</v>
      </c>
      <c r="M169" s="216">
        <f>L169</f>
        <v>0</v>
      </c>
      <c r="N169" s="213">
        <f t="shared" si="73"/>
        <v>0</v>
      </c>
      <c r="O169" s="213">
        <f t="shared" si="73"/>
        <v>0</v>
      </c>
      <c r="P169" s="213">
        <f t="shared" si="73"/>
        <v>0</v>
      </c>
      <c r="Q169" s="213">
        <f t="shared" si="73"/>
        <v>0</v>
      </c>
      <c r="R169" s="216">
        <f>Q169</f>
        <v>0</v>
      </c>
      <c r="S169" s="213">
        <f t="shared" si="74"/>
        <v>0</v>
      </c>
      <c r="T169" s="213">
        <f t="shared" si="74"/>
        <v>0</v>
      </c>
      <c r="U169" s="213">
        <f t="shared" si="74"/>
        <v>0</v>
      </c>
      <c r="V169" s="213">
        <f t="shared" si="74"/>
        <v>0</v>
      </c>
      <c r="W169" s="216">
        <f>V169</f>
        <v>0</v>
      </c>
      <c r="X169" s="213">
        <f t="shared" si="75"/>
        <v>0</v>
      </c>
      <c r="Y169" s="213">
        <f t="shared" si="75"/>
        <v>0</v>
      </c>
      <c r="Z169" s="213">
        <f t="shared" si="75"/>
        <v>0</v>
      </c>
      <c r="AA169" s="213">
        <f t="shared" si="75"/>
        <v>0</v>
      </c>
      <c r="AB169" s="216">
        <f t="shared" si="76"/>
        <v>0</v>
      </c>
      <c r="AC169" s="231">
        <f t="shared" si="76"/>
        <v>0</v>
      </c>
      <c r="AD169" s="263"/>
    </row>
    <row r="170" spans="1:30" x14ac:dyDescent="0.2">
      <c r="A170" s="789"/>
      <c r="B170" s="765"/>
      <c r="C170" s="207" t="str">
        <f>C$6</f>
        <v>Africa</v>
      </c>
      <c r="D170" s="210">
        <f>D163</f>
        <v>0</v>
      </c>
      <c r="E170" s="213">
        <f t="shared" si="71"/>
        <v>0</v>
      </c>
      <c r="F170" s="213">
        <f t="shared" si="71"/>
        <v>0</v>
      </c>
      <c r="G170" s="213">
        <f t="shared" si="71"/>
        <v>0</v>
      </c>
      <c r="H170" s="216">
        <f>G170</f>
        <v>0</v>
      </c>
      <c r="I170" s="213">
        <f t="shared" si="72"/>
        <v>0</v>
      </c>
      <c r="J170" s="213">
        <f t="shared" si="72"/>
        <v>0</v>
      </c>
      <c r="K170" s="213">
        <f t="shared" si="72"/>
        <v>0</v>
      </c>
      <c r="L170" s="213">
        <f t="shared" si="72"/>
        <v>0</v>
      </c>
      <c r="M170" s="216">
        <f>L170</f>
        <v>0</v>
      </c>
      <c r="N170" s="213">
        <f t="shared" si="73"/>
        <v>0</v>
      </c>
      <c r="O170" s="213">
        <f t="shared" si="73"/>
        <v>0</v>
      </c>
      <c r="P170" s="213">
        <f t="shared" si="73"/>
        <v>0</v>
      </c>
      <c r="Q170" s="213">
        <f t="shared" si="73"/>
        <v>0</v>
      </c>
      <c r="R170" s="216">
        <f>Q170</f>
        <v>0</v>
      </c>
      <c r="S170" s="213">
        <f t="shared" si="74"/>
        <v>0</v>
      </c>
      <c r="T170" s="213">
        <f t="shared" si="74"/>
        <v>0</v>
      </c>
      <c r="U170" s="213">
        <f t="shared" si="74"/>
        <v>0</v>
      </c>
      <c r="V170" s="213">
        <f t="shared" si="74"/>
        <v>0</v>
      </c>
      <c r="W170" s="216">
        <f>V170</f>
        <v>0</v>
      </c>
      <c r="X170" s="213">
        <f t="shared" si="75"/>
        <v>0</v>
      </c>
      <c r="Y170" s="213">
        <f t="shared" si="75"/>
        <v>0</v>
      </c>
      <c r="Z170" s="213">
        <f t="shared" si="75"/>
        <v>0</v>
      </c>
      <c r="AA170" s="213">
        <f t="shared" si="75"/>
        <v>0</v>
      </c>
      <c r="AB170" s="216">
        <f t="shared" si="76"/>
        <v>0</v>
      </c>
      <c r="AC170" s="231">
        <f t="shared" si="76"/>
        <v>0</v>
      </c>
      <c r="AD170" s="263"/>
    </row>
    <row r="171" spans="1:30" ht="13.2" thickBot="1" x14ac:dyDescent="0.25">
      <c r="A171" s="789"/>
      <c r="B171" s="765"/>
      <c r="C171" s="208" t="str">
        <f>C$7</f>
        <v>Asia</v>
      </c>
      <c r="D171" s="211">
        <f>D164</f>
        <v>0</v>
      </c>
      <c r="E171" s="214">
        <f t="shared" si="71"/>
        <v>0</v>
      </c>
      <c r="F171" s="214">
        <f t="shared" si="71"/>
        <v>0</v>
      </c>
      <c r="G171" s="214">
        <f t="shared" si="71"/>
        <v>0</v>
      </c>
      <c r="H171" s="217">
        <f>G171</f>
        <v>0</v>
      </c>
      <c r="I171" s="214">
        <f t="shared" si="72"/>
        <v>0</v>
      </c>
      <c r="J171" s="214">
        <f t="shared" si="72"/>
        <v>0</v>
      </c>
      <c r="K171" s="214">
        <f t="shared" si="72"/>
        <v>0</v>
      </c>
      <c r="L171" s="214">
        <f t="shared" si="72"/>
        <v>0</v>
      </c>
      <c r="M171" s="217">
        <f>L171</f>
        <v>0</v>
      </c>
      <c r="N171" s="214">
        <f t="shared" si="73"/>
        <v>0</v>
      </c>
      <c r="O171" s="214">
        <f t="shared" si="73"/>
        <v>0</v>
      </c>
      <c r="P171" s="214">
        <f t="shared" si="73"/>
        <v>0</v>
      </c>
      <c r="Q171" s="214">
        <f t="shared" si="73"/>
        <v>0</v>
      </c>
      <c r="R171" s="217">
        <f>Q171</f>
        <v>0</v>
      </c>
      <c r="S171" s="214">
        <f t="shared" si="74"/>
        <v>0</v>
      </c>
      <c r="T171" s="214">
        <f t="shared" si="74"/>
        <v>0</v>
      </c>
      <c r="U171" s="214">
        <f t="shared" si="74"/>
        <v>0</v>
      </c>
      <c r="V171" s="214">
        <f t="shared" si="74"/>
        <v>0</v>
      </c>
      <c r="W171" s="217">
        <f>V171</f>
        <v>0</v>
      </c>
      <c r="X171" s="214">
        <f t="shared" si="75"/>
        <v>0</v>
      </c>
      <c r="Y171" s="214">
        <f t="shared" si="75"/>
        <v>0</v>
      </c>
      <c r="Z171" s="214">
        <f t="shared" si="75"/>
        <v>0</v>
      </c>
      <c r="AA171" s="214">
        <f t="shared" si="75"/>
        <v>0</v>
      </c>
      <c r="AB171" s="217">
        <f t="shared" si="76"/>
        <v>0</v>
      </c>
      <c r="AC171" s="232">
        <f t="shared" si="76"/>
        <v>0</v>
      </c>
      <c r="AD171" s="263"/>
    </row>
    <row r="172" spans="1:30" ht="13.2" thickBot="1" x14ac:dyDescent="0.25">
      <c r="A172" s="789"/>
      <c r="B172" s="765"/>
      <c r="C172" s="420" t="s">
        <v>253</v>
      </c>
      <c r="D172" s="418">
        <f t="shared" ref="D172:AC172" si="77">SUM(D168:D171)</f>
        <v>0</v>
      </c>
      <c r="E172" s="419">
        <f t="shared" si="77"/>
        <v>0</v>
      </c>
      <c r="F172" s="419">
        <f t="shared" si="77"/>
        <v>0</v>
      </c>
      <c r="G172" s="419">
        <f t="shared" si="77"/>
        <v>0</v>
      </c>
      <c r="H172" s="419">
        <f t="shared" si="77"/>
        <v>0</v>
      </c>
      <c r="I172" s="418">
        <f t="shared" si="77"/>
        <v>0</v>
      </c>
      <c r="J172" s="419">
        <f t="shared" si="77"/>
        <v>0</v>
      </c>
      <c r="K172" s="419">
        <f t="shared" si="77"/>
        <v>0</v>
      </c>
      <c r="L172" s="419">
        <f t="shared" si="77"/>
        <v>0</v>
      </c>
      <c r="M172" s="419">
        <f t="shared" si="77"/>
        <v>0</v>
      </c>
      <c r="N172" s="418">
        <f t="shared" si="77"/>
        <v>0</v>
      </c>
      <c r="O172" s="419">
        <f t="shared" si="77"/>
        <v>0</v>
      </c>
      <c r="P172" s="419">
        <f t="shared" si="77"/>
        <v>0</v>
      </c>
      <c r="Q172" s="419">
        <f t="shared" si="77"/>
        <v>0</v>
      </c>
      <c r="R172" s="419">
        <f t="shared" si="77"/>
        <v>0</v>
      </c>
      <c r="S172" s="418">
        <f t="shared" si="77"/>
        <v>0</v>
      </c>
      <c r="T172" s="419">
        <f t="shared" si="77"/>
        <v>0</v>
      </c>
      <c r="U172" s="419">
        <f t="shared" si="77"/>
        <v>0</v>
      </c>
      <c r="V172" s="419">
        <f t="shared" si="77"/>
        <v>0</v>
      </c>
      <c r="W172" s="419">
        <f t="shared" si="77"/>
        <v>0</v>
      </c>
      <c r="X172" s="418">
        <f t="shared" si="77"/>
        <v>0</v>
      </c>
      <c r="Y172" s="419">
        <f t="shared" si="77"/>
        <v>0</v>
      </c>
      <c r="Z172" s="419">
        <f t="shared" si="77"/>
        <v>0</v>
      </c>
      <c r="AA172" s="419">
        <f t="shared" si="77"/>
        <v>0</v>
      </c>
      <c r="AB172" s="425">
        <f t="shared" si="77"/>
        <v>0</v>
      </c>
      <c r="AC172" s="431">
        <f t="shared" si="77"/>
        <v>0</v>
      </c>
      <c r="AD172" s="263"/>
    </row>
    <row r="173" spans="1:30" ht="13.2" thickBot="1" x14ac:dyDescent="0.25">
      <c r="A173" s="789"/>
      <c r="B173" s="766"/>
      <c r="C173" s="416" t="s">
        <v>139</v>
      </c>
      <c r="D173" s="204">
        <f t="shared" ref="D173:AC173" si="78">D167+D172</f>
        <v>16</v>
      </c>
      <c r="E173" s="205">
        <f t="shared" si="78"/>
        <v>64</v>
      </c>
      <c r="F173" s="205">
        <f t="shared" si="78"/>
        <v>112</v>
      </c>
      <c r="G173" s="205">
        <f t="shared" si="78"/>
        <v>160</v>
      </c>
      <c r="H173" s="205">
        <f t="shared" si="78"/>
        <v>160</v>
      </c>
      <c r="I173" s="204">
        <f t="shared" si="78"/>
        <v>207</v>
      </c>
      <c r="J173" s="205">
        <f t="shared" si="78"/>
        <v>254</v>
      </c>
      <c r="K173" s="205">
        <f t="shared" si="78"/>
        <v>301</v>
      </c>
      <c r="L173" s="205">
        <f t="shared" si="78"/>
        <v>350</v>
      </c>
      <c r="M173" s="205">
        <f t="shared" si="78"/>
        <v>350</v>
      </c>
      <c r="N173" s="204">
        <f t="shared" si="78"/>
        <v>395</v>
      </c>
      <c r="O173" s="205">
        <f t="shared" si="78"/>
        <v>440</v>
      </c>
      <c r="P173" s="205">
        <f t="shared" si="78"/>
        <v>485</v>
      </c>
      <c r="Q173" s="205">
        <f t="shared" si="78"/>
        <v>530</v>
      </c>
      <c r="R173" s="205">
        <f t="shared" si="78"/>
        <v>530</v>
      </c>
      <c r="S173" s="204">
        <f t="shared" si="78"/>
        <v>550</v>
      </c>
      <c r="T173" s="205">
        <f t="shared" si="78"/>
        <v>570</v>
      </c>
      <c r="U173" s="205">
        <f t="shared" si="78"/>
        <v>590</v>
      </c>
      <c r="V173" s="205">
        <f t="shared" si="78"/>
        <v>610</v>
      </c>
      <c r="W173" s="205">
        <f t="shared" si="78"/>
        <v>610</v>
      </c>
      <c r="X173" s="204">
        <f t="shared" si="78"/>
        <v>610</v>
      </c>
      <c r="Y173" s="205">
        <f t="shared" si="78"/>
        <v>610</v>
      </c>
      <c r="Z173" s="205">
        <f t="shared" si="78"/>
        <v>610</v>
      </c>
      <c r="AA173" s="205">
        <f t="shared" si="78"/>
        <v>610</v>
      </c>
      <c r="AB173" s="426">
        <f t="shared" si="78"/>
        <v>610</v>
      </c>
      <c r="AC173" s="432">
        <f t="shared" si="78"/>
        <v>610</v>
      </c>
      <c r="AD173" s="263"/>
    </row>
    <row r="174" spans="1:30" x14ac:dyDescent="0.2">
      <c r="A174" s="789"/>
      <c r="B174" s="764" t="s">
        <v>65</v>
      </c>
      <c r="C174" s="206" t="str">
        <f>C$3</f>
        <v>Liftoil</v>
      </c>
      <c r="D174" s="218">
        <f>D160*Parameters!$D6</f>
        <v>480000</v>
      </c>
      <c r="E174" s="219">
        <f>E160*Parameters!$D6</f>
        <v>1440000</v>
      </c>
      <c r="F174" s="219">
        <f>F160*Parameters!$D6</f>
        <v>1440000</v>
      </c>
      <c r="G174" s="219">
        <f>G160*Parameters!$D6</f>
        <v>1440000</v>
      </c>
      <c r="H174" s="220">
        <f>SUM(D174:G174)</f>
        <v>4800000</v>
      </c>
      <c r="I174" s="218">
        <f>I160*Parameters!$D6</f>
        <v>1410000</v>
      </c>
      <c r="J174" s="219">
        <f>J160*Parameters!$D6</f>
        <v>1410000</v>
      </c>
      <c r="K174" s="219">
        <f>K160*Parameters!$D6</f>
        <v>1410000</v>
      </c>
      <c r="L174" s="219">
        <f>L160*Parameters!$D6</f>
        <v>1470000</v>
      </c>
      <c r="M174" s="220">
        <f>SUM(I174:L174)</f>
        <v>5700000</v>
      </c>
      <c r="N174" s="218">
        <f>N160*Parameters!$D6</f>
        <v>1350000</v>
      </c>
      <c r="O174" s="219">
        <f>O160*Parameters!$D6</f>
        <v>1350000</v>
      </c>
      <c r="P174" s="219">
        <f>P160*Parameters!$D6</f>
        <v>1350000</v>
      </c>
      <c r="Q174" s="219">
        <f>Q160*Parameters!$D6</f>
        <v>1350000</v>
      </c>
      <c r="R174" s="220">
        <f>SUM(N174:Q174)</f>
        <v>5400000</v>
      </c>
      <c r="S174" s="218">
        <f>S160*Parameters!$D6</f>
        <v>600000</v>
      </c>
      <c r="T174" s="219">
        <f>T160*Parameters!$D6</f>
        <v>600000</v>
      </c>
      <c r="U174" s="219">
        <f>U160*Parameters!$D6</f>
        <v>600000</v>
      </c>
      <c r="V174" s="219">
        <f>V160*Parameters!$D6</f>
        <v>600000</v>
      </c>
      <c r="W174" s="220">
        <f>SUM(S174:V174)</f>
        <v>2400000</v>
      </c>
      <c r="X174" s="218">
        <f>X160*Parameters!$D6</f>
        <v>0</v>
      </c>
      <c r="Y174" s="219">
        <f>Y160*Parameters!$D6</f>
        <v>0</v>
      </c>
      <c r="Z174" s="219">
        <f>Z160*Parameters!$D6</f>
        <v>0</v>
      </c>
      <c r="AA174" s="219">
        <f>AA160*Parameters!$D6</f>
        <v>0</v>
      </c>
      <c r="AB174" s="220">
        <f>SUM(X174:AA174)</f>
        <v>0</v>
      </c>
      <c r="AC174" s="233">
        <f>H174+M174+R174+W174+AB174</f>
        <v>18300000</v>
      </c>
      <c r="AD174" s="263"/>
    </row>
    <row r="175" spans="1:30" x14ac:dyDescent="0.2">
      <c r="A175" s="789"/>
      <c r="B175" s="765"/>
      <c r="C175" s="275" t="str">
        <f>C$4</f>
        <v>USA Canada</v>
      </c>
      <c r="D175" s="284">
        <f>D161*Parameters!$D7</f>
        <v>0</v>
      </c>
      <c r="E175" s="285">
        <f>E161*Parameters!$D7</f>
        <v>0</v>
      </c>
      <c r="F175" s="285">
        <f>F161*Parameters!$D7</f>
        <v>0</v>
      </c>
      <c r="G175" s="285">
        <f>G161*Parameters!$D7</f>
        <v>0</v>
      </c>
      <c r="H175" s="286">
        <f>SUM(D175:G175)</f>
        <v>0</v>
      </c>
      <c r="I175" s="284">
        <f>I161*Parameters!$D7</f>
        <v>0</v>
      </c>
      <c r="J175" s="285">
        <f>J161*Parameters!$D7</f>
        <v>0</v>
      </c>
      <c r="K175" s="285">
        <f>K161*Parameters!$D7</f>
        <v>0</v>
      </c>
      <c r="L175" s="285">
        <f>L161*Parameters!$D7</f>
        <v>0</v>
      </c>
      <c r="M175" s="286">
        <f>SUM(I175:L175)</f>
        <v>0</v>
      </c>
      <c r="N175" s="284">
        <f>N161*Parameters!$D7</f>
        <v>0</v>
      </c>
      <c r="O175" s="285">
        <f>O161*Parameters!$D7</f>
        <v>0</v>
      </c>
      <c r="P175" s="285">
        <f>P161*Parameters!$D7</f>
        <v>0</v>
      </c>
      <c r="Q175" s="285">
        <f>Q161*Parameters!$D7</f>
        <v>0</v>
      </c>
      <c r="R175" s="286">
        <f>SUM(N175:Q175)</f>
        <v>0</v>
      </c>
      <c r="S175" s="284">
        <f>S161*Parameters!$D7</f>
        <v>0</v>
      </c>
      <c r="T175" s="285">
        <f>T161*Parameters!$D7</f>
        <v>0</v>
      </c>
      <c r="U175" s="285">
        <f>U161*Parameters!$D7</f>
        <v>0</v>
      </c>
      <c r="V175" s="285">
        <f>V161*Parameters!$D7</f>
        <v>0</v>
      </c>
      <c r="W175" s="286">
        <f>SUM(S175:V175)</f>
        <v>0</v>
      </c>
      <c r="X175" s="284">
        <f>X161*Parameters!$D7</f>
        <v>0</v>
      </c>
      <c r="Y175" s="285">
        <f>Y161*Parameters!$D7</f>
        <v>0</v>
      </c>
      <c r="Z175" s="285">
        <f>Z161*Parameters!$D7</f>
        <v>0</v>
      </c>
      <c r="AA175" s="285">
        <f>AA161*Parameters!$D7</f>
        <v>0</v>
      </c>
      <c r="AB175" s="286">
        <f>SUM(X175:AA175)</f>
        <v>0</v>
      </c>
      <c r="AC175" s="287">
        <f>H175+M175+R175+W175+AB175</f>
        <v>0</v>
      </c>
      <c r="AD175" s="263"/>
    </row>
    <row r="176" spans="1:30" x14ac:dyDescent="0.2">
      <c r="A176" s="789"/>
      <c r="B176" s="765"/>
      <c r="C176" s="207" t="str">
        <f>C$5</f>
        <v>Europe</v>
      </c>
      <c r="D176" s="221">
        <f>D162*Parameters!$D8</f>
        <v>0</v>
      </c>
      <c r="E176" s="222">
        <f>E162*Parameters!$D8</f>
        <v>0</v>
      </c>
      <c r="F176" s="222">
        <f>F162*Parameters!$D8</f>
        <v>0</v>
      </c>
      <c r="G176" s="222">
        <f>G162*Parameters!$D8</f>
        <v>0</v>
      </c>
      <c r="H176" s="223">
        <f>SUM(D176:G176)</f>
        <v>0</v>
      </c>
      <c r="I176" s="221">
        <f>I162*Parameters!$D8</f>
        <v>0</v>
      </c>
      <c r="J176" s="222">
        <f>J162*Parameters!$D8</f>
        <v>0</v>
      </c>
      <c r="K176" s="222">
        <f>K162*Parameters!$D8</f>
        <v>0</v>
      </c>
      <c r="L176" s="222">
        <f>L162*Parameters!$D8</f>
        <v>0</v>
      </c>
      <c r="M176" s="223">
        <f>SUM(I176:L176)</f>
        <v>0</v>
      </c>
      <c r="N176" s="221">
        <f>N162*Parameters!$D8</f>
        <v>0</v>
      </c>
      <c r="O176" s="222">
        <f>O162*Parameters!$D8</f>
        <v>0</v>
      </c>
      <c r="P176" s="222">
        <f>P162*Parameters!$D8</f>
        <v>0</v>
      </c>
      <c r="Q176" s="222">
        <f>Q162*Parameters!$D8</f>
        <v>0</v>
      </c>
      <c r="R176" s="223">
        <f>SUM(N176:Q176)</f>
        <v>0</v>
      </c>
      <c r="S176" s="221">
        <f>S162*Parameters!$D8</f>
        <v>0</v>
      </c>
      <c r="T176" s="222">
        <f>T162*Parameters!$D8</f>
        <v>0</v>
      </c>
      <c r="U176" s="222">
        <f>U162*Parameters!$D8</f>
        <v>0</v>
      </c>
      <c r="V176" s="222">
        <f>V162*Parameters!$D8</f>
        <v>0</v>
      </c>
      <c r="W176" s="223">
        <f>SUM(S176:V176)</f>
        <v>0</v>
      </c>
      <c r="X176" s="221">
        <f>X162*Parameters!$D8</f>
        <v>0</v>
      </c>
      <c r="Y176" s="222">
        <f>Y162*Parameters!$D8</f>
        <v>0</v>
      </c>
      <c r="Z176" s="222">
        <f>Z162*Parameters!$D8</f>
        <v>0</v>
      </c>
      <c r="AA176" s="222">
        <f>AA162*Parameters!$D8</f>
        <v>0</v>
      </c>
      <c r="AB176" s="223">
        <f>SUM(X176:AA176)</f>
        <v>0</v>
      </c>
      <c r="AC176" s="234">
        <f>H176+M176+R176+W176+AB176</f>
        <v>0</v>
      </c>
      <c r="AD176" s="263"/>
    </row>
    <row r="177" spans="1:30" x14ac:dyDescent="0.2">
      <c r="A177" s="789"/>
      <c r="B177" s="765"/>
      <c r="C177" s="207" t="str">
        <f>C$6</f>
        <v>Africa</v>
      </c>
      <c r="D177" s="221">
        <f>D163*Parameters!$D9</f>
        <v>0</v>
      </c>
      <c r="E177" s="222">
        <f>E163*Parameters!$D9</f>
        <v>0</v>
      </c>
      <c r="F177" s="222">
        <f>F163*Parameters!$D9</f>
        <v>0</v>
      </c>
      <c r="G177" s="222">
        <f>G163*Parameters!$D9</f>
        <v>0</v>
      </c>
      <c r="H177" s="223">
        <f>SUM(D177:G177)</f>
        <v>0</v>
      </c>
      <c r="I177" s="221">
        <f>I163*Parameters!$D9</f>
        <v>0</v>
      </c>
      <c r="J177" s="222">
        <f>J163*Parameters!$D9</f>
        <v>0</v>
      </c>
      <c r="K177" s="222">
        <f>K163*Parameters!$D9</f>
        <v>0</v>
      </c>
      <c r="L177" s="222">
        <f>L163*Parameters!$D9</f>
        <v>0</v>
      </c>
      <c r="M177" s="223">
        <f>SUM(I177:L177)</f>
        <v>0</v>
      </c>
      <c r="N177" s="221">
        <f>N163*Parameters!$D9</f>
        <v>0</v>
      </c>
      <c r="O177" s="222">
        <f>O163*Parameters!$D9</f>
        <v>0</v>
      </c>
      <c r="P177" s="222">
        <f>P163*Parameters!$D9</f>
        <v>0</v>
      </c>
      <c r="Q177" s="222">
        <f>Q163*Parameters!$D9</f>
        <v>0</v>
      </c>
      <c r="R177" s="223">
        <f>SUM(N177:Q177)</f>
        <v>0</v>
      </c>
      <c r="S177" s="221">
        <f>S163*Parameters!$D9</f>
        <v>0</v>
      </c>
      <c r="T177" s="222">
        <f>T163*Parameters!$D9</f>
        <v>0</v>
      </c>
      <c r="U177" s="222">
        <f>U163*Parameters!$D9</f>
        <v>0</v>
      </c>
      <c r="V177" s="222">
        <f>V163*Parameters!$D9</f>
        <v>0</v>
      </c>
      <c r="W177" s="223">
        <f>SUM(S177:V177)</f>
        <v>0</v>
      </c>
      <c r="X177" s="221">
        <f>X163*Parameters!$D9</f>
        <v>0</v>
      </c>
      <c r="Y177" s="222">
        <f>Y163*Parameters!$D9</f>
        <v>0</v>
      </c>
      <c r="Z177" s="222">
        <f>Z163*Parameters!$D9</f>
        <v>0</v>
      </c>
      <c r="AA177" s="222">
        <f>AA163*Parameters!$D9</f>
        <v>0</v>
      </c>
      <c r="AB177" s="223">
        <f>SUM(X177:AA177)</f>
        <v>0</v>
      </c>
      <c r="AC177" s="234">
        <f>H177+M177+R177+W177+AB177</f>
        <v>0</v>
      </c>
      <c r="AD177" s="263"/>
    </row>
    <row r="178" spans="1:30" ht="13.2" thickBot="1" x14ac:dyDescent="0.25">
      <c r="A178" s="789"/>
      <c r="B178" s="765"/>
      <c r="C178" s="208" t="str">
        <f>C$7</f>
        <v>Asia</v>
      </c>
      <c r="D178" s="221">
        <f>D164*Parameters!$D10</f>
        <v>0</v>
      </c>
      <c r="E178" s="225">
        <f>E164*Parameters!$D10</f>
        <v>0</v>
      </c>
      <c r="F178" s="225">
        <f>F164*Parameters!$D10</f>
        <v>0</v>
      </c>
      <c r="G178" s="225">
        <f>G164*Parameters!$D10</f>
        <v>0</v>
      </c>
      <c r="H178" s="226">
        <f>SUM(D178:G178)</f>
        <v>0</v>
      </c>
      <c r="I178" s="221">
        <f>I164*Parameters!$D10</f>
        <v>0</v>
      </c>
      <c r="J178" s="225">
        <f>J164*Parameters!$D10</f>
        <v>0</v>
      </c>
      <c r="K178" s="225">
        <f>K164*Parameters!$D10</f>
        <v>0</v>
      </c>
      <c r="L178" s="225">
        <f>L164*Parameters!$D10</f>
        <v>0</v>
      </c>
      <c r="M178" s="226">
        <f>SUM(I178:L178)</f>
        <v>0</v>
      </c>
      <c r="N178" s="221">
        <f>N164*Parameters!$D10</f>
        <v>0</v>
      </c>
      <c r="O178" s="225">
        <f>O164*Parameters!$D10</f>
        <v>0</v>
      </c>
      <c r="P178" s="225">
        <f>P164*Parameters!$D10</f>
        <v>0</v>
      </c>
      <c r="Q178" s="225">
        <f>Q164*Parameters!$D10</f>
        <v>0</v>
      </c>
      <c r="R178" s="226">
        <f>SUM(N178:Q178)</f>
        <v>0</v>
      </c>
      <c r="S178" s="221">
        <f>S164*Parameters!$D10</f>
        <v>0</v>
      </c>
      <c r="T178" s="225">
        <f>T164*Parameters!$D10</f>
        <v>0</v>
      </c>
      <c r="U178" s="225">
        <f>U164*Parameters!$D10</f>
        <v>0</v>
      </c>
      <c r="V178" s="225">
        <f>V164*Parameters!$D10</f>
        <v>0</v>
      </c>
      <c r="W178" s="226">
        <f>SUM(S178:V178)</f>
        <v>0</v>
      </c>
      <c r="X178" s="221">
        <f>X164*Parameters!$D10</f>
        <v>0</v>
      </c>
      <c r="Y178" s="225">
        <f>Y164*Parameters!$D10</f>
        <v>0</v>
      </c>
      <c r="Z178" s="225">
        <f>Z164*Parameters!$D10</f>
        <v>0</v>
      </c>
      <c r="AA178" s="225">
        <f>AA164*Parameters!$D10</f>
        <v>0</v>
      </c>
      <c r="AB178" s="226">
        <f>SUM(X178:AA178)</f>
        <v>0</v>
      </c>
      <c r="AC178" s="235">
        <f>H178+M178+R178+W178+AB178</f>
        <v>0</v>
      </c>
      <c r="AD178" s="263"/>
    </row>
    <row r="179" spans="1:30" ht="13.2" thickBot="1" x14ac:dyDescent="0.25">
      <c r="A179" s="789"/>
      <c r="B179" s="765"/>
      <c r="C179" s="420" t="s">
        <v>253</v>
      </c>
      <c r="D179" s="436">
        <f t="shared" ref="D179:AC179" si="79">SUM(D175:D178)</f>
        <v>0</v>
      </c>
      <c r="E179" s="437">
        <f t="shared" si="79"/>
        <v>0</v>
      </c>
      <c r="F179" s="437">
        <f t="shared" si="79"/>
        <v>0</v>
      </c>
      <c r="G179" s="437">
        <f t="shared" si="79"/>
        <v>0</v>
      </c>
      <c r="H179" s="438">
        <f t="shared" si="79"/>
        <v>0</v>
      </c>
      <c r="I179" s="436">
        <f t="shared" si="79"/>
        <v>0</v>
      </c>
      <c r="J179" s="437">
        <f t="shared" si="79"/>
        <v>0</v>
      </c>
      <c r="K179" s="437">
        <f t="shared" si="79"/>
        <v>0</v>
      </c>
      <c r="L179" s="437">
        <f t="shared" si="79"/>
        <v>0</v>
      </c>
      <c r="M179" s="438">
        <f t="shared" si="79"/>
        <v>0</v>
      </c>
      <c r="N179" s="436">
        <f t="shared" si="79"/>
        <v>0</v>
      </c>
      <c r="O179" s="437">
        <f t="shared" si="79"/>
        <v>0</v>
      </c>
      <c r="P179" s="437">
        <f t="shared" si="79"/>
        <v>0</v>
      </c>
      <c r="Q179" s="437">
        <f t="shared" si="79"/>
        <v>0</v>
      </c>
      <c r="R179" s="438">
        <f t="shared" si="79"/>
        <v>0</v>
      </c>
      <c r="S179" s="436">
        <f t="shared" si="79"/>
        <v>0</v>
      </c>
      <c r="T179" s="437">
        <f t="shared" si="79"/>
        <v>0</v>
      </c>
      <c r="U179" s="437">
        <f t="shared" si="79"/>
        <v>0</v>
      </c>
      <c r="V179" s="437">
        <f t="shared" si="79"/>
        <v>0</v>
      </c>
      <c r="W179" s="438">
        <f t="shared" si="79"/>
        <v>0</v>
      </c>
      <c r="X179" s="436">
        <f t="shared" si="79"/>
        <v>0</v>
      </c>
      <c r="Y179" s="437">
        <f t="shared" si="79"/>
        <v>0</v>
      </c>
      <c r="Z179" s="437">
        <f t="shared" si="79"/>
        <v>0</v>
      </c>
      <c r="AA179" s="437">
        <f t="shared" si="79"/>
        <v>0</v>
      </c>
      <c r="AB179" s="438">
        <f t="shared" si="79"/>
        <v>0</v>
      </c>
      <c r="AC179" s="438">
        <f t="shared" si="79"/>
        <v>0</v>
      </c>
      <c r="AD179" s="263"/>
    </row>
    <row r="180" spans="1:30" ht="13.2" thickBot="1" x14ac:dyDescent="0.25">
      <c r="A180" s="789"/>
      <c r="B180" s="766"/>
      <c r="C180" s="416" t="s">
        <v>139</v>
      </c>
      <c r="D180" s="433">
        <f t="shared" ref="D180:AC180" si="80">D174+D179</f>
        <v>480000</v>
      </c>
      <c r="E180" s="434">
        <f t="shared" si="80"/>
        <v>1440000</v>
      </c>
      <c r="F180" s="434">
        <f t="shared" si="80"/>
        <v>1440000</v>
      </c>
      <c r="G180" s="434">
        <f t="shared" si="80"/>
        <v>1440000</v>
      </c>
      <c r="H180" s="435">
        <f t="shared" si="80"/>
        <v>4800000</v>
      </c>
      <c r="I180" s="433">
        <f t="shared" si="80"/>
        <v>1410000</v>
      </c>
      <c r="J180" s="434">
        <f t="shared" si="80"/>
        <v>1410000</v>
      </c>
      <c r="K180" s="434">
        <f t="shared" si="80"/>
        <v>1410000</v>
      </c>
      <c r="L180" s="434">
        <f t="shared" si="80"/>
        <v>1470000</v>
      </c>
      <c r="M180" s="435">
        <f t="shared" si="80"/>
        <v>5700000</v>
      </c>
      <c r="N180" s="433">
        <f t="shared" si="80"/>
        <v>1350000</v>
      </c>
      <c r="O180" s="434">
        <f t="shared" si="80"/>
        <v>1350000</v>
      </c>
      <c r="P180" s="434">
        <f t="shared" si="80"/>
        <v>1350000</v>
      </c>
      <c r="Q180" s="434">
        <f t="shared" si="80"/>
        <v>1350000</v>
      </c>
      <c r="R180" s="435">
        <f t="shared" si="80"/>
        <v>5400000</v>
      </c>
      <c r="S180" s="433">
        <f t="shared" si="80"/>
        <v>600000</v>
      </c>
      <c r="T180" s="434">
        <f t="shared" si="80"/>
        <v>600000</v>
      </c>
      <c r="U180" s="434">
        <f t="shared" si="80"/>
        <v>600000</v>
      </c>
      <c r="V180" s="434">
        <f t="shared" si="80"/>
        <v>600000</v>
      </c>
      <c r="W180" s="435">
        <f t="shared" si="80"/>
        <v>2400000</v>
      </c>
      <c r="X180" s="433">
        <f t="shared" si="80"/>
        <v>0</v>
      </c>
      <c r="Y180" s="434">
        <f t="shared" si="80"/>
        <v>0</v>
      </c>
      <c r="Z180" s="434">
        <f t="shared" si="80"/>
        <v>0</v>
      </c>
      <c r="AA180" s="434">
        <f t="shared" si="80"/>
        <v>0</v>
      </c>
      <c r="AB180" s="435">
        <f t="shared" si="80"/>
        <v>0</v>
      </c>
      <c r="AC180" s="435">
        <f t="shared" si="80"/>
        <v>18300000</v>
      </c>
      <c r="AD180" s="263"/>
    </row>
    <row r="181" spans="1:30" x14ac:dyDescent="0.2">
      <c r="A181" s="789"/>
      <c r="B181" s="764" t="s">
        <v>270</v>
      </c>
      <c r="C181" s="206" t="str">
        <f>C$3</f>
        <v>Liftoil</v>
      </c>
      <c r="D181" s="218"/>
      <c r="E181" s="285">
        <f>D167*Parameters!$D14*(Parameters!$B14/4)</f>
        <v>8400</v>
      </c>
      <c r="F181" s="285">
        <f>E167*Parameters!$D14*(Parameters!$B14/4)</f>
        <v>33600</v>
      </c>
      <c r="G181" s="285">
        <f>F167*Parameters!$D14*(Parameters!$B14/4)</f>
        <v>58799.999999999993</v>
      </c>
      <c r="H181" s="220">
        <f>SUM(D181:G181)</f>
        <v>100800</v>
      </c>
      <c r="I181" s="285">
        <f>G167*Parameters!$D14*(Parameters!$B14/4)</f>
        <v>84000</v>
      </c>
      <c r="J181" s="285">
        <f>I167*Parameters!$D14*(Parameters!$B14/4)</f>
        <v>108674.99999999999</v>
      </c>
      <c r="K181" s="285">
        <f>J167*Parameters!$D14*(Parameters!$B14/4)</f>
        <v>133350</v>
      </c>
      <c r="L181" s="285">
        <f>K167*Parameters!$D14*(Parameters!$B14/4)</f>
        <v>158025</v>
      </c>
      <c r="M181" s="220">
        <f>SUM(I181:L181)</f>
        <v>484050</v>
      </c>
      <c r="N181" s="285">
        <f>L167*Parameters!$D14*(Parameters!$B14/4)</f>
        <v>183749.99999999997</v>
      </c>
      <c r="O181" s="285">
        <f>N167*Parameters!$D14*(Parameters!$B14/4)</f>
        <v>207375</v>
      </c>
      <c r="P181" s="285">
        <f>O167*Parameters!$D14*(Parameters!$B14/4)</f>
        <v>231000</v>
      </c>
      <c r="Q181" s="285">
        <f>P167*Parameters!$D14*(Parameters!$B14/4)</f>
        <v>254625</v>
      </c>
      <c r="R181" s="220">
        <f>SUM(N181:Q181)</f>
        <v>876750</v>
      </c>
      <c r="S181" s="285">
        <f>Q167*Parameters!$D14*(Parameters!$B14/4)</f>
        <v>278250</v>
      </c>
      <c r="T181" s="285">
        <f>S167*Parameters!$D14*(Parameters!$B14/4)</f>
        <v>288750</v>
      </c>
      <c r="U181" s="285">
        <f>T167*Parameters!$D14*(Parameters!$B14/4)</f>
        <v>299250</v>
      </c>
      <c r="V181" s="285">
        <f>U167*Parameters!$D14*(Parameters!$B14/4)</f>
        <v>309750</v>
      </c>
      <c r="W181" s="220">
        <f>SUM(S181:V181)</f>
        <v>1176000</v>
      </c>
      <c r="X181" s="285">
        <f>V167*Parameters!$D14*(Parameters!$B14/4)</f>
        <v>320250</v>
      </c>
      <c r="Y181" s="285">
        <f>X167*Parameters!$D14*(Parameters!$B14/4)</f>
        <v>320250</v>
      </c>
      <c r="Z181" s="285">
        <f>Y167*Parameters!$D14*(Parameters!$B14/4)</f>
        <v>320250</v>
      </c>
      <c r="AA181" s="285">
        <f>Z167*Parameters!$D14*(Parameters!$B14/4)</f>
        <v>320250</v>
      </c>
      <c r="AB181" s="220">
        <f>SUM(X181:AA181)</f>
        <v>1281000</v>
      </c>
      <c r="AC181" s="233">
        <f>H181+M181+R181+W181+AB181</f>
        <v>3918600</v>
      </c>
      <c r="AD181" s="263"/>
    </row>
    <row r="182" spans="1:30" x14ac:dyDescent="0.2">
      <c r="A182" s="789"/>
      <c r="B182" s="765"/>
      <c r="C182" s="275" t="str">
        <f>C$4</f>
        <v>USA Canada</v>
      </c>
      <c r="D182" s="284"/>
      <c r="E182" s="285">
        <f>D168*Parameters!$D15*(Parameters!$B15/4)</f>
        <v>0</v>
      </c>
      <c r="F182" s="285">
        <f>E168*Parameters!$D15*(Parameters!$B15/4)</f>
        <v>0</v>
      </c>
      <c r="G182" s="285">
        <f>F168*Parameters!$D15*(Parameters!$B15/4)</f>
        <v>0</v>
      </c>
      <c r="H182" s="286">
        <f>SUM(D182:G182)</f>
        <v>0</v>
      </c>
      <c r="I182" s="285">
        <f>G168*Parameters!$D15*(Parameters!$B15/4)</f>
        <v>0</v>
      </c>
      <c r="J182" s="285">
        <f>I168*Parameters!$D15*(Parameters!$B15/4)</f>
        <v>0</v>
      </c>
      <c r="K182" s="285">
        <f>J168*Parameters!$D15*(Parameters!$B15/4)</f>
        <v>0</v>
      </c>
      <c r="L182" s="285">
        <f>K168*Parameters!$D15*(Parameters!$B15/4)</f>
        <v>0</v>
      </c>
      <c r="M182" s="286">
        <f>SUM(I182:L182)</f>
        <v>0</v>
      </c>
      <c r="N182" s="285">
        <f>L168*Parameters!$D15*(Parameters!$B15/4)</f>
        <v>0</v>
      </c>
      <c r="O182" s="285">
        <f>N168*Parameters!$D15*(Parameters!$B15/4)</f>
        <v>0</v>
      </c>
      <c r="P182" s="285">
        <f>O168*Parameters!$D15*(Parameters!$B15/4)</f>
        <v>0</v>
      </c>
      <c r="Q182" s="285">
        <f>P168*Parameters!$D15*(Parameters!$B15/4)</f>
        <v>0</v>
      </c>
      <c r="R182" s="286">
        <f>SUM(N182:Q182)</f>
        <v>0</v>
      </c>
      <c r="S182" s="285">
        <f>Q168*Parameters!$D15*(Parameters!$B15/4)</f>
        <v>0</v>
      </c>
      <c r="T182" s="285">
        <f>S168*Parameters!$D15*(Parameters!$B15/4)</f>
        <v>0</v>
      </c>
      <c r="U182" s="285">
        <f>T168*Parameters!$D15*(Parameters!$B15/4)</f>
        <v>0</v>
      </c>
      <c r="V182" s="285">
        <f>U168*Parameters!$D15*(Parameters!$B15/4)</f>
        <v>0</v>
      </c>
      <c r="W182" s="286">
        <f>SUM(S182:V182)</f>
        <v>0</v>
      </c>
      <c r="X182" s="285">
        <f>V168*Parameters!$D15*(Parameters!$B15/4)</f>
        <v>0</v>
      </c>
      <c r="Y182" s="285">
        <f>X168*Parameters!$D15*(Parameters!$B15/4)</f>
        <v>0</v>
      </c>
      <c r="Z182" s="285">
        <f>Y168*Parameters!$D15*(Parameters!$B15/4)</f>
        <v>0</v>
      </c>
      <c r="AA182" s="285">
        <f>Z168*Parameters!$D15*(Parameters!$B15/4)</f>
        <v>0</v>
      </c>
      <c r="AB182" s="286">
        <f>SUM(X182:AA182)</f>
        <v>0</v>
      </c>
      <c r="AC182" s="287">
        <f>H182+M182+R182+W182+AB182</f>
        <v>0</v>
      </c>
      <c r="AD182" s="263"/>
    </row>
    <row r="183" spans="1:30" x14ac:dyDescent="0.2">
      <c r="A183" s="789"/>
      <c r="B183" s="765"/>
      <c r="C183" s="207" t="str">
        <f>C$5</f>
        <v>Europe</v>
      </c>
      <c r="D183" s="221"/>
      <c r="E183" s="285">
        <f>D169*Parameters!$D16*(Parameters!$B16/4)</f>
        <v>0</v>
      </c>
      <c r="F183" s="285">
        <f>E169*Parameters!$D16*(Parameters!$B16/4)</f>
        <v>0</v>
      </c>
      <c r="G183" s="285">
        <f>F169*Parameters!$D16*(Parameters!$B16/4)</f>
        <v>0</v>
      </c>
      <c r="H183" s="223">
        <f>SUM(D183:G183)</f>
        <v>0</v>
      </c>
      <c r="I183" s="285">
        <f>G169*Parameters!$D16*(Parameters!$B16/4)</f>
        <v>0</v>
      </c>
      <c r="J183" s="285">
        <f>I169*Parameters!$D16*(Parameters!$B16/4)</f>
        <v>0</v>
      </c>
      <c r="K183" s="285">
        <f>J169*Parameters!$D16*(Parameters!$B16/4)</f>
        <v>0</v>
      </c>
      <c r="L183" s="285">
        <f>K169*Parameters!$D16*(Parameters!$B16/4)</f>
        <v>0</v>
      </c>
      <c r="M183" s="223">
        <f>SUM(I183:L183)</f>
        <v>0</v>
      </c>
      <c r="N183" s="285">
        <f>L169*Parameters!$D16*(Parameters!$B16/4)</f>
        <v>0</v>
      </c>
      <c r="O183" s="285">
        <f>N169*Parameters!$D16*(Parameters!$B16/4)</f>
        <v>0</v>
      </c>
      <c r="P183" s="285">
        <f>O169*Parameters!$D16*(Parameters!$B16/4)</f>
        <v>0</v>
      </c>
      <c r="Q183" s="285">
        <f>P169*Parameters!$D16*(Parameters!$B16/4)</f>
        <v>0</v>
      </c>
      <c r="R183" s="223">
        <f>SUM(N183:Q183)</f>
        <v>0</v>
      </c>
      <c r="S183" s="285">
        <f>Q169*Parameters!$D16*(Parameters!$B16/4)</f>
        <v>0</v>
      </c>
      <c r="T183" s="285">
        <f>S169*Parameters!$D16*(Parameters!$B16/4)</f>
        <v>0</v>
      </c>
      <c r="U183" s="285">
        <f>T169*Parameters!$D16*(Parameters!$B16/4)</f>
        <v>0</v>
      </c>
      <c r="V183" s="285">
        <f>U169*Parameters!$D16*(Parameters!$B16/4)</f>
        <v>0</v>
      </c>
      <c r="W183" s="223">
        <f>SUM(S183:V183)</f>
        <v>0</v>
      </c>
      <c r="X183" s="285">
        <f>V169*Parameters!$D16*(Parameters!$B16/4)</f>
        <v>0</v>
      </c>
      <c r="Y183" s="285">
        <f>X169*Parameters!$D16*(Parameters!$B16/4)</f>
        <v>0</v>
      </c>
      <c r="Z183" s="285">
        <f>Y169*Parameters!$D16*(Parameters!$B16/4)</f>
        <v>0</v>
      </c>
      <c r="AA183" s="285">
        <f>Z169*Parameters!$D16*(Parameters!$B16/4)</f>
        <v>0</v>
      </c>
      <c r="AB183" s="223">
        <f>SUM(X183:AA183)</f>
        <v>0</v>
      </c>
      <c r="AC183" s="234">
        <f>H183+M183+R183+W183+AB183</f>
        <v>0</v>
      </c>
      <c r="AD183" s="263"/>
    </row>
    <row r="184" spans="1:30" x14ac:dyDescent="0.2">
      <c r="A184" s="789"/>
      <c r="B184" s="765"/>
      <c r="C184" s="207" t="str">
        <f>C$6</f>
        <v>Africa</v>
      </c>
      <c r="D184" s="221"/>
      <c r="E184" s="285">
        <f>D170*Parameters!$D17*(Parameters!$B17/4)</f>
        <v>0</v>
      </c>
      <c r="F184" s="285">
        <f>E170*Parameters!$D17*(Parameters!$B17/4)</f>
        <v>0</v>
      </c>
      <c r="G184" s="285">
        <f>F170*Parameters!$D17*(Parameters!$B17/4)</f>
        <v>0</v>
      </c>
      <c r="H184" s="223">
        <f>SUM(D184:G184)</f>
        <v>0</v>
      </c>
      <c r="I184" s="285">
        <f>G170*Parameters!$D17*(Parameters!$B17/4)</f>
        <v>0</v>
      </c>
      <c r="J184" s="285">
        <f>I170*Parameters!$D17*(Parameters!$B17/4)</f>
        <v>0</v>
      </c>
      <c r="K184" s="285">
        <f>J170*Parameters!$D17*(Parameters!$B17/4)</f>
        <v>0</v>
      </c>
      <c r="L184" s="285">
        <f>K170*Parameters!$D17*(Parameters!$B17/4)</f>
        <v>0</v>
      </c>
      <c r="M184" s="223">
        <f>SUM(I184:L184)</f>
        <v>0</v>
      </c>
      <c r="N184" s="285">
        <f>L170*Parameters!$D17*(Parameters!$B17/4)</f>
        <v>0</v>
      </c>
      <c r="O184" s="285">
        <f>N170*Parameters!$D17*(Parameters!$B17/4)</f>
        <v>0</v>
      </c>
      <c r="P184" s="285">
        <f>O170*Parameters!$D17*(Parameters!$B17/4)</f>
        <v>0</v>
      </c>
      <c r="Q184" s="285">
        <f>P170*Parameters!$D17*(Parameters!$B17/4)</f>
        <v>0</v>
      </c>
      <c r="R184" s="223">
        <f>SUM(N184:Q184)</f>
        <v>0</v>
      </c>
      <c r="S184" s="285">
        <f>Q170*Parameters!$D17*(Parameters!$B17/4)</f>
        <v>0</v>
      </c>
      <c r="T184" s="285">
        <f>S170*Parameters!$D17*(Parameters!$B17/4)</f>
        <v>0</v>
      </c>
      <c r="U184" s="285">
        <f>T170*Parameters!$D17*(Parameters!$B17/4)</f>
        <v>0</v>
      </c>
      <c r="V184" s="285">
        <f>U170*Parameters!$D17*(Parameters!$B17/4)</f>
        <v>0</v>
      </c>
      <c r="W184" s="223">
        <f>SUM(S184:V184)</f>
        <v>0</v>
      </c>
      <c r="X184" s="285">
        <f>V170*Parameters!$D17*(Parameters!$B17/4)</f>
        <v>0</v>
      </c>
      <c r="Y184" s="285">
        <f>X170*Parameters!$D17*(Parameters!$B17/4)</f>
        <v>0</v>
      </c>
      <c r="Z184" s="285">
        <f>Y170*Parameters!$D17*(Parameters!$B17/4)</f>
        <v>0</v>
      </c>
      <c r="AA184" s="285">
        <f>Z170*Parameters!$D17*(Parameters!$B17/4)</f>
        <v>0</v>
      </c>
      <c r="AB184" s="223">
        <f>SUM(X184:AA184)</f>
        <v>0</v>
      </c>
      <c r="AC184" s="234">
        <f>H184+M184+R184+W184+AB184</f>
        <v>0</v>
      </c>
      <c r="AD184" s="263"/>
    </row>
    <row r="185" spans="1:30" ht="13.2" thickBot="1" x14ac:dyDescent="0.25">
      <c r="A185" s="789"/>
      <c r="B185" s="765"/>
      <c r="C185" s="415" t="str">
        <f>C$7</f>
        <v>Asia</v>
      </c>
      <c r="D185" s="224"/>
      <c r="E185" s="285">
        <f>D171*Parameters!$D18*(Parameters!$B18/4)</f>
        <v>0</v>
      </c>
      <c r="F185" s="285">
        <f>E171*Parameters!$D18*(Parameters!$B18/4)</f>
        <v>0</v>
      </c>
      <c r="G185" s="285">
        <f>F171*Parameters!$D18*(Parameters!$B18/4)</f>
        <v>0</v>
      </c>
      <c r="H185" s="226">
        <f>SUM(D185:G185)</f>
        <v>0</v>
      </c>
      <c r="I185" s="285">
        <f>G171*Parameters!$D18*(Parameters!$B18/4)</f>
        <v>0</v>
      </c>
      <c r="J185" s="285">
        <f>I171*Parameters!$D18*(Parameters!$B18/4)</f>
        <v>0</v>
      </c>
      <c r="K185" s="285">
        <f>J171*Parameters!$D18*(Parameters!$B18/4)</f>
        <v>0</v>
      </c>
      <c r="L185" s="285">
        <f>K171*Parameters!$D18*(Parameters!$B18/4)</f>
        <v>0</v>
      </c>
      <c r="M185" s="226">
        <f>SUM(I185:L185)</f>
        <v>0</v>
      </c>
      <c r="N185" s="285">
        <f>L171*Parameters!$D18*(Parameters!$B18/4)</f>
        <v>0</v>
      </c>
      <c r="O185" s="285">
        <f>N171*Parameters!$D18*(Parameters!$B18/4)</f>
        <v>0</v>
      </c>
      <c r="P185" s="285">
        <f>O171*Parameters!$D18*(Parameters!$B18/4)</f>
        <v>0</v>
      </c>
      <c r="Q185" s="285">
        <f>P171*Parameters!$D18*(Parameters!$B18/4)</f>
        <v>0</v>
      </c>
      <c r="R185" s="226">
        <f>SUM(N185:Q185)</f>
        <v>0</v>
      </c>
      <c r="S185" s="285">
        <f>Q171*Parameters!$D18*(Parameters!$B18/4)</f>
        <v>0</v>
      </c>
      <c r="T185" s="285">
        <f>S171*Parameters!$D18*(Parameters!$B18/4)</f>
        <v>0</v>
      </c>
      <c r="U185" s="285">
        <f>T171*Parameters!$D18*(Parameters!$B18/4)</f>
        <v>0</v>
      </c>
      <c r="V185" s="285">
        <f>U171*Parameters!$D18*(Parameters!$B18/4)</f>
        <v>0</v>
      </c>
      <c r="W185" s="226">
        <f>SUM(S185:V185)</f>
        <v>0</v>
      </c>
      <c r="X185" s="285">
        <f>V171*Parameters!$D18*(Parameters!$B18/4)</f>
        <v>0</v>
      </c>
      <c r="Y185" s="285">
        <f>X171*Parameters!$D18*(Parameters!$B18/4)</f>
        <v>0</v>
      </c>
      <c r="Z185" s="285">
        <f>Y171*Parameters!$D18*(Parameters!$B18/4)</f>
        <v>0</v>
      </c>
      <c r="AA185" s="285">
        <f>Z171*Parameters!$D18*(Parameters!$B18/4)</f>
        <v>0</v>
      </c>
      <c r="AB185" s="226">
        <f>SUM(X185:AA185)</f>
        <v>0</v>
      </c>
      <c r="AC185" s="235">
        <f>H185+M185+R185+W185+AB185</f>
        <v>0</v>
      </c>
      <c r="AD185" s="263"/>
    </row>
    <row r="186" spans="1:30" ht="13.2" thickBot="1" x14ac:dyDescent="0.25">
      <c r="A186" s="789"/>
      <c r="B186" s="765"/>
      <c r="C186" s="420" t="s">
        <v>253</v>
      </c>
      <c r="D186" s="436">
        <f t="shared" ref="D186:AC186" si="81">SUM(D182:D185)</f>
        <v>0</v>
      </c>
      <c r="E186" s="437">
        <f t="shared" si="81"/>
        <v>0</v>
      </c>
      <c r="F186" s="437">
        <f t="shared" si="81"/>
        <v>0</v>
      </c>
      <c r="G186" s="437">
        <f t="shared" si="81"/>
        <v>0</v>
      </c>
      <c r="H186" s="438">
        <f t="shared" si="81"/>
        <v>0</v>
      </c>
      <c r="I186" s="436">
        <f t="shared" si="81"/>
        <v>0</v>
      </c>
      <c r="J186" s="437">
        <f t="shared" si="81"/>
        <v>0</v>
      </c>
      <c r="K186" s="437">
        <f t="shared" si="81"/>
        <v>0</v>
      </c>
      <c r="L186" s="437">
        <f t="shared" si="81"/>
        <v>0</v>
      </c>
      <c r="M186" s="438">
        <f t="shared" si="81"/>
        <v>0</v>
      </c>
      <c r="N186" s="436">
        <f t="shared" si="81"/>
        <v>0</v>
      </c>
      <c r="O186" s="437">
        <f t="shared" si="81"/>
        <v>0</v>
      </c>
      <c r="P186" s="437">
        <f t="shared" si="81"/>
        <v>0</v>
      </c>
      <c r="Q186" s="437">
        <f t="shared" si="81"/>
        <v>0</v>
      </c>
      <c r="R186" s="438">
        <f t="shared" si="81"/>
        <v>0</v>
      </c>
      <c r="S186" s="436">
        <f t="shared" si="81"/>
        <v>0</v>
      </c>
      <c r="T186" s="437">
        <f t="shared" si="81"/>
        <v>0</v>
      </c>
      <c r="U186" s="437">
        <f t="shared" si="81"/>
        <v>0</v>
      </c>
      <c r="V186" s="437">
        <f t="shared" si="81"/>
        <v>0</v>
      </c>
      <c r="W186" s="438">
        <f t="shared" si="81"/>
        <v>0</v>
      </c>
      <c r="X186" s="436">
        <f t="shared" si="81"/>
        <v>0</v>
      </c>
      <c r="Y186" s="437">
        <f t="shared" si="81"/>
        <v>0</v>
      </c>
      <c r="Z186" s="437">
        <f t="shared" si="81"/>
        <v>0</v>
      </c>
      <c r="AA186" s="437">
        <f t="shared" si="81"/>
        <v>0</v>
      </c>
      <c r="AB186" s="438">
        <f t="shared" si="81"/>
        <v>0</v>
      </c>
      <c r="AC186" s="438">
        <f t="shared" si="81"/>
        <v>0</v>
      </c>
      <c r="AD186" s="263"/>
    </row>
    <row r="187" spans="1:30" ht="13.2" thickBot="1" x14ac:dyDescent="0.25">
      <c r="A187" s="789"/>
      <c r="B187" s="766"/>
      <c r="C187" s="416" t="s">
        <v>139</v>
      </c>
      <c r="D187" s="433">
        <f t="shared" ref="D187:AC187" si="82">D181+D186</f>
        <v>0</v>
      </c>
      <c r="E187" s="434">
        <f t="shared" si="82"/>
        <v>8400</v>
      </c>
      <c r="F187" s="434">
        <f t="shared" si="82"/>
        <v>33600</v>
      </c>
      <c r="G187" s="434">
        <f t="shared" si="82"/>
        <v>58799.999999999993</v>
      </c>
      <c r="H187" s="435">
        <f t="shared" si="82"/>
        <v>100800</v>
      </c>
      <c r="I187" s="433">
        <f t="shared" si="82"/>
        <v>84000</v>
      </c>
      <c r="J187" s="434">
        <f t="shared" si="82"/>
        <v>108674.99999999999</v>
      </c>
      <c r="K187" s="434">
        <f t="shared" si="82"/>
        <v>133350</v>
      </c>
      <c r="L187" s="434">
        <f t="shared" si="82"/>
        <v>158025</v>
      </c>
      <c r="M187" s="435">
        <f t="shared" si="82"/>
        <v>484050</v>
      </c>
      <c r="N187" s="433">
        <f t="shared" si="82"/>
        <v>183749.99999999997</v>
      </c>
      <c r="O187" s="434">
        <f t="shared" si="82"/>
        <v>207375</v>
      </c>
      <c r="P187" s="434">
        <f t="shared" si="82"/>
        <v>231000</v>
      </c>
      <c r="Q187" s="434">
        <f t="shared" si="82"/>
        <v>254625</v>
      </c>
      <c r="R187" s="435">
        <f t="shared" si="82"/>
        <v>876750</v>
      </c>
      <c r="S187" s="433">
        <f t="shared" si="82"/>
        <v>278250</v>
      </c>
      <c r="T187" s="434">
        <f t="shared" si="82"/>
        <v>288750</v>
      </c>
      <c r="U187" s="434">
        <f t="shared" si="82"/>
        <v>299250</v>
      </c>
      <c r="V187" s="434">
        <f t="shared" si="82"/>
        <v>309750</v>
      </c>
      <c r="W187" s="435">
        <f t="shared" si="82"/>
        <v>1176000</v>
      </c>
      <c r="X187" s="433">
        <f t="shared" si="82"/>
        <v>320250</v>
      </c>
      <c r="Y187" s="434">
        <f t="shared" si="82"/>
        <v>320250</v>
      </c>
      <c r="Z187" s="434">
        <f t="shared" si="82"/>
        <v>320250</v>
      </c>
      <c r="AA187" s="434">
        <f t="shared" si="82"/>
        <v>320250</v>
      </c>
      <c r="AB187" s="435">
        <f t="shared" si="82"/>
        <v>1281000</v>
      </c>
      <c r="AC187" s="435">
        <f t="shared" si="82"/>
        <v>3918600</v>
      </c>
      <c r="AD187" s="263"/>
    </row>
    <row r="188" spans="1:30" x14ac:dyDescent="0.2">
      <c r="A188" s="789"/>
      <c r="B188" s="764" t="s">
        <v>271</v>
      </c>
      <c r="C188" s="206" t="str">
        <f>C$3</f>
        <v>Liftoil</v>
      </c>
      <c r="D188" s="218"/>
      <c r="E188" s="285">
        <f>D167*Parameters!$H14*(Parameters!$F14/4)</f>
        <v>7200</v>
      </c>
      <c r="F188" s="219">
        <f>E167*Parameters!$H14*(Parameters!$F14/4)</f>
        <v>28800</v>
      </c>
      <c r="G188" s="219">
        <f>F167*Parameters!$H14*(Parameters!$F14/4)</f>
        <v>50400</v>
      </c>
      <c r="H188" s="220">
        <f>SUM(D188:G188)</f>
        <v>86400</v>
      </c>
      <c r="I188" s="285">
        <f>G167*Parameters!$H14*(Parameters!$F14/4)</f>
        <v>72000</v>
      </c>
      <c r="J188" s="219">
        <f>I167*Parameters!$H14*(Parameters!$F14/4)</f>
        <v>93149.999999999985</v>
      </c>
      <c r="K188" s="219">
        <f>J167*Parameters!$H14*(Parameters!$F14/4)</f>
        <v>114300</v>
      </c>
      <c r="L188" s="219">
        <f>K167*Parameters!$H14*(Parameters!$F14/4)</f>
        <v>135450</v>
      </c>
      <c r="M188" s="220">
        <f>SUM(I188:L188)</f>
        <v>414900</v>
      </c>
      <c r="N188" s="285">
        <f>L167*Parameters!$H14*(Parameters!$F14/4)</f>
        <v>157500</v>
      </c>
      <c r="O188" s="219">
        <f>N167*Parameters!$H14*(Parameters!$F14/4)</f>
        <v>177750</v>
      </c>
      <c r="P188" s="219">
        <f>O167*Parameters!$H14*(Parameters!$F14/4)</f>
        <v>198000</v>
      </c>
      <c r="Q188" s="219">
        <f>P167*Parameters!$H14*(Parameters!$F14/4)</f>
        <v>218250</v>
      </c>
      <c r="R188" s="220">
        <f>SUM(N188:Q188)</f>
        <v>751500</v>
      </c>
      <c r="S188" s="285">
        <f>Q167*Parameters!$H14*(Parameters!$F14/4)</f>
        <v>238500</v>
      </c>
      <c r="T188" s="219">
        <f>S167*Parameters!$H14*(Parameters!$F14/4)</f>
        <v>247500</v>
      </c>
      <c r="U188" s="219">
        <f>T167*Parameters!$H14*(Parameters!$F14/4)</f>
        <v>256500</v>
      </c>
      <c r="V188" s="219">
        <f>U167*Parameters!$H14*(Parameters!$F14/4)</f>
        <v>265500</v>
      </c>
      <c r="W188" s="220">
        <f>SUM(S188:V188)</f>
        <v>1008000</v>
      </c>
      <c r="X188" s="285">
        <f>V167*Parameters!$H14*(Parameters!$F14/4)</f>
        <v>274500</v>
      </c>
      <c r="Y188" s="219">
        <f>X167*Parameters!$H14*(Parameters!$F14/4)</f>
        <v>274500</v>
      </c>
      <c r="Z188" s="219">
        <f>Y167*Parameters!$H14*(Parameters!$F14/4)</f>
        <v>274500</v>
      </c>
      <c r="AA188" s="219">
        <f>Z167*Parameters!$H14*(Parameters!$F14/4)</f>
        <v>274500</v>
      </c>
      <c r="AB188" s="220">
        <f>SUM(X188:AA188)</f>
        <v>1098000</v>
      </c>
      <c r="AC188" s="233">
        <f>H188+M188+R188+W188+AB188</f>
        <v>3358800</v>
      </c>
      <c r="AD188" s="263"/>
    </row>
    <row r="189" spans="1:30" x14ac:dyDescent="0.2">
      <c r="A189" s="789"/>
      <c r="B189" s="765"/>
      <c r="C189" s="275" t="str">
        <f>C$4</f>
        <v>USA Canada</v>
      </c>
      <c r="D189" s="284"/>
      <c r="E189" s="285">
        <f>D168*Parameters!$H15*(Parameters!$F15/4)</f>
        <v>0</v>
      </c>
      <c r="F189" s="285">
        <f>E168*Parameters!$H15*(Parameters!$F15/4)</f>
        <v>0</v>
      </c>
      <c r="G189" s="285">
        <f>F168*Parameters!$H15*(Parameters!$F15/4)</f>
        <v>0</v>
      </c>
      <c r="H189" s="286">
        <f>SUM(D189:G189)</f>
        <v>0</v>
      </c>
      <c r="I189" s="284">
        <f>G168*Parameters!$H15*(Parameters!$F15/4)</f>
        <v>0</v>
      </c>
      <c r="J189" s="285">
        <f>I168*Parameters!$H15*(Parameters!$F15/4)</f>
        <v>0</v>
      </c>
      <c r="K189" s="285">
        <f>J168*Parameters!$H15*(Parameters!$F15/4)</f>
        <v>0</v>
      </c>
      <c r="L189" s="285">
        <f>K168*Parameters!$H15*(Parameters!$F15/4)</f>
        <v>0</v>
      </c>
      <c r="M189" s="286">
        <f>SUM(I189:L189)</f>
        <v>0</v>
      </c>
      <c r="N189" s="284">
        <f>L168*Parameters!$H15*(Parameters!$F15/4)</f>
        <v>0</v>
      </c>
      <c r="O189" s="285">
        <f>N168*Parameters!$H15*(Parameters!$F15/4)</f>
        <v>0</v>
      </c>
      <c r="P189" s="285">
        <f>O168*Parameters!$H15*(Parameters!$F15/4)</f>
        <v>0</v>
      </c>
      <c r="Q189" s="285">
        <f>P168*Parameters!$H15*(Parameters!$F15/4)</f>
        <v>0</v>
      </c>
      <c r="R189" s="286">
        <f>SUM(N189:Q189)</f>
        <v>0</v>
      </c>
      <c r="S189" s="284">
        <f>Q168*Parameters!$H15*(Parameters!$F15/4)</f>
        <v>0</v>
      </c>
      <c r="T189" s="285">
        <f>S168*Parameters!$H15*(Parameters!$F15/4)</f>
        <v>0</v>
      </c>
      <c r="U189" s="285">
        <f>T168*Parameters!$H15*(Parameters!$F15/4)</f>
        <v>0</v>
      </c>
      <c r="V189" s="285">
        <f>U168*Parameters!$H15*(Parameters!$F15/4)</f>
        <v>0</v>
      </c>
      <c r="W189" s="286">
        <f>SUM(S189:V189)</f>
        <v>0</v>
      </c>
      <c r="X189" s="284">
        <f>V168*Parameters!$H15*(Parameters!$F15/4)</f>
        <v>0</v>
      </c>
      <c r="Y189" s="285">
        <f>X168*Parameters!$H15*(Parameters!$F15/4)</f>
        <v>0</v>
      </c>
      <c r="Z189" s="285">
        <f>Y168*Parameters!$H15*(Parameters!$F15/4)</f>
        <v>0</v>
      </c>
      <c r="AA189" s="285">
        <f>Z168*Parameters!$H15*(Parameters!$F15/4)</f>
        <v>0</v>
      </c>
      <c r="AB189" s="286">
        <f>SUM(X189:AA189)</f>
        <v>0</v>
      </c>
      <c r="AC189" s="287">
        <f>H189+M189+R189+W189+AB189</f>
        <v>0</v>
      </c>
      <c r="AD189" s="263"/>
    </row>
    <row r="190" spans="1:30" x14ac:dyDescent="0.2">
      <c r="A190" s="789"/>
      <c r="B190" s="765"/>
      <c r="C190" s="207" t="str">
        <f>C$5</f>
        <v>Europe</v>
      </c>
      <c r="D190" s="221"/>
      <c r="E190" s="285">
        <f>D169*Parameters!$H16*(Parameters!$F16/4)</f>
        <v>0</v>
      </c>
      <c r="F190" s="222">
        <f>E169*Parameters!$H16*(Parameters!$F16/4)</f>
        <v>0</v>
      </c>
      <c r="G190" s="222">
        <f>F169*Parameters!$H16*(Parameters!$F16/4)</f>
        <v>0</v>
      </c>
      <c r="H190" s="223">
        <f>SUM(D190:G190)</f>
        <v>0</v>
      </c>
      <c r="I190" s="221">
        <f>G169*Parameters!$H16*(Parameters!$F16/4)</f>
        <v>0</v>
      </c>
      <c r="J190" s="222">
        <f>I169*Parameters!$H16*(Parameters!$F16/4)</f>
        <v>0</v>
      </c>
      <c r="K190" s="222">
        <f>J169*Parameters!$H16*(Parameters!$F16/4)</f>
        <v>0</v>
      </c>
      <c r="L190" s="222">
        <f>K169*Parameters!$H16*(Parameters!$F16/4)</f>
        <v>0</v>
      </c>
      <c r="M190" s="223">
        <f>SUM(I190:L190)</f>
        <v>0</v>
      </c>
      <c r="N190" s="221">
        <f>L169*Parameters!$H16*(Parameters!$F16/4)</f>
        <v>0</v>
      </c>
      <c r="O190" s="222">
        <f>N169*Parameters!$H16*(Parameters!$F16/4)</f>
        <v>0</v>
      </c>
      <c r="P190" s="222">
        <f>O169*Parameters!$H16*(Parameters!$F16/4)</f>
        <v>0</v>
      </c>
      <c r="Q190" s="222">
        <f>P169*Parameters!$H16*(Parameters!$F16/4)</f>
        <v>0</v>
      </c>
      <c r="R190" s="223">
        <f>SUM(N190:Q190)</f>
        <v>0</v>
      </c>
      <c r="S190" s="221">
        <f>Q169*Parameters!$H16*(Parameters!$F16/4)</f>
        <v>0</v>
      </c>
      <c r="T190" s="222">
        <f>S169*Parameters!$H16*(Parameters!$F16/4)</f>
        <v>0</v>
      </c>
      <c r="U190" s="222">
        <f>T169*Parameters!$H16*(Parameters!$F16/4)</f>
        <v>0</v>
      </c>
      <c r="V190" s="222">
        <f>U169*Parameters!$H16*(Parameters!$F16/4)</f>
        <v>0</v>
      </c>
      <c r="W190" s="223">
        <f>SUM(S190:V190)</f>
        <v>0</v>
      </c>
      <c r="X190" s="221">
        <f>V169*Parameters!$H16*(Parameters!$F16/4)</f>
        <v>0</v>
      </c>
      <c r="Y190" s="222">
        <f>X169*Parameters!$H16*(Parameters!$F16/4)</f>
        <v>0</v>
      </c>
      <c r="Z190" s="222">
        <f>Y169*Parameters!$H16*(Parameters!$F16/4)</f>
        <v>0</v>
      </c>
      <c r="AA190" s="222">
        <f>Z169*Parameters!$H16*(Parameters!$F16/4)</f>
        <v>0</v>
      </c>
      <c r="AB190" s="223">
        <f>SUM(X190:AA190)</f>
        <v>0</v>
      </c>
      <c r="AC190" s="234">
        <f>H190+M190+R190+W190+AB190</f>
        <v>0</v>
      </c>
      <c r="AD190" s="263"/>
    </row>
    <row r="191" spans="1:30" x14ac:dyDescent="0.2">
      <c r="A191" s="789"/>
      <c r="B191" s="765"/>
      <c r="C191" s="207" t="str">
        <f>C$6</f>
        <v>Africa</v>
      </c>
      <c r="D191" s="221"/>
      <c r="E191" s="285">
        <f>D170*Parameters!$H17*(Parameters!$F17/4)</f>
        <v>0</v>
      </c>
      <c r="F191" s="222">
        <f>E170*Parameters!$H17*(Parameters!$F17/4)</f>
        <v>0</v>
      </c>
      <c r="G191" s="222">
        <f>F170*Parameters!$H17*(Parameters!$F17/4)</f>
        <v>0</v>
      </c>
      <c r="H191" s="223">
        <f>SUM(D191:G191)</f>
        <v>0</v>
      </c>
      <c r="I191" s="221">
        <f>G170*Parameters!$H17*(Parameters!$F17/4)</f>
        <v>0</v>
      </c>
      <c r="J191" s="222">
        <f>I170*Parameters!$H17*(Parameters!$F17/4)</f>
        <v>0</v>
      </c>
      <c r="K191" s="222">
        <f>J170*Parameters!$H17*(Parameters!$F17/4)</f>
        <v>0</v>
      </c>
      <c r="L191" s="222">
        <f>K170*Parameters!$H17*(Parameters!$F17/4)</f>
        <v>0</v>
      </c>
      <c r="M191" s="223">
        <f>SUM(I191:L191)</f>
        <v>0</v>
      </c>
      <c r="N191" s="221">
        <f>L170*Parameters!$H17*(Parameters!$F17/4)</f>
        <v>0</v>
      </c>
      <c r="O191" s="222">
        <f>N170*Parameters!$H17*(Parameters!$F17/4)</f>
        <v>0</v>
      </c>
      <c r="P191" s="222">
        <f>O170*Parameters!$H17*(Parameters!$F17/4)</f>
        <v>0</v>
      </c>
      <c r="Q191" s="222">
        <f>P170*Parameters!$H17*(Parameters!$F17/4)</f>
        <v>0</v>
      </c>
      <c r="R191" s="223">
        <f>SUM(N191:Q191)</f>
        <v>0</v>
      </c>
      <c r="S191" s="221">
        <f>Q170*Parameters!$H17*(Parameters!$F17/4)</f>
        <v>0</v>
      </c>
      <c r="T191" s="222">
        <f>S170*Parameters!$H17*(Parameters!$F17/4)</f>
        <v>0</v>
      </c>
      <c r="U191" s="222">
        <f>T170*Parameters!$H17*(Parameters!$F17/4)</f>
        <v>0</v>
      </c>
      <c r="V191" s="222">
        <f>U170*Parameters!$H17*(Parameters!$F17/4)</f>
        <v>0</v>
      </c>
      <c r="W191" s="223">
        <f>SUM(S191:V191)</f>
        <v>0</v>
      </c>
      <c r="X191" s="221">
        <f>V170*Parameters!$H17*(Parameters!$F17/4)</f>
        <v>0</v>
      </c>
      <c r="Y191" s="222">
        <f>X170*Parameters!$H17*(Parameters!$F17/4)</f>
        <v>0</v>
      </c>
      <c r="Z191" s="222">
        <f>Y170*Parameters!$H17*(Parameters!$F17/4)</f>
        <v>0</v>
      </c>
      <c r="AA191" s="222">
        <f>Z170*Parameters!$H17*(Parameters!$F17/4)</f>
        <v>0</v>
      </c>
      <c r="AB191" s="223">
        <f>SUM(X191:AA191)</f>
        <v>0</v>
      </c>
      <c r="AC191" s="234">
        <f>H191+M191+R191+W191+AB191</f>
        <v>0</v>
      </c>
      <c r="AD191" s="263"/>
    </row>
    <row r="192" spans="1:30" ht="13.2" thickBot="1" x14ac:dyDescent="0.25">
      <c r="A192" s="789"/>
      <c r="B192" s="765"/>
      <c r="C192" s="208" t="str">
        <f>C$7</f>
        <v>Asia</v>
      </c>
      <c r="D192" s="224"/>
      <c r="E192" s="285">
        <f>D171*Parameters!$H18*(Parameters!$F18/4)</f>
        <v>0</v>
      </c>
      <c r="F192" s="225">
        <f>E171*Parameters!$H18*(Parameters!$F18/4)</f>
        <v>0</v>
      </c>
      <c r="G192" s="225">
        <f>F171*Parameters!$H18*(Parameters!$F18/4)</f>
        <v>0</v>
      </c>
      <c r="H192" s="226">
        <f>SUM(D192:G192)</f>
        <v>0</v>
      </c>
      <c r="I192" s="224">
        <f>G171*Parameters!$H18*(Parameters!$F18/4)</f>
        <v>0</v>
      </c>
      <c r="J192" s="225">
        <f>I171*Parameters!$H18*(Parameters!$F18/4)</f>
        <v>0</v>
      </c>
      <c r="K192" s="225">
        <f>J171*Parameters!$H18*(Parameters!$F18/4)</f>
        <v>0</v>
      </c>
      <c r="L192" s="225">
        <f>K171*Parameters!$H18*(Parameters!$F18/4)</f>
        <v>0</v>
      </c>
      <c r="M192" s="226">
        <f>SUM(I192:L192)</f>
        <v>0</v>
      </c>
      <c r="N192" s="224">
        <f>L171*Parameters!$H18*(Parameters!$F18/4)</f>
        <v>0</v>
      </c>
      <c r="O192" s="225">
        <f>N171*Parameters!$H18*(Parameters!$F18/4)</f>
        <v>0</v>
      </c>
      <c r="P192" s="225">
        <f>O171*Parameters!$H18*(Parameters!$F18/4)</f>
        <v>0</v>
      </c>
      <c r="Q192" s="225">
        <f>P171*Parameters!$H18*(Parameters!$F18/4)</f>
        <v>0</v>
      </c>
      <c r="R192" s="226">
        <f>SUM(N192:Q192)</f>
        <v>0</v>
      </c>
      <c r="S192" s="224">
        <f>Q171*Parameters!$H18*(Parameters!$F18/4)</f>
        <v>0</v>
      </c>
      <c r="T192" s="225">
        <f>S171*Parameters!$H18*(Parameters!$F18/4)</f>
        <v>0</v>
      </c>
      <c r="U192" s="225">
        <f>T171*Parameters!$H18*(Parameters!$F18/4)</f>
        <v>0</v>
      </c>
      <c r="V192" s="225">
        <f>U171*Parameters!$H18*(Parameters!$F18/4)</f>
        <v>0</v>
      </c>
      <c r="W192" s="226">
        <f>SUM(S192:V192)</f>
        <v>0</v>
      </c>
      <c r="X192" s="224">
        <f>V171*Parameters!$H18*(Parameters!$F18/4)</f>
        <v>0</v>
      </c>
      <c r="Y192" s="225">
        <f>X171*Parameters!$H18*(Parameters!$F18/4)</f>
        <v>0</v>
      </c>
      <c r="Z192" s="225">
        <f>Y171*Parameters!$H18*(Parameters!$F18/4)</f>
        <v>0</v>
      </c>
      <c r="AA192" s="225">
        <f>Z171*Parameters!$H18*(Parameters!$F18/4)</f>
        <v>0</v>
      </c>
      <c r="AB192" s="226">
        <f>SUM(X192:AA192)</f>
        <v>0</v>
      </c>
      <c r="AC192" s="235">
        <f>H192+M192+R192+W192+AB192</f>
        <v>0</v>
      </c>
      <c r="AD192" s="263"/>
    </row>
    <row r="193" spans="1:30" ht="13.2" thickBot="1" x14ac:dyDescent="0.25">
      <c r="A193" s="789"/>
      <c r="B193" s="765"/>
      <c r="C193" s="420" t="s">
        <v>253</v>
      </c>
      <c r="D193" s="436">
        <f t="shared" ref="D193:AC193" si="83">SUM(D189:D192)</f>
        <v>0</v>
      </c>
      <c r="E193" s="437">
        <f t="shared" si="83"/>
        <v>0</v>
      </c>
      <c r="F193" s="437">
        <f t="shared" si="83"/>
        <v>0</v>
      </c>
      <c r="G193" s="437">
        <f t="shared" si="83"/>
        <v>0</v>
      </c>
      <c r="H193" s="438">
        <f t="shared" si="83"/>
        <v>0</v>
      </c>
      <c r="I193" s="436">
        <f t="shared" si="83"/>
        <v>0</v>
      </c>
      <c r="J193" s="437">
        <f t="shared" si="83"/>
        <v>0</v>
      </c>
      <c r="K193" s="437">
        <f t="shared" si="83"/>
        <v>0</v>
      </c>
      <c r="L193" s="437">
        <f t="shared" si="83"/>
        <v>0</v>
      </c>
      <c r="M193" s="438">
        <f t="shared" si="83"/>
        <v>0</v>
      </c>
      <c r="N193" s="436">
        <f t="shared" si="83"/>
        <v>0</v>
      </c>
      <c r="O193" s="437">
        <f t="shared" si="83"/>
        <v>0</v>
      </c>
      <c r="P193" s="437">
        <f t="shared" si="83"/>
        <v>0</v>
      </c>
      <c r="Q193" s="437">
        <f t="shared" si="83"/>
        <v>0</v>
      </c>
      <c r="R193" s="438">
        <f t="shared" si="83"/>
        <v>0</v>
      </c>
      <c r="S193" s="436">
        <f t="shared" si="83"/>
        <v>0</v>
      </c>
      <c r="T193" s="437">
        <f t="shared" si="83"/>
        <v>0</v>
      </c>
      <c r="U193" s="437">
        <f t="shared" si="83"/>
        <v>0</v>
      </c>
      <c r="V193" s="437">
        <f t="shared" si="83"/>
        <v>0</v>
      </c>
      <c r="W193" s="438">
        <f t="shared" si="83"/>
        <v>0</v>
      </c>
      <c r="X193" s="436">
        <f t="shared" si="83"/>
        <v>0</v>
      </c>
      <c r="Y193" s="437">
        <f t="shared" si="83"/>
        <v>0</v>
      </c>
      <c r="Z193" s="437">
        <f t="shared" si="83"/>
        <v>0</v>
      </c>
      <c r="AA193" s="437">
        <f t="shared" si="83"/>
        <v>0</v>
      </c>
      <c r="AB193" s="438">
        <f t="shared" si="83"/>
        <v>0</v>
      </c>
      <c r="AC193" s="438">
        <f t="shared" si="83"/>
        <v>0</v>
      </c>
      <c r="AD193" s="263"/>
    </row>
    <row r="194" spans="1:30" ht="13.2" thickBot="1" x14ac:dyDescent="0.25">
      <c r="A194" s="789"/>
      <c r="B194" s="766"/>
      <c r="C194" s="416" t="s">
        <v>139</v>
      </c>
      <c r="D194" s="433">
        <f t="shared" ref="D194:AC194" si="84">D188+D193</f>
        <v>0</v>
      </c>
      <c r="E194" s="434">
        <f t="shared" si="84"/>
        <v>7200</v>
      </c>
      <c r="F194" s="434">
        <f t="shared" si="84"/>
        <v>28800</v>
      </c>
      <c r="G194" s="434">
        <f t="shared" si="84"/>
        <v>50400</v>
      </c>
      <c r="H194" s="435">
        <f t="shared" si="84"/>
        <v>86400</v>
      </c>
      <c r="I194" s="433">
        <f t="shared" si="84"/>
        <v>72000</v>
      </c>
      <c r="J194" s="434">
        <f t="shared" si="84"/>
        <v>93149.999999999985</v>
      </c>
      <c r="K194" s="434">
        <f t="shared" si="84"/>
        <v>114300</v>
      </c>
      <c r="L194" s="434">
        <f t="shared" si="84"/>
        <v>135450</v>
      </c>
      <c r="M194" s="435">
        <f t="shared" si="84"/>
        <v>414900</v>
      </c>
      <c r="N194" s="433">
        <f t="shared" si="84"/>
        <v>157500</v>
      </c>
      <c r="O194" s="434">
        <f t="shared" si="84"/>
        <v>177750</v>
      </c>
      <c r="P194" s="434">
        <f t="shared" si="84"/>
        <v>198000</v>
      </c>
      <c r="Q194" s="434">
        <f t="shared" si="84"/>
        <v>218250</v>
      </c>
      <c r="R194" s="435">
        <f t="shared" si="84"/>
        <v>751500</v>
      </c>
      <c r="S194" s="433">
        <f t="shared" si="84"/>
        <v>238500</v>
      </c>
      <c r="T194" s="434">
        <f t="shared" si="84"/>
        <v>247500</v>
      </c>
      <c r="U194" s="434">
        <f t="shared" si="84"/>
        <v>256500</v>
      </c>
      <c r="V194" s="434">
        <f t="shared" si="84"/>
        <v>265500</v>
      </c>
      <c r="W194" s="435">
        <f t="shared" si="84"/>
        <v>1008000</v>
      </c>
      <c r="X194" s="433">
        <f t="shared" si="84"/>
        <v>274500</v>
      </c>
      <c r="Y194" s="434">
        <f t="shared" si="84"/>
        <v>274500</v>
      </c>
      <c r="Z194" s="434">
        <f t="shared" si="84"/>
        <v>274500</v>
      </c>
      <c r="AA194" s="434">
        <f t="shared" si="84"/>
        <v>274500</v>
      </c>
      <c r="AB194" s="435">
        <f t="shared" si="84"/>
        <v>1098000</v>
      </c>
      <c r="AC194" s="435">
        <f t="shared" si="84"/>
        <v>3358800</v>
      </c>
      <c r="AD194" s="263"/>
    </row>
    <row r="195" spans="1:30" x14ac:dyDescent="0.2">
      <c r="A195" s="789"/>
      <c r="B195" s="764" t="s">
        <v>207</v>
      </c>
      <c r="C195" s="206" t="str">
        <f>C$3</f>
        <v>Liftoil</v>
      </c>
      <c r="D195" s="218">
        <f t="shared" ref="D195:G199" si="85">D174+D181+D188</f>
        <v>480000</v>
      </c>
      <c r="E195" s="285">
        <f t="shared" si="85"/>
        <v>1455600</v>
      </c>
      <c r="F195" s="219">
        <f t="shared" si="85"/>
        <v>1502400</v>
      </c>
      <c r="G195" s="219">
        <f t="shared" si="85"/>
        <v>1549200</v>
      </c>
      <c r="H195" s="220">
        <f>SUM(D195:G195)</f>
        <v>4987200</v>
      </c>
      <c r="I195" s="218">
        <f t="shared" ref="I195:L199" si="86">I174+I181+I188</f>
        <v>1566000</v>
      </c>
      <c r="J195" s="285">
        <f t="shared" si="86"/>
        <v>1611825</v>
      </c>
      <c r="K195" s="219">
        <f t="shared" si="86"/>
        <v>1657650</v>
      </c>
      <c r="L195" s="219">
        <f t="shared" si="86"/>
        <v>1763475</v>
      </c>
      <c r="M195" s="220">
        <f>SUM(I195:L195)</f>
        <v>6598950</v>
      </c>
      <c r="N195" s="218">
        <f t="shared" ref="N195:Q199" si="87">N174+N181+N188</f>
        <v>1691250</v>
      </c>
      <c r="O195" s="285">
        <f t="shared" si="87"/>
        <v>1735125</v>
      </c>
      <c r="P195" s="219">
        <f t="shared" si="87"/>
        <v>1779000</v>
      </c>
      <c r="Q195" s="219">
        <f t="shared" si="87"/>
        <v>1822875</v>
      </c>
      <c r="R195" s="220">
        <f>SUM(N195:Q195)</f>
        <v>7028250</v>
      </c>
      <c r="S195" s="218">
        <f t="shared" ref="S195:V199" si="88">S174+S181+S188</f>
        <v>1116750</v>
      </c>
      <c r="T195" s="285">
        <f t="shared" si="88"/>
        <v>1136250</v>
      </c>
      <c r="U195" s="219">
        <f t="shared" si="88"/>
        <v>1155750</v>
      </c>
      <c r="V195" s="219">
        <f t="shared" si="88"/>
        <v>1175250</v>
      </c>
      <c r="W195" s="220">
        <f>SUM(S195:V195)</f>
        <v>4584000</v>
      </c>
      <c r="X195" s="218">
        <f t="shared" ref="X195:AA199" si="89">X174+X181+X188</f>
        <v>594750</v>
      </c>
      <c r="Y195" s="285">
        <f t="shared" si="89"/>
        <v>594750</v>
      </c>
      <c r="Z195" s="219">
        <f t="shared" si="89"/>
        <v>594750</v>
      </c>
      <c r="AA195" s="219">
        <f t="shared" si="89"/>
        <v>594750</v>
      </c>
      <c r="AB195" s="220">
        <f>SUM(X195:AA195)</f>
        <v>2379000</v>
      </c>
      <c r="AC195" s="233">
        <f>H195+M195+R195+W195+AB195</f>
        <v>25577400</v>
      </c>
      <c r="AD195" s="263"/>
    </row>
    <row r="196" spans="1:30" x14ac:dyDescent="0.2">
      <c r="A196" s="789"/>
      <c r="B196" s="765"/>
      <c r="C196" s="275" t="str">
        <f>C$4</f>
        <v>USA Canada</v>
      </c>
      <c r="D196" s="284">
        <f t="shared" si="85"/>
        <v>0</v>
      </c>
      <c r="E196" s="285">
        <f t="shared" si="85"/>
        <v>0</v>
      </c>
      <c r="F196" s="285">
        <f t="shared" si="85"/>
        <v>0</v>
      </c>
      <c r="G196" s="285">
        <f t="shared" si="85"/>
        <v>0</v>
      </c>
      <c r="H196" s="286">
        <f>SUM(D196:G196)</f>
        <v>0</v>
      </c>
      <c r="I196" s="284">
        <f t="shared" si="86"/>
        <v>0</v>
      </c>
      <c r="J196" s="285">
        <f t="shared" si="86"/>
        <v>0</v>
      </c>
      <c r="K196" s="285">
        <f t="shared" si="86"/>
        <v>0</v>
      </c>
      <c r="L196" s="285">
        <f t="shared" si="86"/>
        <v>0</v>
      </c>
      <c r="M196" s="286">
        <f>SUM(I196:L196)</f>
        <v>0</v>
      </c>
      <c r="N196" s="284">
        <f t="shared" si="87"/>
        <v>0</v>
      </c>
      <c r="O196" s="285">
        <f t="shared" si="87"/>
        <v>0</v>
      </c>
      <c r="P196" s="285">
        <f t="shared" si="87"/>
        <v>0</v>
      </c>
      <c r="Q196" s="285">
        <f t="shared" si="87"/>
        <v>0</v>
      </c>
      <c r="R196" s="286">
        <f>SUM(N196:Q196)</f>
        <v>0</v>
      </c>
      <c r="S196" s="284">
        <f t="shared" si="88"/>
        <v>0</v>
      </c>
      <c r="T196" s="285">
        <f t="shared" si="88"/>
        <v>0</v>
      </c>
      <c r="U196" s="285">
        <f t="shared" si="88"/>
        <v>0</v>
      </c>
      <c r="V196" s="285">
        <f t="shared" si="88"/>
        <v>0</v>
      </c>
      <c r="W196" s="286">
        <f>SUM(S196:V196)</f>
        <v>0</v>
      </c>
      <c r="X196" s="284">
        <f t="shared" si="89"/>
        <v>0</v>
      </c>
      <c r="Y196" s="285">
        <f t="shared" si="89"/>
        <v>0</v>
      </c>
      <c r="Z196" s="285">
        <f t="shared" si="89"/>
        <v>0</v>
      </c>
      <c r="AA196" s="285">
        <f t="shared" si="89"/>
        <v>0</v>
      </c>
      <c r="AB196" s="286">
        <f>SUM(X196:AA196)</f>
        <v>0</v>
      </c>
      <c r="AC196" s="287">
        <f>H196+M196+R196+W196+AB196</f>
        <v>0</v>
      </c>
      <c r="AD196" s="263"/>
    </row>
    <row r="197" spans="1:30" x14ac:dyDescent="0.2">
      <c r="A197" s="789"/>
      <c r="B197" s="765"/>
      <c r="C197" s="207" t="str">
        <f>C$5</f>
        <v>Europe</v>
      </c>
      <c r="D197" s="221">
        <f t="shared" si="85"/>
        <v>0</v>
      </c>
      <c r="E197" s="285">
        <f t="shared" si="85"/>
        <v>0</v>
      </c>
      <c r="F197" s="222">
        <f t="shared" si="85"/>
        <v>0</v>
      </c>
      <c r="G197" s="222">
        <f t="shared" si="85"/>
        <v>0</v>
      </c>
      <c r="H197" s="223">
        <f>SUM(D197:G197)</f>
        <v>0</v>
      </c>
      <c r="I197" s="221">
        <f t="shared" si="86"/>
        <v>0</v>
      </c>
      <c r="J197" s="285">
        <f t="shared" si="86"/>
        <v>0</v>
      </c>
      <c r="K197" s="222">
        <f t="shared" si="86"/>
        <v>0</v>
      </c>
      <c r="L197" s="222">
        <f t="shared" si="86"/>
        <v>0</v>
      </c>
      <c r="M197" s="223">
        <f>SUM(I197:L197)</f>
        <v>0</v>
      </c>
      <c r="N197" s="221">
        <f t="shared" si="87"/>
        <v>0</v>
      </c>
      <c r="O197" s="285">
        <f t="shared" si="87"/>
        <v>0</v>
      </c>
      <c r="P197" s="222">
        <f t="shared" si="87"/>
        <v>0</v>
      </c>
      <c r="Q197" s="222">
        <f t="shared" si="87"/>
        <v>0</v>
      </c>
      <c r="R197" s="223">
        <f>SUM(N197:Q197)</f>
        <v>0</v>
      </c>
      <c r="S197" s="221">
        <f t="shared" si="88"/>
        <v>0</v>
      </c>
      <c r="T197" s="285">
        <f t="shared" si="88"/>
        <v>0</v>
      </c>
      <c r="U197" s="222">
        <f t="shared" si="88"/>
        <v>0</v>
      </c>
      <c r="V197" s="222">
        <f t="shared" si="88"/>
        <v>0</v>
      </c>
      <c r="W197" s="223">
        <f>SUM(S197:V197)</f>
        <v>0</v>
      </c>
      <c r="X197" s="221">
        <f t="shared" si="89"/>
        <v>0</v>
      </c>
      <c r="Y197" s="285">
        <f t="shared" si="89"/>
        <v>0</v>
      </c>
      <c r="Z197" s="222">
        <f t="shared" si="89"/>
        <v>0</v>
      </c>
      <c r="AA197" s="222">
        <f t="shared" si="89"/>
        <v>0</v>
      </c>
      <c r="AB197" s="223">
        <f>SUM(X197:AA197)</f>
        <v>0</v>
      </c>
      <c r="AC197" s="234">
        <f>H197+M197+R197+W197+AB197</f>
        <v>0</v>
      </c>
      <c r="AD197" s="263"/>
    </row>
    <row r="198" spans="1:30" x14ac:dyDescent="0.2">
      <c r="A198" s="789"/>
      <c r="B198" s="765"/>
      <c r="C198" s="207" t="str">
        <f>C$6</f>
        <v>Africa</v>
      </c>
      <c r="D198" s="221">
        <f t="shared" si="85"/>
        <v>0</v>
      </c>
      <c r="E198" s="285">
        <f t="shared" si="85"/>
        <v>0</v>
      </c>
      <c r="F198" s="222">
        <f t="shared" si="85"/>
        <v>0</v>
      </c>
      <c r="G198" s="222">
        <f t="shared" si="85"/>
        <v>0</v>
      </c>
      <c r="H198" s="223">
        <f>SUM(D198:G198)</f>
        <v>0</v>
      </c>
      <c r="I198" s="221">
        <f t="shared" si="86"/>
        <v>0</v>
      </c>
      <c r="J198" s="285">
        <f t="shared" si="86"/>
        <v>0</v>
      </c>
      <c r="K198" s="222">
        <f t="shared" si="86"/>
        <v>0</v>
      </c>
      <c r="L198" s="222">
        <f t="shared" si="86"/>
        <v>0</v>
      </c>
      <c r="M198" s="223">
        <f>SUM(I198:L198)</f>
        <v>0</v>
      </c>
      <c r="N198" s="221">
        <f t="shared" si="87"/>
        <v>0</v>
      </c>
      <c r="O198" s="285">
        <f t="shared" si="87"/>
        <v>0</v>
      </c>
      <c r="P198" s="222">
        <f t="shared" si="87"/>
        <v>0</v>
      </c>
      <c r="Q198" s="222">
        <f t="shared" si="87"/>
        <v>0</v>
      </c>
      <c r="R198" s="223">
        <f>SUM(N198:Q198)</f>
        <v>0</v>
      </c>
      <c r="S198" s="221">
        <f t="shared" si="88"/>
        <v>0</v>
      </c>
      <c r="T198" s="285">
        <f t="shared" si="88"/>
        <v>0</v>
      </c>
      <c r="U198" s="222">
        <f t="shared" si="88"/>
        <v>0</v>
      </c>
      <c r="V198" s="222">
        <f t="shared" si="88"/>
        <v>0</v>
      </c>
      <c r="W198" s="223">
        <f>SUM(S198:V198)</f>
        <v>0</v>
      </c>
      <c r="X198" s="221">
        <f t="shared" si="89"/>
        <v>0</v>
      </c>
      <c r="Y198" s="285">
        <f t="shared" si="89"/>
        <v>0</v>
      </c>
      <c r="Z198" s="222">
        <f t="shared" si="89"/>
        <v>0</v>
      </c>
      <c r="AA198" s="222">
        <f t="shared" si="89"/>
        <v>0</v>
      </c>
      <c r="AB198" s="223">
        <f>SUM(X198:AA198)</f>
        <v>0</v>
      </c>
      <c r="AC198" s="234">
        <f>H198+M198+R198+W198+AB198</f>
        <v>0</v>
      </c>
      <c r="AD198" s="263"/>
    </row>
    <row r="199" spans="1:30" ht="13.2" thickBot="1" x14ac:dyDescent="0.25">
      <c r="A199" s="789"/>
      <c r="B199" s="765"/>
      <c r="C199" s="208" t="str">
        <f>C$7</f>
        <v>Asia</v>
      </c>
      <c r="D199" s="224">
        <f t="shared" si="85"/>
        <v>0</v>
      </c>
      <c r="E199" s="285">
        <f t="shared" si="85"/>
        <v>0</v>
      </c>
      <c r="F199" s="225">
        <f t="shared" si="85"/>
        <v>0</v>
      </c>
      <c r="G199" s="225">
        <f t="shared" si="85"/>
        <v>0</v>
      </c>
      <c r="H199" s="226">
        <f>SUM(D199:G199)</f>
        <v>0</v>
      </c>
      <c r="I199" s="224">
        <f t="shared" si="86"/>
        <v>0</v>
      </c>
      <c r="J199" s="285">
        <f t="shared" si="86"/>
        <v>0</v>
      </c>
      <c r="K199" s="225">
        <f t="shared" si="86"/>
        <v>0</v>
      </c>
      <c r="L199" s="225">
        <f t="shared" si="86"/>
        <v>0</v>
      </c>
      <c r="M199" s="226">
        <f>SUM(I199:L199)</f>
        <v>0</v>
      </c>
      <c r="N199" s="224">
        <f t="shared" si="87"/>
        <v>0</v>
      </c>
      <c r="O199" s="285">
        <f t="shared" si="87"/>
        <v>0</v>
      </c>
      <c r="P199" s="225">
        <f t="shared" si="87"/>
        <v>0</v>
      </c>
      <c r="Q199" s="225">
        <f t="shared" si="87"/>
        <v>0</v>
      </c>
      <c r="R199" s="226">
        <f>SUM(N199:Q199)</f>
        <v>0</v>
      </c>
      <c r="S199" s="224">
        <f t="shared" si="88"/>
        <v>0</v>
      </c>
      <c r="T199" s="285">
        <f t="shared" si="88"/>
        <v>0</v>
      </c>
      <c r="U199" s="225">
        <f t="shared" si="88"/>
        <v>0</v>
      </c>
      <c r="V199" s="225">
        <f t="shared" si="88"/>
        <v>0</v>
      </c>
      <c r="W199" s="226">
        <f>SUM(S199:V199)</f>
        <v>0</v>
      </c>
      <c r="X199" s="224">
        <f t="shared" si="89"/>
        <v>0</v>
      </c>
      <c r="Y199" s="285">
        <f t="shared" si="89"/>
        <v>0</v>
      </c>
      <c r="Z199" s="225">
        <f t="shared" si="89"/>
        <v>0</v>
      </c>
      <c r="AA199" s="225">
        <f t="shared" si="89"/>
        <v>0</v>
      </c>
      <c r="AB199" s="226">
        <f>SUM(X199:AA199)</f>
        <v>0</v>
      </c>
      <c r="AC199" s="235">
        <f>H199+M199+R199+W199+AB199</f>
        <v>0</v>
      </c>
      <c r="AD199" s="263"/>
    </row>
    <row r="200" spans="1:30" ht="13.2" thickBot="1" x14ac:dyDescent="0.25">
      <c r="A200" s="789"/>
      <c r="B200" s="765"/>
      <c r="C200" s="420" t="s">
        <v>253</v>
      </c>
      <c r="D200" s="436">
        <f t="shared" ref="D200:AC200" si="90">SUM(D196:D199)</f>
        <v>0</v>
      </c>
      <c r="E200" s="437">
        <f t="shared" si="90"/>
        <v>0</v>
      </c>
      <c r="F200" s="437">
        <f t="shared" si="90"/>
        <v>0</v>
      </c>
      <c r="G200" s="437">
        <f t="shared" si="90"/>
        <v>0</v>
      </c>
      <c r="H200" s="438">
        <f t="shared" si="90"/>
        <v>0</v>
      </c>
      <c r="I200" s="436">
        <f t="shared" si="90"/>
        <v>0</v>
      </c>
      <c r="J200" s="437">
        <f t="shared" si="90"/>
        <v>0</v>
      </c>
      <c r="K200" s="437">
        <f t="shared" si="90"/>
        <v>0</v>
      </c>
      <c r="L200" s="437">
        <f t="shared" si="90"/>
        <v>0</v>
      </c>
      <c r="M200" s="438">
        <f t="shared" si="90"/>
        <v>0</v>
      </c>
      <c r="N200" s="436">
        <f t="shared" si="90"/>
        <v>0</v>
      </c>
      <c r="O200" s="437">
        <f t="shared" si="90"/>
        <v>0</v>
      </c>
      <c r="P200" s="437">
        <f t="shared" si="90"/>
        <v>0</v>
      </c>
      <c r="Q200" s="437">
        <f t="shared" si="90"/>
        <v>0</v>
      </c>
      <c r="R200" s="438">
        <f t="shared" si="90"/>
        <v>0</v>
      </c>
      <c r="S200" s="436">
        <f t="shared" si="90"/>
        <v>0</v>
      </c>
      <c r="T200" s="437">
        <f t="shared" si="90"/>
        <v>0</v>
      </c>
      <c r="U200" s="437">
        <f t="shared" si="90"/>
        <v>0</v>
      </c>
      <c r="V200" s="437">
        <f t="shared" si="90"/>
        <v>0</v>
      </c>
      <c r="W200" s="438">
        <f t="shared" si="90"/>
        <v>0</v>
      </c>
      <c r="X200" s="436">
        <f t="shared" si="90"/>
        <v>0</v>
      </c>
      <c r="Y200" s="437">
        <f t="shared" si="90"/>
        <v>0</v>
      </c>
      <c r="Z200" s="437">
        <f t="shared" si="90"/>
        <v>0</v>
      </c>
      <c r="AA200" s="437">
        <f t="shared" si="90"/>
        <v>0</v>
      </c>
      <c r="AB200" s="438">
        <f t="shared" si="90"/>
        <v>0</v>
      </c>
      <c r="AC200" s="438">
        <f t="shared" si="90"/>
        <v>0</v>
      </c>
      <c r="AD200" s="263"/>
    </row>
    <row r="201" spans="1:30" ht="13.2" thickBot="1" x14ac:dyDescent="0.25">
      <c r="A201" s="792"/>
      <c r="B201" s="766"/>
      <c r="C201" s="416" t="s">
        <v>139</v>
      </c>
      <c r="D201" s="433">
        <f t="shared" ref="D201:AC201" si="91">D195+D200</f>
        <v>480000</v>
      </c>
      <c r="E201" s="434">
        <f t="shared" si="91"/>
        <v>1455600</v>
      </c>
      <c r="F201" s="434">
        <f t="shared" si="91"/>
        <v>1502400</v>
      </c>
      <c r="G201" s="434">
        <f t="shared" si="91"/>
        <v>1549200</v>
      </c>
      <c r="H201" s="435">
        <f t="shared" si="91"/>
        <v>4987200</v>
      </c>
      <c r="I201" s="433">
        <f t="shared" si="91"/>
        <v>1566000</v>
      </c>
      <c r="J201" s="434">
        <f t="shared" si="91"/>
        <v>1611825</v>
      </c>
      <c r="K201" s="434">
        <f t="shared" si="91"/>
        <v>1657650</v>
      </c>
      <c r="L201" s="434">
        <f t="shared" si="91"/>
        <v>1763475</v>
      </c>
      <c r="M201" s="435">
        <f t="shared" si="91"/>
        <v>6598950</v>
      </c>
      <c r="N201" s="433">
        <f t="shared" si="91"/>
        <v>1691250</v>
      </c>
      <c r="O201" s="434">
        <f t="shared" si="91"/>
        <v>1735125</v>
      </c>
      <c r="P201" s="434">
        <f t="shared" si="91"/>
        <v>1779000</v>
      </c>
      <c r="Q201" s="434">
        <f t="shared" si="91"/>
        <v>1822875</v>
      </c>
      <c r="R201" s="435">
        <f t="shared" si="91"/>
        <v>7028250</v>
      </c>
      <c r="S201" s="433">
        <f t="shared" si="91"/>
        <v>1116750</v>
      </c>
      <c r="T201" s="434">
        <f t="shared" si="91"/>
        <v>1136250</v>
      </c>
      <c r="U201" s="434">
        <f t="shared" si="91"/>
        <v>1155750</v>
      </c>
      <c r="V201" s="434">
        <f t="shared" si="91"/>
        <v>1175250</v>
      </c>
      <c r="W201" s="435">
        <f t="shared" si="91"/>
        <v>4584000</v>
      </c>
      <c r="X201" s="433">
        <f t="shared" si="91"/>
        <v>594750</v>
      </c>
      <c r="Y201" s="434">
        <f t="shared" si="91"/>
        <v>594750</v>
      </c>
      <c r="Z201" s="434">
        <f t="shared" si="91"/>
        <v>594750</v>
      </c>
      <c r="AA201" s="434">
        <f t="shared" si="91"/>
        <v>594750</v>
      </c>
      <c r="AB201" s="435">
        <f t="shared" si="91"/>
        <v>2379000</v>
      </c>
      <c r="AC201" s="435">
        <f t="shared" si="91"/>
        <v>25577400</v>
      </c>
      <c r="AD201" s="263"/>
    </row>
    <row r="202" spans="1:30" x14ac:dyDescent="0.2">
      <c r="A202" s="786" t="s">
        <v>343</v>
      </c>
      <c r="B202" s="764" t="s">
        <v>370</v>
      </c>
      <c r="C202" s="206" t="str">
        <f>C$3</f>
        <v>Liftoil</v>
      </c>
      <c r="D202" s="218">
        <f>D174*Parameters!$N14*Parameters!$O14</f>
        <v>24000</v>
      </c>
      <c r="E202" s="219">
        <f>E174*Parameters!$N14*Parameters!$O14</f>
        <v>72000</v>
      </c>
      <c r="F202" s="219">
        <f>F174*Parameters!$N14*Parameters!$O14</f>
        <v>72000</v>
      </c>
      <c r="G202" s="219">
        <f>G174*Parameters!$N14*Parameters!$O14</f>
        <v>72000</v>
      </c>
      <c r="H202" s="220">
        <f>SUM(D202:G202)</f>
        <v>240000</v>
      </c>
      <c r="I202" s="218">
        <f>I174*Parameters!$N14*Parameters!$O14</f>
        <v>70500</v>
      </c>
      <c r="J202" s="219">
        <f>J174*Parameters!$N14*Parameters!$O14</f>
        <v>70500</v>
      </c>
      <c r="K202" s="219">
        <f>K174*Parameters!$N14*Parameters!$O14</f>
        <v>70500</v>
      </c>
      <c r="L202" s="219">
        <f>L174*Parameters!$N14*Parameters!$O14</f>
        <v>73500</v>
      </c>
      <c r="M202" s="220">
        <f>SUM(I202:L202)</f>
        <v>285000</v>
      </c>
      <c r="N202" s="218">
        <f>N174*Parameters!$N14*Parameters!$O14</f>
        <v>67500</v>
      </c>
      <c r="O202" s="219">
        <f>O174*Parameters!$N14*Parameters!$O14</f>
        <v>67500</v>
      </c>
      <c r="P202" s="219">
        <f>P174*Parameters!$N14*Parameters!$O14</f>
        <v>67500</v>
      </c>
      <c r="Q202" s="219">
        <f>Q174*Parameters!$N14*Parameters!$O14</f>
        <v>67500</v>
      </c>
      <c r="R202" s="220">
        <f>SUM(N202:Q202)</f>
        <v>270000</v>
      </c>
      <c r="S202" s="218">
        <f>S174*Parameters!$N14*Parameters!$O14</f>
        <v>30000</v>
      </c>
      <c r="T202" s="219">
        <f>T174*Parameters!$N14*Parameters!$O14</f>
        <v>30000</v>
      </c>
      <c r="U202" s="219">
        <f>U174*Parameters!$N14*Parameters!$O14</f>
        <v>30000</v>
      </c>
      <c r="V202" s="219">
        <f>V174*Parameters!$N14*Parameters!$O14</f>
        <v>30000</v>
      </c>
      <c r="W202" s="220">
        <f>SUM(S202:V202)</f>
        <v>120000</v>
      </c>
      <c r="X202" s="218">
        <f>X174*Parameters!$N14*Parameters!$O14</f>
        <v>0</v>
      </c>
      <c r="Y202" s="219">
        <f>Y174*Parameters!$N14*Parameters!$O14</f>
        <v>0</v>
      </c>
      <c r="Z202" s="219">
        <f>Z174*Parameters!$N14*Parameters!$O14</f>
        <v>0</v>
      </c>
      <c r="AA202" s="219">
        <f>AA174*Parameters!$N14*Parameters!$O14</f>
        <v>0</v>
      </c>
      <c r="AB202" s="220">
        <f>SUM(X202:AA202)</f>
        <v>0</v>
      </c>
      <c r="AC202" s="233">
        <f>H202+M202+R202+W202+AB202</f>
        <v>915000</v>
      </c>
    </row>
    <row r="203" spans="1:30" x14ac:dyDescent="0.2">
      <c r="A203" s="789"/>
      <c r="B203" s="765"/>
      <c r="C203" s="275" t="str">
        <f>C$4</f>
        <v>USA Canada</v>
      </c>
      <c r="D203" s="284">
        <f>D175*Parameters!$N15*Parameters!$O15</f>
        <v>0</v>
      </c>
      <c r="E203" s="285">
        <f>E175*Parameters!$N15*Parameters!$O15</f>
        <v>0</v>
      </c>
      <c r="F203" s="285">
        <f>F175*Parameters!$N15*Parameters!$O15</f>
        <v>0</v>
      </c>
      <c r="G203" s="285">
        <f>G175*Parameters!$N15*Parameters!$O15</f>
        <v>0</v>
      </c>
      <c r="H203" s="223">
        <f>SUM(D203:G203)</f>
        <v>0</v>
      </c>
      <c r="I203" s="284">
        <f>I175*Parameters!$N15*Parameters!$O15</f>
        <v>0</v>
      </c>
      <c r="J203" s="285">
        <f>J175*Parameters!$N15*Parameters!$O15</f>
        <v>0</v>
      </c>
      <c r="K203" s="285">
        <f>K175*Parameters!$N15*Parameters!$O15</f>
        <v>0</v>
      </c>
      <c r="L203" s="285">
        <f>L175*Parameters!$N15*Parameters!$O15</f>
        <v>0</v>
      </c>
      <c r="M203" s="223">
        <f>SUM(I203:L203)</f>
        <v>0</v>
      </c>
      <c r="N203" s="284">
        <f>N175*Parameters!$N15*Parameters!$O15</f>
        <v>0</v>
      </c>
      <c r="O203" s="285">
        <f>O175*Parameters!$N15*Parameters!$O15</f>
        <v>0</v>
      </c>
      <c r="P203" s="285">
        <f>P175*Parameters!$N15*Parameters!$O15</f>
        <v>0</v>
      </c>
      <c r="Q203" s="285">
        <f>Q175*Parameters!$N15*Parameters!$O15</f>
        <v>0</v>
      </c>
      <c r="R203" s="223">
        <f>SUM(N203:Q203)</f>
        <v>0</v>
      </c>
      <c r="S203" s="284">
        <f>S175*Parameters!$N15*Parameters!$O15</f>
        <v>0</v>
      </c>
      <c r="T203" s="285">
        <f>T175*Parameters!$N15*Parameters!$O15</f>
        <v>0</v>
      </c>
      <c r="U203" s="285">
        <f>U175*Parameters!$N15*Parameters!$O15</f>
        <v>0</v>
      </c>
      <c r="V203" s="285">
        <f>V175*Parameters!$N15*Parameters!$O15</f>
        <v>0</v>
      </c>
      <c r="W203" s="223">
        <f>SUM(S203:V203)</f>
        <v>0</v>
      </c>
      <c r="X203" s="284">
        <f>X175*Parameters!$N15*Parameters!$O15</f>
        <v>0</v>
      </c>
      <c r="Y203" s="285">
        <f>Y175*Parameters!$N15*Parameters!$O15</f>
        <v>0</v>
      </c>
      <c r="Z203" s="285">
        <f>Z175*Parameters!$N15*Parameters!$O15</f>
        <v>0</v>
      </c>
      <c r="AA203" s="285">
        <f>AA175*Parameters!$N15*Parameters!$O15</f>
        <v>0</v>
      </c>
      <c r="AB203" s="223">
        <f>SUM(X203:AA203)</f>
        <v>0</v>
      </c>
      <c r="AC203" s="234">
        <f>H203+M203+R203+W203+AB203</f>
        <v>0</v>
      </c>
    </row>
    <row r="204" spans="1:30" x14ac:dyDescent="0.2">
      <c r="A204" s="789"/>
      <c r="B204" s="765"/>
      <c r="C204" s="207" t="str">
        <f>C$5</f>
        <v>Europe</v>
      </c>
      <c r="D204" s="221">
        <f>D176*Parameters!$N16*Parameters!$O16</f>
        <v>0</v>
      </c>
      <c r="E204" s="222">
        <f>E176*Parameters!$N16*Parameters!$O16</f>
        <v>0</v>
      </c>
      <c r="F204" s="222">
        <f>F176*Parameters!$N16*Parameters!$O16</f>
        <v>0</v>
      </c>
      <c r="G204" s="222">
        <f>G176*Parameters!$N16*Parameters!$O16</f>
        <v>0</v>
      </c>
      <c r="H204" s="223">
        <f>SUM(D204:G204)</f>
        <v>0</v>
      </c>
      <c r="I204" s="221">
        <f>I176*Parameters!$N16*Parameters!$O16</f>
        <v>0</v>
      </c>
      <c r="J204" s="222">
        <f>J176*Parameters!$N16*Parameters!$O16</f>
        <v>0</v>
      </c>
      <c r="K204" s="222">
        <f>K176*Parameters!$N16*Parameters!$O16</f>
        <v>0</v>
      </c>
      <c r="L204" s="222">
        <f>L176*Parameters!$N16*Parameters!$O16</f>
        <v>0</v>
      </c>
      <c r="M204" s="223">
        <f>SUM(I204:L204)</f>
        <v>0</v>
      </c>
      <c r="N204" s="221">
        <f>N176*Parameters!$N16*Parameters!$O16</f>
        <v>0</v>
      </c>
      <c r="O204" s="222">
        <f>O176*Parameters!$N16*Parameters!$O16</f>
        <v>0</v>
      </c>
      <c r="P204" s="222">
        <f>P176*Parameters!$N16*Parameters!$O16</f>
        <v>0</v>
      </c>
      <c r="Q204" s="222">
        <f>Q176*Parameters!$N16*Parameters!$O16</f>
        <v>0</v>
      </c>
      <c r="R204" s="223">
        <f>SUM(N204:Q204)</f>
        <v>0</v>
      </c>
      <c r="S204" s="221">
        <f>S176*Parameters!$N16*Parameters!$O16</f>
        <v>0</v>
      </c>
      <c r="T204" s="222">
        <f>T176*Parameters!$N16*Parameters!$O16</f>
        <v>0</v>
      </c>
      <c r="U204" s="222">
        <f>U176*Parameters!$N16*Parameters!$O16</f>
        <v>0</v>
      </c>
      <c r="V204" s="222">
        <f>V176*Parameters!$N16*Parameters!$O16</f>
        <v>0</v>
      </c>
      <c r="W204" s="223">
        <f>SUM(S204:V204)</f>
        <v>0</v>
      </c>
      <c r="X204" s="221">
        <f>X176*Parameters!$N16*Parameters!$O16</f>
        <v>0</v>
      </c>
      <c r="Y204" s="222">
        <f>Y176*Parameters!$N16*Parameters!$O16</f>
        <v>0</v>
      </c>
      <c r="Z204" s="222">
        <f>Z176*Parameters!$N16*Parameters!$O16</f>
        <v>0</v>
      </c>
      <c r="AA204" s="222">
        <f>AA176*Parameters!$N16*Parameters!$O16</f>
        <v>0</v>
      </c>
      <c r="AB204" s="223">
        <f>SUM(X204:AA204)</f>
        <v>0</v>
      </c>
      <c r="AC204" s="234">
        <f>H204+M204+R204+W204+AB204</f>
        <v>0</v>
      </c>
    </row>
    <row r="205" spans="1:30" x14ac:dyDescent="0.2">
      <c r="A205" s="789"/>
      <c r="B205" s="765"/>
      <c r="C205" s="207" t="str">
        <f>C$6</f>
        <v>Africa</v>
      </c>
      <c r="D205" s="221">
        <f>D177*Parameters!$N17*Parameters!$O17</f>
        <v>0</v>
      </c>
      <c r="E205" s="222">
        <f>E177*Parameters!$N17*Parameters!$O17</f>
        <v>0</v>
      </c>
      <c r="F205" s="222">
        <f>F177*Parameters!$N17*Parameters!$O17</f>
        <v>0</v>
      </c>
      <c r="G205" s="222">
        <f>G177*Parameters!$N17*Parameters!$O17</f>
        <v>0</v>
      </c>
      <c r="H205" s="223">
        <f>SUM(D205:G205)</f>
        <v>0</v>
      </c>
      <c r="I205" s="221">
        <f>I177*Parameters!$N17*Parameters!$O17</f>
        <v>0</v>
      </c>
      <c r="J205" s="222">
        <f>J177*Parameters!$N17*Parameters!$O17</f>
        <v>0</v>
      </c>
      <c r="K205" s="222">
        <f>K177*Parameters!$N17*Parameters!$O17</f>
        <v>0</v>
      </c>
      <c r="L205" s="222">
        <f>L177*Parameters!$N17*Parameters!$O17</f>
        <v>0</v>
      </c>
      <c r="M205" s="223">
        <f>SUM(I205:L205)</f>
        <v>0</v>
      </c>
      <c r="N205" s="221">
        <f>N177*Parameters!$N17*Parameters!$O17</f>
        <v>0</v>
      </c>
      <c r="O205" s="222">
        <f>O177*Parameters!$N17*Parameters!$O17</f>
        <v>0</v>
      </c>
      <c r="P205" s="222">
        <f>P177*Parameters!$N17*Parameters!$O17</f>
        <v>0</v>
      </c>
      <c r="Q205" s="222">
        <f>Q177*Parameters!$N17*Parameters!$O17</f>
        <v>0</v>
      </c>
      <c r="R205" s="223">
        <f>SUM(N205:Q205)</f>
        <v>0</v>
      </c>
      <c r="S205" s="221">
        <f>S177*Parameters!$N17*Parameters!$O17</f>
        <v>0</v>
      </c>
      <c r="T205" s="222">
        <f>T177*Parameters!$N17*Parameters!$O17</f>
        <v>0</v>
      </c>
      <c r="U205" s="222">
        <f>U177*Parameters!$N17*Parameters!$O17</f>
        <v>0</v>
      </c>
      <c r="V205" s="222">
        <f>V177*Parameters!$N17*Parameters!$O17</f>
        <v>0</v>
      </c>
      <c r="W205" s="223">
        <f>SUM(S205:V205)</f>
        <v>0</v>
      </c>
      <c r="X205" s="221">
        <f>X177*Parameters!$N17*Parameters!$O17</f>
        <v>0</v>
      </c>
      <c r="Y205" s="222">
        <f>Y177*Parameters!$N17*Parameters!$O17</f>
        <v>0</v>
      </c>
      <c r="Z205" s="222">
        <f>Z177*Parameters!$N17*Parameters!$O17</f>
        <v>0</v>
      </c>
      <c r="AA205" s="222">
        <f>AA177*Parameters!$N17*Parameters!$O17</f>
        <v>0</v>
      </c>
      <c r="AB205" s="223">
        <f>SUM(X205:AA205)</f>
        <v>0</v>
      </c>
      <c r="AC205" s="234">
        <f>H205+M205+R205+W205+AB205</f>
        <v>0</v>
      </c>
    </row>
    <row r="206" spans="1:30" ht="13.2" thickBot="1" x14ac:dyDescent="0.25">
      <c r="A206" s="789"/>
      <c r="B206" s="765"/>
      <c r="C206" s="208" t="str">
        <f>C$7</f>
        <v>Asia</v>
      </c>
      <c r="D206" s="224">
        <f>D178*Parameters!$N18*Parameters!$O18</f>
        <v>0</v>
      </c>
      <c r="E206" s="225">
        <f>E178*Parameters!$N18*Parameters!$O18</f>
        <v>0</v>
      </c>
      <c r="F206" s="225">
        <f>F178*Parameters!$N18*Parameters!$O18</f>
        <v>0</v>
      </c>
      <c r="G206" s="225">
        <f>G178*Parameters!$N18*Parameters!$O18</f>
        <v>0</v>
      </c>
      <c r="H206" s="226">
        <f>SUM(D206:G206)</f>
        <v>0</v>
      </c>
      <c r="I206" s="224">
        <f>I178*Parameters!$N18*Parameters!$O18</f>
        <v>0</v>
      </c>
      <c r="J206" s="225">
        <f>J178*Parameters!$N18*Parameters!$O18</f>
        <v>0</v>
      </c>
      <c r="K206" s="225">
        <f>K178*Parameters!$N18*Parameters!$O18</f>
        <v>0</v>
      </c>
      <c r="L206" s="225">
        <f>L178*Parameters!$N18*Parameters!$O18</f>
        <v>0</v>
      </c>
      <c r="M206" s="226">
        <f>SUM(I206:L206)</f>
        <v>0</v>
      </c>
      <c r="N206" s="224">
        <f>N178*Parameters!$N18*Parameters!$O18</f>
        <v>0</v>
      </c>
      <c r="O206" s="225">
        <f>O178*Parameters!$N18*Parameters!$O18</f>
        <v>0</v>
      </c>
      <c r="P206" s="225">
        <f>P178*Parameters!$N18*Parameters!$O18</f>
        <v>0</v>
      </c>
      <c r="Q206" s="225">
        <f>Q178*Parameters!$N18*Parameters!$O18</f>
        <v>0</v>
      </c>
      <c r="R206" s="226">
        <f>SUM(N206:Q206)</f>
        <v>0</v>
      </c>
      <c r="S206" s="224">
        <f>S178*Parameters!$N18*Parameters!$O18</f>
        <v>0</v>
      </c>
      <c r="T206" s="225">
        <f>T178*Parameters!$N18*Parameters!$O18</f>
        <v>0</v>
      </c>
      <c r="U206" s="225">
        <f>U178*Parameters!$N18*Parameters!$O18</f>
        <v>0</v>
      </c>
      <c r="V206" s="225">
        <f>V178*Parameters!$N18*Parameters!$O18</f>
        <v>0</v>
      </c>
      <c r="W206" s="226">
        <f>SUM(S206:V206)</f>
        <v>0</v>
      </c>
      <c r="X206" s="224">
        <f>X178*Parameters!$N18*Parameters!$O18</f>
        <v>0</v>
      </c>
      <c r="Y206" s="225">
        <f>Y178*Parameters!$N18*Parameters!$O18</f>
        <v>0</v>
      </c>
      <c r="Z206" s="225">
        <f>Z178*Parameters!$N18*Parameters!$O18</f>
        <v>0</v>
      </c>
      <c r="AA206" s="225">
        <f>AA178*Parameters!$N18*Parameters!$O18</f>
        <v>0</v>
      </c>
      <c r="AB206" s="226">
        <f>SUM(X206:AA206)</f>
        <v>0</v>
      </c>
      <c r="AC206" s="235">
        <f>H206+M206+R206+W206+AB206</f>
        <v>0</v>
      </c>
    </row>
    <row r="207" spans="1:30" ht="13.2" thickBot="1" x14ac:dyDescent="0.25">
      <c r="A207" s="789"/>
      <c r="B207" s="765"/>
      <c r="C207" s="420" t="s">
        <v>253</v>
      </c>
      <c r="D207" s="436">
        <f t="shared" ref="D207:AC207" si="92">SUM(D203:D206)</f>
        <v>0</v>
      </c>
      <c r="E207" s="437">
        <f t="shared" si="92"/>
        <v>0</v>
      </c>
      <c r="F207" s="437">
        <f t="shared" si="92"/>
        <v>0</v>
      </c>
      <c r="G207" s="437">
        <f t="shared" si="92"/>
        <v>0</v>
      </c>
      <c r="H207" s="438">
        <f t="shared" si="92"/>
        <v>0</v>
      </c>
      <c r="I207" s="436">
        <f t="shared" si="92"/>
        <v>0</v>
      </c>
      <c r="J207" s="437">
        <f t="shared" si="92"/>
        <v>0</v>
      </c>
      <c r="K207" s="437">
        <f t="shared" si="92"/>
        <v>0</v>
      </c>
      <c r="L207" s="437">
        <f t="shared" si="92"/>
        <v>0</v>
      </c>
      <c r="M207" s="438">
        <f t="shared" si="92"/>
        <v>0</v>
      </c>
      <c r="N207" s="436">
        <f t="shared" si="92"/>
        <v>0</v>
      </c>
      <c r="O207" s="437">
        <f t="shared" si="92"/>
        <v>0</v>
      </c>
      <c r="P207" s="437">
        <f t="shared" si="92"/>
        <v>0</v>
      </c>
      <c r="Q207" s="437">
        <f t="shared" si="92"/>
        <v>0</v>
      </c>
      <c r="R207" s="438">
        <f t="shared" si="92"/>
        <v>0</v>
      </c>
      <c r="S207" s="436">
        <f t="shared" si="92"/>
        <v>0</v>
      </c>
      <c r="T207" s="437">
        <f t="shared" si="92"/>
        <v>0</v>
      </c>
      <c r="U207" s="437">
        <f t="shared" si="92"/>
        <v>0</v>
      </c>
      <c r="V207" s="437">
        <f t="shared" si="92"/>
        <v>0</v>
      </c>
      <c r="W207" s="438">
        <f t="shared" si="92"/>
        <v>0</v>
      </c>
      <c r="X207" s="436">
        <f t="shared" si="92"/>
        <v>0</v>
      </c>
      <c r="Y207" s="437">
        <f t="shared" si="92"/>
        <v>0</v>
      </c>
      <c r="Z207" s="437">
        <f t="shared" si="92"/>
        <v>0</v>
      </c>
      <c r="AA207" s="437">
        <f t="shared" si="92"/>
        <v>0</v>
      </c>
      <c r="AB207" s="438">
        <f t="shared" si="92"/>
        <v>0</v>
      </c>
      <c r="AC207" s="438">
        <f t="shared" si="92"/>
        <v>0</v>
      </c>
    </row>
    <row r="208" spans="1:30" ht="13.2" thickBot="1" x14ac:dyDescent="0.25">
      <c r="A208" s="789"/>
      <c r="B208" s="766"/>
      <c r="C208" s="416" t="s">
        <v>139</v>
      </c>
      <c r="D208" s="433">
        <f t="shared" ref="D208:AC208" si="93">D202+D207</f>
        <v>24000</v>
      </c>
      <c r="E208" s="434">
        <f t="shared" si="93"/>
        <v>72000</v>
      </c>
      <c r="F208" s="434">
        <f t="shared" si="93"/>
        <v>72000</v>
      </c>
      <c r="G208" s="434">
        <f t="shared" si="93"/>
        <v>72000</v>
      </c>
      <c r="H208" s="435">
        <f t="shared" si="93"/>
        <v>240000</v>
      </c>
      <c r="I208" s="433">
        <f t="shared" si="93"/>
        <v>70500</v>
      </c>
      <c r="J208" s="434">
        <f t="shared" si="93"/>
        <v>70500</v>
      </c>
      <c r="K208" s="434">
        <f t="shared" si="93"/>
        <v>70500</v>
      </c>
      <c r="L208" s="434">
        <f t="shared" si="93"/>
        <v>73500</v>
      </c>
      <c r="M208" s="435">
        <f t="shared" si="93"/>
        <v>285000</v>
      </c>
      <c r="N208" s="433">
        <f t="shared" si="93"/>
        <v>67500</v>
      </c>
      <c r="O208" s="434">
        <f t="shared" si="93"/>
        <v>67500</v>
      </c>
      <c r="P208" s="434">
        <f t="shared" si="93"/>
        <v>67500</v>
      </c>
      <c r="Q208" s="434">
        <f t="shared" si="93"/>
        <v>67500</v>
      </c>
      <c r="R208" s="435">
        <f t="shared" si="93"/>
        <v>270000</v>
      </c>
      <c r="S208" s="433">
        <f t="shared" si="93"/>
        <v>30000</v>
      </c>
      <c r="T208" s="434">
        <f t="shared" si="93"/>
        <v>30000</v>
      </c>
      <c r="U208" s="434">
        <f t="shared" si="93"/>
        <v>30000</v>
      </c>
      <c r="V208" s="434">
        <f t="shared" si="93"/>
        <v>30000</v>
      </c>
      <c r="W208" s="435">
        <f t="shared" si="93"/>
        <v>120000</v>
      </c>
      <c r="X208" s="433">
        <f t="shared" si="93"/>
        <v>0</v>
      </c>
      <c r="Y208" s="434">
        <f t="shared" si="93"/>
        <v>0</v>
      </c>
      <c r="Z208" s="434">
        <f t="shared" si="93"/>
        <v>0</v>
      </c>
      <c r="AA208" s="434">
        <f t="shared" si="93"/>
        <v>0</v>
      </c>
      <c r="AB208" s="435">
        <f t="shared" si="93"/>
        <v>0</v>
      </c>
      <c r="AC208" s="435">
        <f t="shared" si="93"/>
        <v>915000</v>
      </c>
    </row>
    <row r="209" spans="1:30" ht="13.05" customHeight="1" x14ac:dyDescent="0.2">
      <c r="A209" s="789"/>
      <c r="B209" s="775" t="s">
        <v>167</v>
      </c>
      <c r="C209" s="206" t="str">
        <f>C$3</f>
        <v>Liftoil</v>
      </c>
      <c r="D209" s="218">
        <f>D160*Parameters!$B$25</f>
        <v>344000</v>
      </c>
      <c r="E209" s="219">
        <f>E160*Parameters!$B$25</f>
        <v>1032000</v>
      </c>
      <c r="F209" s="219">
        <f>F160*Parameters!$B$25</f>
        <v>1032000</v>
      </c>
      <c r="G209" s="219">
        <f>G160*Parameters!$B$25</f>
        <v>1032000</v>
      </c>
      <c r="H209" s="220">
        <f>SUM(D209:G209)</f>
        <v>3440000</v>
      </c>
      <c r="I209" s="218">
        <f>I160*Parameters!$C$25</f>
        <v>902400</v>
      </c>
      <c r="J209" s="219">
        <f>J160*Parameters!$C$25</f>
        <v>902400</v>
      </c>
      <c r="K209" s="219">
        <f>K160*Parameters!$C$25</f>
        <v>902400</v>
      </c>
      <c r="L209" s="219">
        <f>L160*Parameters!$C$25</f>
        <v>940800</v>
      </c>
      <c r="M209" s="220">
        <f>SUM(I209:L209)</f>
        <v>3648000</v>
      </c>
      <c r="N209" s="218">
        <f>N160*Parameters!$D$25</f>
        <v>765000</v>
      </c>
      <c r="O209" s="219">
        <f>O160*Parameters!$D$25</f>
        <v>765000</v>
      </c>
      <c r="P209" s="219">
        <f>P160*Parameters!$D$25</f>
        <v>765000</v>
      </c>
      <c r="Q209" s="219">
        <f>Q160*Parameters!$D$25</f>
        <v>765000</v>
      </c>
      <c r="R209" s="220">
        <f>SUM(N209:Q209)</f>
        <v>3060000</v>
      </c>
      <c r="S209" s="218">
        <f>S160*Parameters!$E$25</f>
        <v>320000</v>
      </c>
      <c r="T209" s="219">
        <f>T160*Parameters!$E$25</f>
        <v>320000</v>
      </c>
      <c r="U209" s="219">
        <f>U160*Parameters!$E$25</f>
        <v>320000</v>
      </c>
      <c r="V209" s="219">
        <f>V160*Parameters!$E$25</f>
        <v>320000</v>
      </c>
      <c r="W209" s="220">
        <f>SUM(S209:V209)</f>
        <v>1280000</v>
      </c>
      <c r="X209" s="218">
        <f>X160*Parameters!$F$25</f>
        <v>0</v>
      </c>
      <c r="Y209" s="219">
        <f>Y160*Parameters!$F$25</f>
        <v>0</v>
      </c>
      <c r="Z209" s="219">
        <f>Z160*Parameters!$F$25</f>
        <v>0</v>
      </c>
      <c r="AA209" s="219">
        <f>AA160*Parameters!$F$25</f>
        <v>0</v>
      </c>
      <c r="AB209" s="220">
        <f>SUM(X209:AA209)</f>
        <v>0</v>
      </c>
      <c r="AC209" s="233">
        <f>H209+M209+R209+W209+AB209</f>
        <v>11428000</v>
      </c>
    </row>
    <row r="210" spans="1:30" ht="13.05" customHeight="1" x14ac:dyDescent="0.2">
      <c r="A210" s="789"/>
      <c r="B210" s="790"/>
      <c r="C210" s="275" t="str">
        <f>C$4</f>
        <v>USA Canada</v>
      </c>
      <c r="D210" s="284">
        <f>D161*Parameters!$B$25</f>
        <v>0</v>
      </c>
      <c r="E210" s="285">
        <f>E161*Parameters!$B$25</f>
        <v>0</v>
      </c>
      <c r="F210" s="285">
        <f>F161*Parameters!$B$25</f>
        <v>0</v>
      </c>
      <c r="G210" s="285">
        <f>G161*Parameters!$B$25</f>
        <v>0</v>
      </c>
      <c r="H210" s="223">
        <f>SUM(D210:G210)</f>
        <v>0</v>
      </c>
      <c r="I210" s="284">
        <f>I161*Parameters!$C$25</f>
        <v>0</v>
      </c>
      <c r="J210" s="285">
        <f>J161*Parameters!$C$25</f>
        <v>0</v>
      </c>
      <c r="K210" s="285">
        <f>K161*Parameters!$C$25</f>
        <v>0</v>
      </c>
      <c r="L210" s="285">
        <f>L161*Parameters!$C$25</f>
        <v>0</v>
      </c>
      <c r="M210" s="223">
        <f>SUM(I210:L210)</f>
        <v>0</v>
      </c>
      <c r="N210" s="284">
        <f>N161*Parameters!$D$25</f>
        <v>0</v>
      </c>
      <c r="O210" s="285">
        <f>O161*Parameters!$D$25</f>
        <v>0</v>
      </c>
      <c r="P210" s="285">
        <f>P161*Parameters!$D$25</f>
        <v>0</v>
      </c>
      <c r="Q210" s="285">
        <f>Q161*Parameters!$D$25</f>
        <v>0</v>
      </c>
      <c r="R210" s="223">
        <f>SUM(N210:Q210)</f>
        <v>0</v>
      </c>
      <c r="S210" s="284">
        <f>S161*Parameters!$E$25</f>
        <v>0</v>
      </c>
      <c r="T210" s="285">
        <f>T161*Parameters!$E$25</f>
        <v>0</v>
      </c>
      <c r="U210" s="285">
        <f>U161*Parameters!$E$25</f>
        <v>0</v>
      </c>
      <c r="V210" s="285">
        <f>V161*Parameters!$E$25</f>
        <v>0</v>
      </c>
      <c r="W210" s="223">
        <f>SUM(S210:V210)</f>
        <v>0</v>
      </c>
      <c r="X210" s="284">
        <f>X161*Parameters!$F$25</f>
        <v>0</v>
      </c>
      <c r="Y210" s="285">
        <f>Y161*Parameters!$F$25</f>
        <v>0</v>
      </c>
      <c r="Z210" s="285">
        <f>Z161*Parameters!$F$25</f>
        <v>0</v>
      </c>
      <c r="AA210" s="285">
        <f>AA161*Parameters!$F$25</f>
        <v>0</v>
      </c>
      <c r="AB210" s="223">
        <f>SUM(X210:AA210)</f>
        <v>0</v>
      </c>
      <c r="AC210" s="234">
        <f>H210+M210+R210+W210+AB210</f>
        <v>0</v>
      </c>
    </row>
    <row r="211" spans="1:30" x14ac:dyDescent="0.2">
      <c r="A211" s="789"/>
      <c r="B211" s="790"/>
      <c r="C211" s="207" t="str">
        <f>C$5</f>
        <v>Europe</v>
      </c>
      <c r="D211" s="221">
        <f>D162*Parameters!$B$25</f>
        <v>0</v>
      </c>
      <c r="E211" s="222">
        <f>E162*Parameters!$B$25</f>
        <v>0</v>
      </c>
      <c r="F211" s="222">
        <f>F162*Parameters!$B$25</f>
        <v>0</v>
      </c>
      <c r="G211" s="222">
        <f>G162*Parameters!$B$25</f>
        <v>0</v>
      </c>
      <c r="H211" s="223">
        <f>SUM(D211:G211)</f>
        <v>0</v>
      </c>
      <c r="I211" s="221">
        <f>I162*Parameters!$C$25</f>
        <v>0</v>
      </c>
      <c r="J211" s="222">
        <f>J162*Parameters!$C$25</f>
        <v>0</v>
      </c>
      <c r="K211" s="222">
        <f>K162*Parameters!$C$25</f>
        <v>0</v>
      </c>
      <c r="L211" s="222">
        <f>L162*Parameters!$C$25</f>
        <v>0</v>
      </c>
      <c r="M211" s="223">
        <f>SUM(I211:L211)</f>
        <v>0</v>
      </c>
      <c r="N211" s="221">
        <f>N162*Parameters!$D$25</f>
        <v>0</v>
      </c>
      <c r="O211" s="222">
        <f>O162*Parameters!$D$25</f>
        <v>0</v>
      </c>
      <c r="P211" s="222">
        <f>P162*Parameters!$D$25</f>
        <v>0</v>
      </c>
      <c r="Q211" s="222">
        <f>Q162*Parameters!$D$25</f>
        <v>0</v>
      </c>
      <c r="R211" s="223">
        <f>SUM(N211:Q211)</f>
        <v>0</v>
      </c>
      <c r="S211" s="221">
        <f>S162*Parameters!$E$25</f>
        <v>0</v>
      </c>
      <c r="T211" s="222">
        <f>T162*Parameters!$E$25</f>
        <v>0</v>
      </c>
      <c r="U211" s="222">
        <f>U162*Parameters!$E$25</f>
        <v>0</v>
      </c>
      <c r="V211" s="222">
        <f>V162*Parameters!$E$25</f>
        <v>0</v>
      </c>
      <c r="W211" s="223">
        <f>SUM(S211:V211)</f>
        <v>0</v>
      </c>
      <c r="X211" s="221">
        <f>X162*Parameters!$F$25</f>
        <v>0</v>
      </c>
      <c r="Y211" s="222">
        <f>Y162*Parameters!$F$25</f>
        <v>0</v>
      </c>
      <c r="Z211" s="222">
        <f>Z162*Parameters!$F$25</f>
        <v>0</v>
      </c>
      <c r="AA211" s="222">
        <f>AA162*Parameters!$F$25</f>
        <v>0</v>
      </c>
      <c r="AB211" s="223">
        <f>SUM(X211:AA211)</f>
        <v>0</v>
      </c>
      <c r="AC211" s="234">
        <f>H211+M211+R211+W211+AB211</f>
        <v>0</v>
      </c>
    </row>
    <row r="212" spans="1:30" x14ac:dyDescent="0.2">
      <c r="A212" s="789"/>
      <c r="B212" s="790"/>
      <c r="C212" s="207" t="str">
        <f>C$6</f>
        <v>Africa</v>
      </c>
      <c r="D212" s="221">
        <f>D163*Parameters!$B$25</f>
        <v>0</v>
      </c>
      <c r="E212" s="222">
        <f>E163*Parameters!$B$25</f>
        <v>0</v>
      </c>
      <c r="F212" s="222">
        <f>F163*Parameters!$B$25</f>
        <v>0</v>
      </c>
      <c r="G212" s="222">
        <f>G163*Parameters!$B$25</f>
        <v>0</v>
      </c>
      <c r="H212" s="223">
        <f>SUM(D212:G212)</f>
        <v>0</v>
      </c>
      <c r="I212" s="221">
        <f>I163*Parameters!$C$25</f>
        <v>0</v>
      </c>
      <c r="J212" s="222">
        <f>J163*Parameters!$C$25</f>
        <v>0</v>
      </c>
      <c r="K212" s="222">
        <f>K163*Parameters!$C$25</f>
        <v>0</v>
      </c>
      <c r="L212" s="222">
        <f>L163*Parameters!$C$25</f>
        <v>0</v>
      </c>
      <c r="M212" s="223">
        <f>SUM(I212:L212)</f>
        <v>0</v>
      </c>
      <c r="N212" s="221">
        <f>N163*Parameters!$D$25</f>
        <v>0</v>
      </c>
      <c r="O212" s="222">
        <f>O163*Parameters!$D$25</f>
        <v>0</v>
      </c>
      <c r="P212" s="222">
        <f>P163*Parameters!$D$25</f>
        <v>0</v>
      </c>
      <c r="Q212" s="222">
        <f>Q163*Parameters!$D$25</f>
        <v>0</v>
      </c>
      <c r="R212" s="223">
        <f>SUM(N212:Q212)</f>
        <v>0</v>
      </c>
      <c r="S212" s="221">
        <f>S163*Parameters!$E$25</f>
        <v>0</v>
      </c>
      <c r="T212" s="222">
        <f>T163*Parameters!$E$25</f>
        <v>0</v>
      </c>
      <c r="U212" s="222">
        <f>U163*Parameters!$E$25</f>
        <v>0</v>
      </c>
      <c r="V212" s="222">
        <f>V163*Parameters!$E$25</f>
        <v>0</v>
      </c>
      <c r="W212" s="223">
        <f>SUM(S212:V212)</f>
        <v>0</v>
      </c>
      <c r="X212" s="221">
        <f>X163*Parameters!$F$25</f>
        <v>0</v>
      </c>
      <c r="Y212" s="222">
        <f>Y163*Parameters!$F$25</f>
        <v>0</v>
      </c>
      <c r="Z212" s="222">
        <f>Z163*Parameters!$F$25</f>
        <v>0</v>
      </c>
      <c r="AA212" s="222">
        <f>AA163*Parameters!$F$25</f>
        <v>0</v>
      </c>
      <c r="AB212" s="223">
        <f>SUM(X212:AA212)</f>
        <v>0</v>
      </c>
      <c r="AC212" s="234">
        <f>H212+M212+R212+W212+AB212</f>
        <v>0</v>
      </c>
    </row>
    <row r="213" spans="1:30" ht="13.2" thickBot="1" x14ac:dyDescent="0.25">
      <c r="A213" s="789"/>
      <c r="B213" s="790"/>
      <c r="C213" s="208" t="str">
        <f>C$7</f>
        <v>Asia</v>
      </c>
      <c r="D213" s="224">
        <f>D164*Parameters!$B$25</f>
        <v>0</v>
      </c>
      <c r="E213" s="225">
        <f>E164*Parameters!$B$25</f>
        <v>0</v>
      </c>
      <c r="F213" s="225">
        <f>F164*Parameters!$B$25</f>
        <v>0</v>
      </c>
      <c r="G213" s="225">
        <f>G164*Parameters!$B$25</f>
        <v>0</v>
      </c>
      <c r="H213" s="226">
        <f>SUM(D213:G213)</f>
        <v>0</v>
      </c>
      <c r="I213" s="224">
        <f>I164*Parameters!$C$25</f>
        <v>0</v>
      </c>
      <c r="J213" s="225">
        <f>J164*Parameters!$C$25</f>
        <v>0</v>
      </c>
      <c r="K213" s="225">
        <f>K164*Parameters!$C$25</f>
        <v>0</v>
      </c>
      <c r="L213" s="225">
        <f>L164*Parameters!$C$25</f>
        <v>0</v>
      </c>
      <c r="M213" s="226">
        <f>SUM(I213:L213)</f>
        <v>0</v>
      </c>
      <c r="N213" s="224">
        <f>N164*Parameters!$D$25</f>
        <v>0</v>
      </c>
      <c r="O213" s="225">
        <f>O164*Parameters!$D$25</f>
        <v>0</v>
      </c>
      <c r="P213" s="225">
        <f>P164*Parameters!$D$25</f>
        <v>0</v>
      </c>
      <c r="Q213" s="225">
        <f>Q164*Parameters!$D$25</f>
        <v>0</v>
      </c>
      <c r="R213" s="226">
        <f>SUM(N213:Q213)</f>
        <v>0</v>
      </c>
      <c r="S213" s="224">
        <f>S164*Parameters!$E$25</f>
        <v>0</v>
      </c>
      <c r="T213" s="225">
        <f>T164*Parameters!$E$25</f>
        <v>0</v>
      </c>
      <c r="U213" s="225">
        <f>U164*Parameters!$E$25</f>
        <v>0</v>
      </c>
      <c r="V213" s="225">
        <f>V164*Parameters!$E$25</f>
        <v>0</v>
      </c>
      <c r="W213" s="226">
        <f>SUM(S213:V213)</f>
        <v>0</v>
      </c>
      <c r="X213" s="224">
        <f>X164*Parameters!$F$25</f>
        <v>0</v>
      </c>
      <c r="Y213" s="225">
        <f>Y164*Parameters!$F$25</f>
        <v>0</v>
      </c>
      <c r="Z213" s="225">
        <f>Z164*Parameters!$F$25</f>
        <v>0</v>
      </c>
      <c r="AA213" s="225">
        <f>AA164*Parameters!$F$25</f>
        <v>0</v>
      </c>
      <c r="AB213" s="226">
        <f>SUM(X213:AA213)</f>
        <v>0</v>
      </c>
      <c r="AC213" s="235">
        <f>H213+M213+R213+W213+AB213</f>
        <v>0</v>
      </c>
    </row>
    <row r="214" spans="1:30" ht="13.2" thickBot="1" x14ac:dyDescent="0.25">
      <c r="A214" s="789"/>
      <c r="B214" s="790"/>
      <c r="C214" s="420" t="s">
        <v>253</v>
      </c>
      <c r="D214" s="436">
        <f t="shared" ref="D214:AC214" si="94">SUM(D210:D213)</f>
        <v>0</v>
      </c>
      <c r="E214" s="437">
        <f t="shared" si="94"/>
        <v>0</v>
      </c>
      <c r="F214" s="437">
        <f t="shared" si="94"/>
        <v>0</v>
      </c>
      <c r="G214" s="437">
        <f t="shared" si="94"/>
        <v>0</v>
      </c>
      <c r="H214" s="438">
        <f t="shared" si="94"/>
        <v>0</v>
      </c>
      <c r="I214" s="436">
        <f t="shared" si="94"/>
        <v>0</v>
      </c>
      <c r="J214" s="437">
        <f t="shared" si="94"/>
        <v>0</v>
      </c>
      <c r="K214" s="437">
        <f t="shared" si="94"/>
        <v>0</v>
      </c>
      <c r="L214" s="437">
        <f t="shared" si="94"/>
        <v>0</v>
      </c>
      <c r="M214" s="438">
        <f t="shared" si="94"/>
        <v>0</v>
      </c>
      <c r="N214" s="436">
        <f t="shared" si="94"/>
        <v>0</v>
      </c>
      <c r="O214" s="437">
        <f t="shared" si="94"/>
        <v>0</v>
      </c>
      <c r="P214" s="437">
        <f t="shared" si="94"/>
        <v>0</v>
      </c>
      <c r="Q214" s="437">
        <f t="shared" si="94"/>
        <v>0</v>
      </c>
      <c r="R214" s="438">
        <f t="shared" si="94"/>
        <v>0</v>
      </c>
      <c r="S214" s="436">
        <f t="shared" si="94"/>
        <v>0</v>
      </c>
      <c r="T214" s="437">
        <f t="shared" si="94"/>
        <v>0</v>
      </c>
      <c r="U214" s="437">
        <f t="shared" si="94"/>
        <v>0</v>
      </c>
      <c r="V214" s="437">
        <f t="shared" si="94"/>
        <v>0</v>
      </c>
      <c r="W214" s="438">
        <f t="shared" si="94"/>
        <v>0</v>
      </c>
      <c r="X214" s="436">
        <f t="shared" si="94"/>
        <v>0</v>
      </c>
      <c r="Y214" s="437">
        <f t="shared" si="94"/>
        <v>0</v>
      </c>
      <c r="Z214" s="437">
        <f t="shared" si="94"/>
        <v>0</v>
      </c>
      <c r="AA214" s="437">
        <f t="shared" si="94"/>
        <v>0</v>
      </c>
      <c r="AB214" s="438">
        <f t="shared" si="94"/>
        <v>0</v>
      </c>
      <c r="AC214" s="438">
        <f t="shared" si="94"/>
        <v>0</v>
      </c>
    </row>
    <row r="215" spans="1:30" ht="13.2" thickBot="1" x14ac:dyDescent="0.25">
      <c r="A215" s="789"/>
      <c r="B215" s="790"/>
      <c r="C215" s="416" t="s">
        <v>139</v>
      </c>
      <c r="D215" s="433">
        <f t="shared" ref="D215:AC215" si="95">D209+D214</f>
        <v>344000</v>
      </c>
      <c r="E215" s="434">
        <f t="shared" si="95"/>
        <v>1032000</v>
      </c>
      <c r="F215" s="434">
        <f t="shared" si="95"/>
        <v>1032000</v>
      </c>
      <c r="G215" s="434">
        <f t="shared" si="95"/>
        <v>1032000</v>
      </c>
      <c r="H215" s="435">
        <f t="shared" si="95"/>
        <v>3440000</v>
      </c>
      <c r="I215" s="433">
        <f t="shared" si="95"/>
        <v>902400</v>
      </c>
      <c r="J215" s="434">
        <f t="shared" si="95"/>
        <v>902400</v>
      </c>
      <c r="K215" s="434">
        <f t="shared" si="95"/>
        <v>902400</v>
      </c>
      <c r="L215" s="434">
        <f t="shared" si="95"/>
        <v>940800</v>
      </c>
      <c r="M215" s="435">
        <f t="shared" si="95"/>
        <v>3648000</v>
      </c>
      <c r="N215" s="433">
        <f t="shared" si="95"/>
        <v>765000</v>
      </c>
      <c r="O215" s="434">
        <f t="shared" si="95"/>
        <v>765000</v>
      </c>
      <c r="P215" s="434">
        <f t="shared" si="95"/>
        <v>765000</v>
      </c>
      <c r="Q215" s="434">
        <f t="shared" si="95"/>
        <v>765000</v>
      </c>
      <c r="R215" s="435">
        <f t="shared" si="95"/>
        <v>3060000</v>
      </c>
      <c r="S215" s="433">
        <f t="shared" si="95"/>
        <v>320000</v>
      </c>
      <c r="T215" s="434">
        <f t="shared" si="95"/>
        <v>320000</v>
      </c>
      <c r="U215" s="434">
        <f t="shared" si="95"/>
        <v>320000</v>
      </c>
      <c r="V215" s="434">
        <f t="shared" si="95"/>
        <v>320000</v>
      </c>
      <c r="W215" s="435">
        <f t="shared" si="95"/>
        <v>1280000</v>
      </c>
      <c r="X215" s="433">
        <f t="shared" si="95"/>
        <v>0</v>
      </c>
      <c r="Y215" s="434">
        <f t="shared" si="95"/>
        <v>0</v>
      </c>
      <c r="Z215" s="434">
        <f t="shared" si="95"/>
        <v>0</v>
      </c>
      <c r="AA215" s="434">
        <f t="shared" si="95"/>
        <v>0</v>
      </c>
      <c r="AB215" s="435">
        <f t="shared" si="95"/>
        <v>0</v>
      </c>
      <c r="AC215" s="435">
        <f t="shared" si="95"/>
        <v>11428000</v>
      </c>
      <c r="AD215" s="8"/>
    </row>
    <row r="216" spans="1:30" x14ac:dyDescent="0.2">
      <c r="A216" s="789"/>
      <c r="B216" s="790"/>
      <c r="C216" s="240" t="s">
        <v>413</v>
      </c>
      <c r="D216" s="238">
        <f>D215</f>
        <v>344000</v>
      </c>
      <c r="E216" s="238">
        <f>E215</f>
        <v>1032000</v>
      </c>
      <c r="F216" s="238">
        <f>F215</f>
        <v>1032000</v>
      </c>
      <c r="G216" s="238">
        <f>G215</f>
        <v>1032000</v>
      </c>
      <c r="H216" s="220">
        <f>SUM(D216:G216)</f>
        <v>3440000</v>
      </c>
      <c r="I216" s="238">
        <f>I215</f>
        <v>902400</v>
      </c>
      <c r="J216" s="238">
        <f>J215</f>
        <v>902400</v>
      </c>
      <c r="K216" s="238">
        <f>K215</f>
        <v>902400</v>
      </c>
      <c r="L216" s="238">
        <f>L215</f>
        <v>940800</v>
      </c>
      <c r="M216" s="220">
        <f>SUM(I216:L216)</f>
        <v>3648000</v>
      </c>
      <c r="N216" s="238">
        <f>N215</f>
        <v>765000</v>
      </c>
      <c r="O216" s="238">
        <f>O215</f>
        <v>765000</v>
      </c>
      <c r="P216" s="238">
        <f>P215</f>
        <v>765000</v>
      </c>
      <c r="Q216" s="238">
        <f>Q215</f>
        <v>765000</v>
      </c>
      <c r="R216" s="220">
        <f>SUM(N216:Q216)</f>
        <v>3060000</v>
      </c>
      <c r="S216" s="238">
        <f>S215</f>
        <v>320000</v>
      </c>
      <c r="T216" s="238">
        <f>T215</f>
        <v>320000</v>
      </c>
      <c r="U216" s="238">
        <f>U215</f>
        <v>320000</v>
      </c>
      <c r="V216" s="238">
        <f>V215</f>
        <v>320000</v>
      </c>
      <c r="W216" s="220">
        <f>SUM(S216:V216)</f>
        <v>1280000</v>
      </c>
      <c r="X216" s="238">
        <f>X215</f>
        <v>0</v>
      </c>
      <c r="Y216" s="238">
        <f>Y215</f>
        <v>0</v>
      </c>
      <c r="Z216" s="238">
        <f>Z215</f>
        <v>0</v>
      </c>
      <c r="AA216" s="238">
        <f>AA215</f>
        <v>0</v>
      </c>
      <c r="AB216" s="242">
        <f>SUM(X216:AA216)</f>
        <v>0</v>
      </c>
      <c r="AC216" s="244">
        <f>H216+M216+R216+W216+AB216</f>
        <v>11428000</v>
      </c>
      <c r="AD216" s="8"/>
    </row>
    <row r="217" spans="1:30" ht="13.2" thickBot="1" x14ac:dyDescent="0.25">
      <c r="A217" s="789"/>
      <c r="B217" s="791"/>
      <c r="C217" s="415" t="s">
        <v>391</v>
      </c>
      <c r="D217" s="239">
        <f>D215-D216</f>
        <v>0</v>
      </c>
      <c r="E217" s="236">
        <f>E215-E216</f>
        <v>0</v>
      </c>
      <c r="F217" s="236">
        <f>F215-F216</f>
        <v>0</v>
      </c>
      <c r="G217" s="236">
        <f>G215-G216</f>
        <v>0</v>
      </c>
      <c r="H217" s="237">
        <f>SUM(D217:G217)</f>
        <v>0</v>
      </c>
      <c r="I217" s="239">
        <f>I215-I216</f>
        <v>0</v>
      </c>
      <c r="J217" s="236">
        <f>J215-J216</f>
        <v>0</v>
      </c>
      <c r="K217" s="236">
        <f>K215-K216</f>
        <v>0</v>
      </c>
      <c r="L217" s="236">
        <f>L215-L216</f>
        <v>0</v>
      </c>
      <c r="M217" s="237">
        <f>SUM(I217:L217)</f>
        <v>0</v>
      </c>
      <c r="N217" s="239">
        <f>N215-N216</f>
        <v>0</v>
      </c>
      <c r="O217" s="236">
        <f>O215-O216</f>
        <v>0</v>
      </c>
      <c r="P217" s="236">
        <f>P215-P216</f>
        <v>0</v>
      </c>
      <c r="Q217" s="236">
        <f>Q215-Q216</f>
        <v>0</v>
      </c>
      <c r="R217" s="237">
        <f>SUM(N217:Q217)</f>
        <v>0</v>
      </c>
      <c r="S217" s="239">
        <f>S215-S216</f>
        <v>0</v>
      </c>
      <c r="T217" s="236">
        <f>T215-T216</f>
        <v>0</v>
      </c>
      <c r="U217" s="236">
        <f>U215-U216</f>
        <v>0</v>
      </c>
      <c r="V217" s="236">
        <f>V215-V216</f>
        <v>0</v>
      </c>
      <c r="W217" s="237">
        <f>SUM(S217:V217)</f>
        <v>0</v>
      </c>
      <c r="X217" s="239">
        <f>X215-X216</f>
        <v>0</v>
      </c>
      <c r="Y217" s="236">
        <f>Y215-Y216</f>
        <v>0</v>
      </c>
      <c r="Z217" s="236">
        <f>Z215-Z216</f>
        <v>0</v>
      </c>
      <c r="AA217" s="236">
        <f>AA215-AA216</f>
        <v>0</v>
      </c>
      <c r="AB217" s="243">
        <f>SUM(X217:AA217)</f>
        <v>0</v>
      </c>
      <c r="AC217" s="245">
        <f>H217+M217+R217+W217+AB217</f>
        <v>0</v>
      </c>
      <c r="AD217" s="8"/>
    </row>
    <row r="218" spans="1:30" ht="13.05" customHeight="1" x14ac:dyDescent="0.2">
      <c r="A218" s="789"/>
      <c r="B218" s="764" t="s">
        <v>183</v>
      </c>
      <c r="C218" s="206" t="str">
        <f>C$3</f>
        <v>Liftoil</v>
      </c>
      <c r="D218" s="246">
        <f>D209</f>
        <v>344000</v>
      </c>
      <c r="E218" s="247">
        <f t="shared" ref="E218:G222" si="96">D218+E209</f>
        <v>1376000</v>
      </c>
      <c r="F218" s="247">
        <f t="shared" si="96"/>
        <v>2408000</v>
      </c>
      <c r="G218" s="247">
        <f t="shared" si="96"/>
        <v>3440000</v>
      </c>
      <c r="H218" s="252">
        <f>G218</f>
        <v>3440000</v>
      </c>
      <c r="I218" s="247">
        <f t="shared" ref="I218:L222" si="97">H218+I209</f>
        <v>4342400</v>
      </c>
      <c r="J218" s="247">
        <f t="shared" si="97"/>
        <v>5244800</v>
      </c>
      <c r="K218" s="247">
        <f t="shared" si="97"/>
        <v>6147200</v>
      </c>
      <c r="L218" s="247">
        <f t="shared" si="97"/>
        <v>7088000</v>
      </c>
      <c r="M218" s="252">
        <f>L218</f>
        <v>7088000</v>
      </c>
      <c r="N218" s="247">
        <f t="shared" ref="N218:Q222" si="98">M218+N209</f>
        <v>7853000</v>
      </c>
      <c r="O218" s="247">
        <f t="shared" si="98"/>
        <v>8618000</v>
      </c>
      <c r="P218" s="247">
        <f t="shared" si="98"/>
        <v>9383000</v>
      </c>
      <c r="Q218" s="247">
        <f t="shared" si="98"/>
        <v>10148000</v>
      </c>
      <c r="R218" s="252">
        <f>Q218</f>
        <v>10148000</v>
      </c>
      <c r="S218" s="247">
        <f t="shared" ref="S218:V222" si="99">R218+S209</f>
        <v>10468000</v>
      </c>
      <c r="T218" s="247">
        <f t="shared" si="99"/>
        <v>10788000</v>
      </c>
      <c r="U218" s="247">
        <f t="shared" si="99"/>
        <v>11108000</v>
      </c>
      <c r="V218" s="247">
        <f t="shared" si="99"/>
        <v>11428000</v>
      </c>
      <c r="W218" s="252">
        <f>V218</f>
        <v>11428000</v>
      </c>
      <c r="X218" s="247">
        <f t="shared" ref="X218:AA222" si="100">W218+X209</f>
        <v>11428000</v>
      </c>
      <c r="Y218" s="247">
        <f t="shared" si="100"/>
        <v>11428000</v>
      </c>
      <c r="Z218" s="247">
        <f t="shared" si="100"/>
        <v>11428000</v>
      </c>
      <c r="AA218" s="247">
        <f t="shared" si="100"/>
        <v>11428000</v>
      </c>
      <c r="AB218" s="252">
        <f t="shared" ref="AB218:AC222" si="101">AA218</f>
        <v>11428000</v>
      </c>
      <c r="AC218" s="233">
        <f t="shared" si="101"/>
        <v>11428000</v>
      </c>
      <c r="AD218" s="8"/>
    </row>
    <row r="219" spans="1:30" ht="13.05" customHeight="1" x14ac:dyDescent="0.2">
      <c r="A219" s="789"/>
      <c r="B219" s="765"/>
      <c r="C219" s="275" t="str">
        <f>C$4</f>
        <v>USA Canada</v>
      </c>
      <c r="D219" s="288">
        <f>D210</f>
        <v>0</v>
      </c>
      <c r="E219" s="289">
        <f t="shared" si="96"/>
        <v>0</v>
      </c>
      <c r="F219" s="289">
        <f t="shared" si="96"/>
        <v>0</v>
      </c>
      <c r="G219" s="289">
        <f t="shared" si="96"/>
        <v>0</v>
      </c>
      <c r="H219" s="253">
        <f>G219</f>
        <v>0</v>
      </c>
      <c r="I219" s="249">
        <f t="shared" si="97"/>
        <v>0</v>
      </c>
      <c r="J219" s="249">
        <f t="shared" si="97"/>
        <v>0</v>
      </c>
      <c r="K219" s="249">
        <f t="shared" si="97"/>
        <v>0</v>
      </c>
      <c r="L219" s="249">
        <f t="shared" si="97"/>
        <v>0</v>
      </c>
      <c r="M219" s="253">
        <f>L219</f>
        <v>0</v>
      </c>
      <c r="N219" s="249">
        <f t="shared" si="98"/>
        <v>0</v>
      </c>
      <c r="O219" s="249">
        <f t="shared" si="98"/>
        <v>0</v>
      </c>
      <c r="P219" s="249">
        <f t="shared" si="98"/>
        <v>0</v>
      </c>
      <c r="Q219" s="249">
        <f t="shared" si="98"/>
        <v>0</v>
      </c>
      <c r="R219" s="253">
        <f>Q219</f>
        <v>0</v>
      </c>
      <c r="S219" s="249">
        <f t="shared" si="99"/>
        <v>0</v>
      </c>
      <c r="T219" s="249">
        <f t="shared" si="99"/>
        <v>0</v>
      </c>
      <c r="U219" s="249">
        <f t="shared" si="99"/>
        <v>0</v>
      </c>
      <c r="V219" s="249">
        <f t="shared" si="99"/>
        <v>0</v>
      </c>
      <c r="W219" s="253">
        <f>V219</f>
        <v>0</v>
      </c>
      <c r="X219" s="249">
        <f t="shared" si="100"/>
        <v>0</v>
      </c>
      <c r="Y219" s="249">
        <f t="shared" si="100"/>
        <v>0</v>
      </c>
      <c r="Z219" s="249">
        <f t="shared" si="100"/>
        <v>0</v>
      </c>
      <c r="AA219" s="249">
        <f t="shared" si="100"/>
        <v>0</v>
      </c>
      <c r="AB219" s="253">
        <f t="shared" si="101"/>
        <v>0</v>
      </c>
      <c r="AC219" s="234">
        <f t="shared" si="101"/>
        <v>0</v>
      </c>
      <c r="AD219" s="8"/>
    </row>
    <row r="220" spans="1:30" x14ac:dyDescent="0.2">
      <c r="A220" s="789"/>
      <c r="B220" s="765"/>
      <c r="C220" s="207" t="str">
        <f>C$5</f>
        <v>Europe</v>
      </c>
      <c r="D220" s="248">
        <f>D211</f>
        <v>0</v>
      </c>
      <c r="E220" s="249">
        <f t="shared" si="96"/>
        <v>0</v>
      </c>
      <c r="F220" s="249">
        <f t="shared" si="96"/>
        <v>0</v>
      </c>
      <c r="G220" s="249">
        <f t="shared" si="96"/>
        <v>0</v>
      </c>
      <c r="H220" s="253">
        <f>G220</f>
        <v>0</v>
      </c>
      <c r="I220" s="249">
        <f t="shared" si="97"/>
        <v>0</v>
      </c>
      <c r="J220" s="249">
        <f t="shared" si="97"/>
        <v>0</v>
      </c>
      <c r="K220" s="249">
        <f t="shared" si="97"/>
        <v>0</v>
      </c>
      <c r="L220" s="249">
        <f t="shared" si="97"/>
        <v>0</v>
      </c>
      <c r="M220" s="253">
        <f>L220</f>
        <v>0</v>
      </c>
      <c r="N220" s="249">
        <f t="shared" si="98"/>
        <v>0</v>
      </c>
      <c r="O220" s="249">
        <f t="shared" si="98"/>
        <v>0</v>
      </c>
      <c r="P220" s="249">
        <f t="shared" si="98"/>
        <v>0</v>
      </c>
      <c r="Q220" s="249">
        <f t="shared" si="98"/>
        <v>0</v>
      </c>
      <c r="R220" s="253">
        <f>Q220</f>
        <v>0</v>
      </c>
      <c r="S220" s="249">
        <f t="shared" si="99"/>
        <v>0</v>
      </c>
      <c r="T220" s="249">
        <f t="shared" si="99"/>
        <v>0</v>
      </c>
      <c r="U220" s="249">
        <f t="shared" si="99"/>
        <v>0</v>
      </c>
      <c r="V220" s="249">
        <f t="shared" si="99"/>
        <v>0</v>
      </c>
      <c r="W220" s="253">
        <f>V220</f>
        <v>0</v>
      </c>
      <c r="X220" s="249">
        <f t="shared" si="100"/>
        <v>0</v>
      </c>
      <c r="Y220" s="249">
        <f t="shared" si="100"/>
        <v>0</v>
      </c>
      <c r="Z220" s="249">
        <f t="shared" si="100"/>
        <v>0</v>
      </c>
      <c r="AA220" s="249">
        <f t="shared" si="100"/>
        <v>0</v>
      </c>
      <c r="AB220" s="253">
        <f t="shared" si="101"/>
        <v>0</v>
      </c>
      <c r="AC220" s="234">
        <f t="shared" si="101"/>
        <v>0</v>
      </c>
      <c r="AD220" s="8"/>
    </row>
    <row r="221" spans="1:30" x14ac:dyDescent="0.2">
      <c r="A221" s="789"/>
      <c r="B221" s="765"/>
      <c r="C221" s="207" t="str">
        <f>C$6</f>
        <v>Africa</v>
      </c>
      <c r="D221" s="248">
        <f>D212</f>
        <v>0</v>
      </c>
      <c r="E221" s="249">
        <f t="shared" si="96"/>
        <v>0</v>
      </c>
      <c r="F221" s="249">
        <f t="shared" si="96"/>
        <v>0</v>
      </c>
      <c r="G221" s="249">
        <f t="shared" si="96"/>
        <v>0</v>
      </c>
      <c r="H221" s="253">
        <f>G221</f>
        <v>0</v>
      </c>
      <c r="I221" s="249">
        <f t="shared" si="97"/>
        <v>0</v>
      </c>
      <c r="J221" s="249">
        <f t="shared" si="97"/>
        <v>0</v>
      </c>
      <c r="K221" s="249">
        <f t="shared" si="97"/>
        <v>0</v>
      </c>
      <c r="L221" s="249">
        <f t="shared" si="97"/>
        <v>0</v>
      </c>
      <c r="M221" s="253">
        <f>L221</f>
        <v>0</v>
      </c>
      <c r="N221" s="249">
        <f t="shared" si="98"/>
        <v>0</v>
      </c>
      <c r="O221" s="249">
        <f t="shared" si="98"/>
        <v>0</v>
      </c>
      <c r="P221" s="249">
        <f t="shared" si="98"/>
        <v>0</v>
      </c>
      <c r="Q221" s="249">
        <f t="shared" si="98"/>
        <v>0</v>
      </c>
      <c r="R221" s="253">
        <f>Q221</f>
        <v>0</v>
      </c>
      <c r="S221" s="249">
        <f t="shared" si="99"/>
        <v>0</v>
      </c>
      <c r="T221" s="249">
        <f t="shared" si="99"/>
        <v>0</v>
      </c>
      <c r="U221" s="249">
        <f t="shared" si="99"/>
        <v>0</v>
      </c>
      <c r="V221" s="249">
        <f t="shared" si="99"/>
        <v>0</v>
      </c>
      <c r="W221" s="253">
        <f>V221</f>
        <v>0</v>
      </c>
      <c r="X221" s="249">
        <f t="shared" si="100"/>
        <v>0</v>
      </c>
      <c r="Y221" s="249">
        <f t="shared" si="100"/>
        <v>0</v>
      </c>
      <c r="Z221" s="249">
        <f t="shared" si="100"/>
        <v>0</v>
      </c>
      <c r="AA221" s="249">
        <f t="shared" si="100"/>
        <v>0</v>
      </c>
      <c r="AB221" s="253">
        <f t="shared" si="101"/>
        <v>0</v>
      </c>
      <c r="AC221" s="234">
        <f t="shared" si="101"/>
        <v>0</v>
      </c>
      <c r="AD221" s="8"/>
    </row>
    <row r="222" spans="1:30" ht="13.2" thickBot="1" x14ac:dyDescent="0.25">
      <c r="A222" s="789"/>
      <c r="B222" s="765"/>
      <c r="C222" s="208" t="str">
        <f>C$7</f>
        <v>Asia</v>
      </c>
      <c r="D222" s="250">
        <f>D213</f>
        <v>0</v>
      </c>
      <c r="E222" s="251">
        <f t="shared" si="96"/>
        <v>0</v>
      </c>
      <c r="F222" s="251">
        <f t="shared" si="96"/>
        <v>0</v>
      </c>
      <c r="G222" s="251">
        <f t="shared" si="96"/>
        <v>0</v>
      </c>
      <c r="H222" s="254">
        <f>G222</f>
        <v>0</v>
      </c>
      <c r="I222" s="251">
        <f t="shared" si="97"/>
        <v>0</v>
      </c>
      <c r="J222" s="251">
        <f t="shared" si="97"/>
        <v>0</v>
      </c>
      <c r="K222" s="251">
        <f t="shared" si="97"/>
        <v>0</v>
      </c>
      <c r="L222" s="251">
        <f t="shared" si="97"/>
        <v>0</v>
      </c>
      <c r="M222" s="254">
        <f>L222</f>
        <v>0</v>
      </c>
      <c r="N222" s="251">
        <f t="shared" si="98"/>
        <v>0</v>
      </c>
      <c r="O222" s="251">
        <f t="shared" si="98"/>
        <v>0</v>
      </c>
      <c r="P222" s="251">
        <f t="shared" si="98"/>
        <v>0</v>
      </c>
      <c r="Q222" s="251">
        <f t="shared" si="98"/>
        <v>0</v>
      </c>
      <c r="R222" s="254">
        <f>Q222</f>
        <v>0</v>
      </c>
      <c r="S222" s="251">
        <f t="shared" si="99"/>
        <v>0</v>
      </c>
      <c r="T222" s="251">
        <f t="shared" si="99"/>
        <v>0</v>
      </c>
      <c r="U222" s="251">
        <f t="shared" si="99"/>
        <v>0</v>
      </c>
      <c r="V222" s="251">
        <f t="shared" si="99"/>
        <v>0</v>
      </c>
      <c r="W222" s="254">
        <f>V222</f>
        <v>0</v>
      </c>
      <c r="X222" s="251">
        <f t="shared" si="100"/>
        <v>0</v>
      </c>
      <c r="Y222" s="251">
        <f t="shared" si="100"/>
        <v>0</v>
      </c>
      <c r="Z222" s="251">
        <f t="shared" si="100"/>
        <v>0</v>
      </c>
      <c r="AA222" s="251">
        <f t="shared" si="100"/>
        <v>0</v>
      </c>
      <c r="AB222" s="254">
        <f t="shared" si="101"/>
        <v>0</v>
      </c>
      <c r="AC222" s="235">
        <f t="shared" si="101"/>
        <v>0</v>
      </c>
      <c r="AD222" s="8"/>
    </row>
    <row r="223" spans="1:30" ht="13.2" thickBot="1" x14ac:dyDescent="0.25">
      <c r="A223" s="789"/>
      <c r="B223" s="765"/>
      <c r="C223" s="420" t="s">
        <v>253</v>
      </c>
      <c r="D223" s="436">
        <f t="shared" ref="D223:AC223" si="102">SUM(D219:D222)</f>
        <v>0</v>
      </c>
      <c r="E223" s="437">
        <f t="shared" si="102"/>
        <v>0</v>
      </c>
      <c r="F223" s="437">
        <f t="shared" si="102"/>
        <v>0</v>
      </c>
      <c r="G223" s="437">
        <f t="shared" si="102"/>
        <v>0</v>
      </c>
      <c r="H223" s="438">
        <f t="shared" si="102"/>
        <v>0</v>
      </c>
      <c r="I223" s="436">
        <f t="shared" si="102"/>
        <v>0</v>
      </c>
      <c r="J223" s="437">
        <f t="shared" si="102"/>
        <v>0</v>
      </c>
      <c r="K223" s="437">
        <f t="shared" si="102"/>
        <v>0</v>
      </c>
      <c r="L223" s="437">
        <f t="shared" si="102"/>
        <v>0</v>
      </c>
      <c r="M223" s="438">
        <f t="shared" si="102"/>
        <v>0</v>
      </c>
      <c r="N223" s="436">
        <f t="shared" si="102"/>
        <v>0</v>
      </c>
      <c r="O223" s="437">
        <f t="shared" si="102"/>
        <v>0</v>
      </c>
      <c r="P223" s="437">
        <f t="shared" si="102"/>
        <v>0</v>
      </c>
      <c r="Q223" s="437">
        <f t="shared" si="102"/>
        <v>0</v>
      </c>
      <c r="R223" s="438">
        <f t="shared" si="102"/>
        <v>0</v>
      </c>
      <c r="S223" s="436">
        <f t="shared" si="102"/>
        <v>0</v>
      </c>
      <c r="T223" s="437">
        <f t="shared" si="102"/>
        <v>0</v>
      </c>
      <c r="U223" s="437">
        <f t="shared" si="102"/>
        <v>0</v>
      </c>
      <c r="V223" s="437">
        <f t="shared" si="102"/>
        <v>0</v>
      </c>
      <c r="W223" s="438">
        <f t="shared" si="102"/>
        <v>0</v>
      </c>
      <c r="X223" s="436">
        <f t="shared" si="102"/>
        <v>0</v>
      </c>
      <c r="Y223" s="437">
        <f t="shared" si="102"/>
        <v>0</v>
      </c>
      <c r="Z223" s="437">
        <f t="shared" si="102"/>
        <v>0</v>
      </c>
      <c r="AA223" s="437">
        <f t="shared" si="102"/>
        <v>0</v>
      </c>
      <c r="AB223" s="438">
        <f t="shared" si="102"/>
        <v>0</v>
      </c>
      <c r="AC223" s="438">
        <f t="shared" si="102"/>
        <v>0</v>
      </c>
      <c r="AD223" s="8"/>
    </row>
    <row r="224" spans="1:30" ht="13.2" thickBot="1" x14ac:dyDescent="0.25">
      <c r="A224" s="789"/>
      <c r="B224" s="766"/>
      <c r="C224" s="416" t="s">
        <v>139</v>
      </c>
      <c r="D224" s="433">
        <f t="shared" ref="D224:AC224" si="103">D218+D223</f>
        <v>344000</v>
      </c>
      <c r="E224" s="434">
        <f t="shared" si="103"/>
        <v>1376000</v>
      </c>
      <c r="F224" s="434">
        <f t="shared" si="103"/>
        <v>2408000</v>
      </c>
      <c r="G224" s="434">
        <f t="shared" si="103"/>
        <v>3440000</v>
      </c>
      <c r="H224" s="435">
        <f t="shared" si="103"/>
        <v>3440000</v>
      </c>
      <c r="I224" s="433">
        <f t="shared" si="103"/>
        <v>4342400</v>
      </c>
      <c r="J224" s="434">
        <f t="shared" si="103"/>
        <v>5244800</v>
      </c>
      <c r="K224" s="434">
        <f t="shared" si="103"/>
        <v>6147200</v>
      </c>
      <c r="L224" s="434">
        <f t="shared" si="103"/>
        <v>7088000</v>
      </c>
      <c r="M224" s="435">
        <f t="shared" si="103"/>
        <v>7088000</v>
      </c>
      <c r="N224" s="433">
        <f t="shared" si="103"/>
        <v>7853000</v>
      </c>
      <c r="O224" s="434">
        <f t="shared" si="103"/>
        <v>8618000</v>
      </c>
      <c r="P224" s="434">
        <f t="shared" si="103"/>
        <v>9383000</v>
      </c>
      <c r="Q224" s="434">
        <f t="shared" si="103"/>
        <v>10148000</v>
      </c>
      <c r="R224" s="435">
        <f t="shared" si="103"/>
        <v>10148000</v>
      </c>
      <c r="S224" s="433">
        <f t="shared" si="103"/>
        <v>10468000</v>
      </c>
      <c r="T224" s="434">
        <f t="shared" si="103"/>
        <v>10788000</v>
      </c>
      <c r="U224" s="434">
        <f t="shared" si="103"/>
        <v>11108000</v>
      </c>
      <c r="V224" s="434">
        <f t="shared" si="103"/>
        <v>11428000</v>
      </c>
      <c r="W224" s="435">
        <f t="shared" si="103"/>
        <v>11428000</v>
      </c>
      <c r="X224" s="433">
        <f t="shared" si="103"/>
        <v>11428000</v>
      </c>
      <c r="Y224" s="434">
        <f t="shared" si="103"/>
        <v>11428000</v>
      </c>
      <c r="Z224" s="434">
        <f t="shared" si="103"/>
        <v>11428000</v>
      </c>
      <c r="AA224" s="434">
        <f t="shared" si="103"/>
        <v>11428000</v>
      </c>
      <c r="AB224" s="435">
        <f t="shared" si="103"/>
        <v>11428000</v>
      </c>
      <c r="AC224" s="435">
        <f t="shared" si="103"/>
        <v>11428000</v>
      </c>
      <c r="AD224" s="8"/>
    </row>
    <row r="225" spans="1:30" ht="13.05" customHeight="1" x14ac:dyDescent="0.2">
      <c r="A225" s="789"/>
      <c r="B225" s="764" t="s">
        <v>389</v>
      </c>
      <c r="C225" s="206" t="str">
        <f>C$3</f>
        <v>Liftoil</v>
      </c>
      <c r="D225" s="218">
        <f>(D160*Parameters!$I6)</f>
        <v>19200</v>
      </c>
      <c r="E225" s="219">
        <f>(E160*Parameters!$I6)</f>
        <v>57600</v>
      </c>
      <c r="F225" s="219">
        <f>(F160*Parameters!$I6)</f>
        <v>57600</v>
      </c>
      <c r="G225" s="219">
        <f>(G160*Parameters!$I6)</f>
        <v>57600</v>
      </c>
      <c r="H225" s="220">
        <f>SUM(D225:G225)</f>
        <v>192000</v>
      </c>
      <c r="I225" s="218">
        <f>(I160*Parameters!$I6)</f>
        <v>56400</v>
      </c>
      <c r="J225" s="219">
        <f>(J160*Parameters!$I6)</f>
        <v>56400</v>
      </c>
      <c r="K225" s="219">
        <f>(K160*Parameters!$I6)</f>
        <v>56400</v>
      </c>
      <c r="L225" s="219">
        <f>(L160*Parameters!$I6)</f>
        <v>58800</v>
      </c>
      <c r="M225" s="220">
        <f>SUM(I225:L225)</f>
        <v>228000</v>
      </c>
      <c r="N225" s="218">
        <f>(N160*Parameters!$I6)</f>
        <v>54000</v>
      </c>
      <c r="O225" s="219">
        <f>(O160*Parameters!$I6)</f>
        <v>54000</v>
      </c>
      <c r="P225" s="219">
        <f>(P160*Parameters!$I6)</f>
        <v>54000</v>
      </c>
      <c r="Q225" s="219">
        <f>(Q160*Parameters!$I6)</f>
        <v>54000</v>
      </c>
      <c r="R225" s="220">
        <f>SUM(N225:Q225)</f>
        <v>216000</v>
      </c>
      <c r="S225" s="218">
        <f>(S160*Parameters!$I6)</f>
        <v>24000</v>
      </c>
      <c r="T225" s="219">
        <f>(T160*Parameters!$I6)</f>
        <v>24000</v>
      </c>
      <c r="U225" s="219">
        <f>(U160*Parameters!$I6)</f>
        <v>24000</v>
      </c>
      <c r="V225" s="219">
        <f>(V160*Parameters!$I6)</f>
        <v>24000</v>
      </c>
      <c r="W225" s="220">
        <f>SUM(S225:V225)</f>
        <v>96000</v>
      </c>
      <c r="X225" s="218">
        <f>(X160*Parameters!$I6)</f>
        <v>0</v>
      </c>
      <c r="Y225" s="219">
        <f>(Y160*Parameters!$I6)</f>
        <v>0</v>
      </c>
      <c r="Z225" s="219">
        <f>(Z160*Parameters!$I6)</f>
        <v>0</v>
      </c>
      <c r="AA225" s="219">
        <f>(AA160*Parameters!$I6)</f>
        <v>0</v>
      </c>
      <c r="AB225" s="220">
        <f>SUM(X225:AA225)</f>
        <v>0</v>
      </c>
      <c r="AC225" s="233">
        <f>H225+M225+R225+W225+AB225</f>
        <v>732000</v>
      </c>
      <c r="AD225" s="8"/>
    </row>
    <row r="226" spans="1:30" ht="13.05" customHeight="1" x14ac:dyDescent="0.2">
      <c r="A226" s="789"/>
      <c r="B226" s="765"/>
      <c r="C226" s="275" t="str">
        <f>C$4</f>
        <v>USA Canada</v>
      </c>
      <c r="D226" s="284">
        <f>(D161*Parameters!$I7)</f>
        <v>0</v>
      </c>
      <c r="E226" s="285">
        <f>(E161*Parameters!$I7)</f>
        <v>0</v>
      </c>
      <c r="F226" s="285">
        <f>(F161*Parameters!$I7)</f>
        <v>0</v>
      </c>
      <c r="G226" s="285">
        <f>(G161*Parameters!$I7)</f>
        <v>0</v>
      </c>
      <c r="H226" s="223">
        <f>SUM(D226:G226)</f>
        <v>0</v>
      </c>
      <c r="I226" s="284">
        <f>(I161*Parameters!$I7)</f>
        <v>0</v>
      </c>
      <c r="J226" s="285">
        <f>(J161*Parameters!$I7)</f>
        <v>0</v>
      </c>
      <c r="K226" s="285">
        <f>(K161*Parameters!$I7)</f>
        <v>0</v>
      </c>
      <c r="L226" s="285">
        <f>(L161*Parameters!$I7)</f>
        <v>0</v>
      </c>
      <c r="M226" s="223">
        <f>SUM(I226:L226)</f>
        <v>0</v>
      </c>
      <c r="N226" s="284">
        <f>(N161*Parameters!$I7)</f>
        <v>0</v>
      </c>
      <c r="O226" s="285">
        <f>(O161*Parameters!$I7)</f>
        <v>0</v>
      </c>
      <c r="P226" s="285">
        <f>(P161*Parameters!$I7)</f>
        <v>0</v>
      </c>
      <c r="Q226" s="285">
        <f>(Q161*Parameters!$I7)</f>
        <v>0</v>
      </c>
      <c r="R226" s="223">
        <f>SUM(N226:Q226)</f>
        <v>0</v>
      </c>
      <c r="S226" s="284">
        <f>(S161*Parameters!$I7)</f>
        <v>0</v>
      </c>
      <c r="T226" s="285">
        <f>(T161*Parameters!$I7)</f>
        <v>0</v>
      </c>
      <c r="U226" s="285">
        <f>(U161*Parameters!$I7)</f>
        <v>0</v>
      </c>
      <c r="V226" s="285">
        <f>(V161*Parameters!$I7)</f>
        <v>0</v>
      </c>
      <c r="W226" s="223">
        <f>SUM(S226:V226)</f>
        <v>0</v>
      </c>
      <c r="X226" s="284">
        <f>(X161*Parameters!$I7)</f>
        <v>0</v>
      </c>
      <c r="Y226" s="285">
        <f>(Y161*Parameters!$I7)</f>
        <v>0</v>
      </c>
      <c r="Z226" s="285">
        <f>(Z161*Parameters!$I7)</f>
        <v>0</v>
      </c>
      <c r="AA226" s="285">
        <f>(AA161*Parameters!$I7)</f>
        <v>0</v>
      </c>
      <c r="AB226" s="223">
        <f>SUM(X226:AA226)</f>
        <v>0</v>
      </c>
      <c r="AC226" s="234">
        <f>H226+M226+R226+W226+AB226</f>
        <v>0</v>
      </c>
      <c r="AD226" s="8"/>
    </row>
    <row r="227" spans="1:30" x14ac:dyDescent="0.2">
      <c r="A227" s="789"/>
      <c r="B227" s="765"/>
      <c r="C227" s="207" t="str">
        <f>C$5</f>
        <v>Europe</v>
      </c>
      <c r="D227" s="221">
        <f>(D162*Parameters!$I8)</f>
        <v>0</v>
      </c>
      <c r="E227" s="222">
        <f>(E162*Parameters!$I8)</f>
        <v>0</v>
      </c>
      <c r="F227" s="222">
        <f>(F162*Parameters!$I8)</f>
        <v>0</v>
      </c>
      <c r="G227" s="222">
        <f>(G162*Parameters!$I8)</f>
        <v>0</v>
      </c>
      <c r="H227" s="223">
        <f>SUM(D227:G227)</f>
        <v>0</v>
      </c>
      <c r="I227" s="221">
        <f>(I162*Parameters!$I8)</f>
        <v>0</v>
      </c>
      <c r="J227" s="222">
        <f>(J162*Parameters!$I8)</f>
        <v>0</v>
      </c>
      <c r="K227" s="222">
        <f>(K162*Parameters!$I8)</f>
        <v>0</v>
      </c>
      <c r="L227" s="222">
        <f>(L162*Parameters!$I8)</f>
        <v>0</v>
      </c>
      <c r="M227" s="223">
        <f>SUM(I227:L227)</f>
        <v>0</v>
      </c>
      <c r="N227" s="221">
        <f>(N162*Parameters!$I8)</f>
        <v>0</v>
      </c>
      <c r="O227" s="222">
        <f>(O162*Parameters!$I8)</f>
        <v>0</v>
      </c>
      <c r="P227" s="222">
        <f>(P162*Parameters!$I8)</f>
        <v>0</v>
      </c>
      <c r="Q227" s="222">
        <f>(Q162*Parameters!$I8)</f>
        <v>0</v>
      </c>
      <c r="R227" s="223">
        <f>SUM(N227:Q227)</f>
        <v>0</v>
      </c>
      <c r="S227" s="221">
        <f>(S162*Parameters!$I8)</f>
        <v>0</v>
      </c>
      <c r="T227" s="222">
        <f>(T162*Parameters!$I8)</f>
        <v>0</v>
      </c>
      <c r="U227" s="222">
        <f>(U162*Parameters!$I8)</f>
        <v>0</v>
      </c>
      <c r="V227" s="222">
        <f>(V162*Parameters!$I8)</f>
        <v>0</v>
      </c>
      <c r="W227" s="223">
        <f>SUM(S227:V227)</f>
        <v>0</v>
      </c>
      <c r="X227" s="221">
        <f>(X162*Parameters!$I8)</f>
        <v>0</v>
      </c>
      <c r="Y227" s="222">
        <f>(Y162*Parameters!$I8)</f>
        <v>0</v>
      </c>
      <c r="Z227" s="222">
        <f>(Z162*Parameters!$I8)</f>
        <v>0</v>
      </c>
      <c r="AA227" s="222">
        <f>(AA162*Parameters!$I8)</f>
        <v>0</v>
      </c>
      <c r="AB227" s="223">
        <f>SUM(X227:AA227)</f>
        <v>0</v>
      </c>
      <c r="AC227" s="234">
        <f>H227+M227+R227+W227+AB227</f>
        <v>0</v>
      </c>
      <c r="AD227" s="8"/>
    </row>
    <row r="228" spans="1:30" x14ac:dyDescent="0.2">
      <c r="A228" s="789"/>
      <c r="B228" s="765"/>
      <c r="C228" s="207" t="str">
        <f>C$6</f>
        <v>Africa</v>
      </c>
      <c r="D228" s="221">
        <f>(D163*Parameters!$I9)</f>
        <v>0</v>
      </c>
      <c r="E228" s="222">
        <f>(E163*Parameters!$I9)</f>
        <v>0</v>
      </c>
      <c r="F228" s="222">
        <f>(F163*Parameters!$I9)</f>
        <v>0</v>
      </c>
      <c r="G228" s="222">
        <f>(G163*Parameters!$I9)</f>
        <v>0</v>
      </c>
      <c r="H228" s="223">
        <f>SUM(D228:G228)</f>
        <v>0</v>
      </c>
      <c r="I228" s="221">
        <f>(I163*Parameters!$I9)</f>
        <v>0</v>
      </c>
      <c r="J228" s="222">
        <f>(J163*Parameters!$I9)</f>
        <v>0</v>
      </c>
      <c r="K228" s="222">
        <f>(K163*Parameters!$I9)</f>
        <v>0</v>
      </c>
      <c r="L228" s="222">
        <f>(L163*Parameters!$I9)</f>
        <v>0</v>
      </c>
      <c r="M228" s="223">
        <f>SUM(I228:L228)</f>
        <v>0</v>
      </c>
      <c r="N228" s="221">
        <f>(N163*Parameters!$I9)</f>
        <v>0</v>
      </c>
      <c r="O228" s="222">
        <f>(O163*Parameters!$I9)</f>
        <v>0</v>
      </c>
      <c r="P228" s="222">
        <f>(P163*Parameters!$I9)</f>
        <v>0</v>
      </c>
      <c r="Q228" s="222">
        <f>(Q163*Parameters!$I9)</f>
        <v>0</v>
      </c>
      <c r="R228" s="223">
        <f>SUM(N228:Q228)</f>
        <v>0</v>
      </c>
      <c r="S228" s="221">
        <f>(S163*Parameters!$I9)</f>
        <v>0</v>
      </c>
      <c r="T228" s="222">
        <f>(T163*Parameters!$I9)</f>
        <v>0</v>
      </c>
      <c r="U228" s="222">
        <f>(U163*Parameters!$I9)</f>
        <v>0</v>
      </c>
      <c r="V228" s="222">
        <f>(V163*Parameters!$I9)</f>
        <v>0</v>
      </c>
      <c r="W228" s="223">
        <f>SUM(S228:V228)</f>
        <v>0</v>
      </c>
      <c r="X228" s="221">
        <f>(X163*Parameters!$I9)</f>
        <v>0</v>
      </c>
      <c r="Y228" s="222">
        <f>(Y163*Parameters!$I9)</f>
        <v>0</v>
      </c>
      <c r="Z228" s="222">
        <f>(Z163*Parameters!$I9)</f>
        <v>0</v>
      </c>
      <c r="AA228" s="222">
        <f>(AA163*Parameters!$I9)</f>
        <v>0</v>
      </c>
      <c r="AB228" s="223">
        <f>SUM(X228:AA228)</f>
        <v>0</v>
      </c>
      <c r="AC228" s="234">
        <f>H228+M228+R228+W228+AB228</f>
        <v>0</v>
      </c>
      <c r="AD228" s="8"/>
    </row>
    <row r="229" spans="1:30" ht="13.2" thickBot="1" x14ac:dyDescent="0.25">
      <c r="A229" s="789"/>
      <c r="B229" s="765"/>
      <c r="C229" s="208" t="str">
        <f>C$7</f>
        <v>Asia</v>
      </c>
      <c r="D229" s="221">
        <f>(D164*Parameters!$I10)</f>
        <v>0</v>
      </c>
      <c r="E229" s="225">
        <f>(E164*Parameters!$I10)</f>
        <v>0</v>
      </c>
      <c r="F229" s="225">
        <f>(F164*Parameters!$I10)</f>
        <v>0</v>
      </c>
      <c r="G229" s="225">
        <f>(G164*Parameters!$I10)</f>
        <v>0</v>
      </c>
      <c r="H229" s="226">
        <f>SUM(D229:G229)</f>
        <v>0</v>
      </c>
      <c r="I229" s="221">
        <f>(I164*Parameters!$I10)</f>
        <v>0</v>
      </c>
      <c r="J229" s="225">
        <f>(J164*Parameters!$I10)</f>
        <v>0</v>
      </c>
      <c r="K229" s="225">
        <f>(K164*Parameters!$I10)</f>
        <v>0</v>
      </c>
      <c r="L229" s="225">
        <f>(L164*Parameters!$I10)</f>
        <v>0</v>
      </c>
      <c r="M229" s="226">
        <f>SUM(I229:L229)</f>
        <v>0</v>
      </c>
      <c r="N229" s="221">
        <f>(N164*Parameters!$I10)</f>
        <v>0</v>
      </c>
      <c r="O229" s="225">
        <f>(O164*Parameters!$I10)</f>
        <v>0</v>
      </c>
      <c r="P229" s="225">
        <f>(P164*Parameters!$I10)</f>
        <v>0</v>
      </c>
      <c r="Q229" s="225">
        <f>(Q164*Parameters!$I10)</f>
        <v>0</v>
      </c>
      <c r="R229" s="226">
        <f>SUM(N229:Q229)</f>
        <v>0</v>
      </c>
      <c r="S229" s="221">
        <f>(S164*Parameters!$I10)</f>
        <v>0</v>
      </c>
      <c r="T229" s="225">
        <f>(T164*Parameters!$I10)</f>
        <v>0</v>
      </c>
      <c r="U229" s="225">
        <f>(U164*Parameters!$I10)</f>
        <v>0</v>
      </c>
      <c r="V229" s="225">
        <f>(V164*Parameters!$I10)</f>
        <v>0</v>
      </c>
      <c r="W229" s="226">
        <f>SUM(S229:V229)</f>
        <v>0</v>
      </c>
      <c r="X229" s="221">
        <f>(X164*Parameters!$I10)</f>
        <v>0</v>
      </c>
      <c r="Y229" s="225">
        <f>(Y164*Parameters!$I10)</f>
        <v>0</v>
      </c>
      <c r="Z229" s="225">
        <f>(Z164*Parameters!$I10)</f>
        <v>0</v>
      </c>
      <c r="AA229" s="225">
        <f>(AA164*Parameters!$I10)</f>
        <v>0</v>
      </c>
      <c r="AB229" s="226">
        <f>SUM(X229:AA229)</f>
        <v>0</v>
      </c>
      <c r="AC229" s="235">
        <f>H229+M229+R229+W229+AB229</f>
        <v>0</v>
      </c>
    </row>
    <row r="230" spans="1:30" ht="13.2" thickBot="1" x14ac:dyDescent="0.25">
      <c r="A230" s="789"/>
      <c r="B230" s="765"/>
      <c r="C230" s="420" t="s">
        <v>253</v>
      </c>
      <c r="D230" s="436">
        <f t="shared" ref="D230:AC230" si="104">SUM(D226:D229)</f>
        <v>0</v>
      </c>
      <c r="E230" s="437">
        <f t="shared" si="104"/>
        <v>0</v>
      </c>
      <c r="F230" s="437">
        <f t="shared" si="104"/>
        <v>0</v>
      </c>
      <c r="G230" s="437">
        <f t="shared" si="104"/>
        <v>0</v>
      </c>
      <c r="H230" s="438">
        <f t="shared" si="104"/>
        <v>0</v>
      </c>
      <c r="I230" s="436">
        <f t="shared" si="104"/>
        <v>0</v>
      </c>
      <c r="J230" s="437">
        <f t="shared" si="104"/>
        <v>0</v>
      </c>
      <c r="K230" s="437">
        <f t="shared" si="104"/>
        <v>0</v>
      </c>
      <c r="L230" s="437">
        <f t="shared" si="104"/>
        <v>0</v>
      </c>
      <c r="M230" s="438">
        <f t="shared" si="104"/>
        <v>0</v>
      </c>
      <c r="N230" s="436">
        <f t="shared" si="104"/>
        <v>0</v>
      </c>
      <c r="O230" s="437">
        <f t="shared" si="104"/>
        <v>0</v>
      </c>
      <c r="P230" s="437">
        <f t="shared" si="104"/>
        <v>0</v>
      </c>
      <c r="Q230" s="437">
        <f t="shared" si="104"/>
        <v>0</v>
      </c>
      <c r="R230" s="438">
        <f t="shared" si="104"/>
        <v>0</v>
      </c>
      <c r="S230" s="436">
        <f t="shared" si="104"/>
        <v>0</v>
      </c>
      <c r="T230" s="437">
        <f t="shared" si="104"/>
        <v>0</v>
      </c>
      <c r="U230" s="437">
        <f t="shared" si="104"/>
        <v>0</v>
      </c>
      <c r="V230" s="437">
        <f t="shared" si="104"/>
        <v>0</v>
      </c>
      <c r="W230" s="438">
        <f t="shared" si="104"/>
        <v>0</v>
      </c>
      <c r="X230" s="436">
        <f t="shared" si="104"/>
        <v>0</v>
      </c>
      <c r="Y230" s="437">
        <f t="shared" si="104"/>
        <v>0</v>
      </c>
      <c r="Z230" s="437">
        <f t="shared" si="104"/>
        <v>0</v>
      </c>
      <c r="AA230" s="437">
        <f t="shared" si="104"/>
        <v>0</v>
      </c>
      <c r="AB230" s="438">
        <f t="shared" si="104"/>
        <v>0</v>
      </c>
      <c r="AC230" s="438">
        <f t="shared" si="104"/>
        <v>0</v>
      </c>
    </row>
    <row r="231" spans="1:30" ht="13.2" thickBot="1" x14ac:dyDescent="0.25">
      <c r="A231" s="789"/>
      <c r="B231" s="766"/>
      <c r="C231" s="416" t="s">
        <v>139</v>
      </c>
      <c r="D231" s="433">
        <f t="shared" ref="D231:AC231" si="105">D225+D230</f>
        <v>19200</v>
      </c>
      <c r="E231" s="434">
        <f t="shared" si="105"/>
        <v>57600</v>
      </c>
      <c r="F231" s="434">
        <f t="shared" si="105"/>
        <v>57600</v>
      </c>
      <c r="G231" s="434">
        <f t="shared" si="105"/>
        <v>57600</v>
      </c>
      <c r="H231" s="435">
        <f t="shared" si="105"/>
        <v>192000</v>
      </c>
      <c r="I231" s="433">
        <f t="shared" si="105"/>
        <v>56400</v>
      </c>
      <c r="J231" s="434">
        <f t="shared" si="105"/>
        <v>56400</v>
      </c>
      <c r="K231" s="434">
        <f t="shared" si="105"/>
        <v>56400</v>
      </c>
      <c r="L231" s="434">
        <f t="shared" si="105"/>
        <v>58800</v>
      </c>
      <c r="M231" s="435">
        <f t="shared" si="105"/>
        <v>228000</v>
      </c>
      <c r="N231" s="433">
        <f t="shared" si="105"/>
        <v>54000</v>
      </c>
      <c r="O231" s="434">
        <f t="shared" si="105"/>
        <v>54000</v>
      </c>
      <c r="P231" s="434">
        <f t="shared" si="105"/>
        <v>54000</v>
      </c>
      <c r="Q231" s="434">
        <f t="shared" si="105"/>
        <v>54000</v>
      </c>
      <c r="R231" s="435">
        <f t="shared" si="105"/>
        <v>216000</v>
      </c>
      <c r="S231" s="433">
        <f t="shared" si="105"/>
        <v>24000</v>
      </c>
      <c r="T231" s="434">
        <f t="shared" si="105"/>
        <v>24000</v>
      </c>
      <c r="U231" s="434">
        <f t="shared" si="105"/>
        <v>24000</v>
      </c>
      <c r="V231" s="434">
        <f t="shared" si="105"/>
        <v>24000</v>
      </c>
      <c r="W231" s="435">
        <f t="shared" si="105"/>
        <v>96000</v>
      </c>
      <c r="X231" s="433">
        <f t="shared" si="105"/>
        <v>0</v>
      </c>
      <c r="Y231" s="434">
        <f t="shared" si="105"/>
        <v>0</v>
      </c>
      <c r="Z231" s="434">
        <f t="shared" si="105"/>
        <v>0</v>
      </c>
      <c r="AA231" s="434">
        <f t="shared" si="105"/>
        <v>0</v>
      </c>
      <c r="AB231" s="435">
        <f t="shared" si="105"/>
        <v>0</v>
      </c>
      <c r="AC231" s="435">
        <f t="shared" si="105"/>
        <v>732000</v>
      </c>
    </row>
    <row r="232" spans="1:30" ht="13.05" customHeight="1" x14ac:dyDescent="0.2">
      <c r="A232" s="789"/>
      <c r="B232" s="764" t="s">
        <v>304</v>
      </c>
      <c r="C232" s="206" t="str">
        <f>C$3</f>
        <v>Liftoil</v>
      </c>
      <c r="D232" s="218">
        <f>D181/(1+Parameters!$E14)</f>
        <v>0</v>
      </c>
      <c r="E232" s="219">
        <f>E181/(1+Parameters!$E14)</f>
        <v>6461.538461538461</v>
      </c>
      <c r="F232" s="219">
        <f>F181/(1+Parameters!$E14)</f>
        <v>25846.153846153844</v>
      </c>
      <c r="G232" s="219">
        <f>G181/(1+Parameters!$E14)</f>
        <v>45230.769230769227</v>
      </c>
      <c r="H232" s="220">
        <f>SUM(D232:G232)</f>
        <v>77538.461538461532</v>
      </c>
      <c r="I232" s="218">
        <f>I181/(1+Parameters!$E14)</f>
        <v>64615.38461538461</v>
      </c>
      <c r="J232" s="219">
        <f>J181/(1+Parameters!$E14)</f>
        <v>83596.153846153829</v>
      </c>
      <c r="K232" s="219">
        <f>K181/(1+Parameters!$E14)</f>
        <v>102576.92307692308</v>
      </c>
      <c r="L232" s="219">
        <f>L181/(1+Parameters!$E14)</f>
        <v>121557.6923076923</v>
      </c>
      <c r="M232" s="220">
        <f>SUM(I232:L232)</f>
        <v>372346.15384615381</v>
      </c>
      <c r="N232" s="218">
        <f>N181/(1+Parameters!$E14)</f>
        <v>141346.15384615381</v>
      </c>
      <c r="O232" s="219">
        <f>O181/(1+Parameters!$E14)</f>
        <v>159519.23076923075</v>
      </c>
      <c r="P232" s="219">
        <f>P181/(1+Parameters!$E14)</f>
        <v>177692.30769230769</v>
      </c>
      <c r="Q232" s="219">
        <f>Q181/(1+Parameters!$E14)</f>
        <v>195865.3846153846</v>
      </c>
      <c r="R232" s="220">
        <f>SUM(N232:Q232)</f>
        <v>674423.07692307688</v>
      </c>
      <c r="S232" s="218">
        <f>S181/(1+Parameters!$E14)</f>
        <v>214038.46153846153</v>
      </c>
      <c r="T232" s="219">
        <f>T181/(1+Parameters!$E14)</f>
        <v>222115.3846153846</v>
      </c>
      <c r="U232" s="219">
        <f>U181/(1+Parameters!$E14)</f>
        <v>230192.30769230769</v>
      </c>
      <c r="V232" s="219">
        <f>V181/(1+Parameters!$E14)</f>
        <v>238269.23076923075</v>
      </c>
      <c r="W232" s="220">
        <f>SUM(S232:V232)</f>
        <v>904615.38461538451</v>
      </c>
      <c r="X232" s="218">
        <f>X181/(1+Parameters!$E14)</f>
        <v>246346.15384615384</v>
      </c>
      <c r="Y232" s="219">
        <f>Y181/(1+Parameters!$E14)</f>
        <v>246346.15384615384</v>
      </c>
      <c r="Z232" s="219">
        <f>Z181/(1+Parameters!$E14)</f>
        <v>246346.15384615384</v>
      </c>
      <c r="AA232" s="219">
        <f>AA181/(1+Parameters!$E14)</f>
        <v>246346.15384615384</v>
      </c>
      <c r="AB232" s="220">
        <f>SUM(X232:AA232)</f>
        <v>985384.61538461538</v>
      </c>
      <c r="AC232" s="233">
        <f>H232+M232+R232+W232+AB232</f>
        <v>3014307.692307692</v>
      </c>
    </row>
    <row r="233" spans="1:30" ht="13.05" customHeight="1" x14ac:dyDescent="0.2">
      <c r="A233" s="789"/>
      <c r="B233" s="765"/>
      <c r="C233" s="275" t="str">
        <f>C$4</f>
        <v>USA Canada</v>
      </c>
      <c r="D233" s="284">
        <f>D182/(1+Parameters!$E15)</f>
        <v>0</v>
      </c>
      <c r="E233" s="285">
        <f>E182/(1+Parameters!$E15)</f>
        <v>0</v>
      </c>
      <c r="F233" s="285">
        <f>F182/(1+Parameters!$E15)</f>
        <v>0</v>
      </c>
      <c r="G233" s="285">
        <f>G182/(1+Parameters!$E15)</f>
        <v>0</v>
      </c>
      <c r="H233" s="223">
        <f>SUM(D233:G233)</f>
        <v>0</v>
      </c>
      <c r="I233" s="284">
        <f>I182/(1+Parameters!$E15)</f>
        <v>0</v>
      </c>
      <c r="J233" s="285">
        <f>J182/(1+Parameters!$E15)</f>
        <v>0</v>
      </c>
      <c r="K233" s="285">
        <f>K182/(1+Parameters!$E15)</f>
        <v>0</v>
      </c>
      <c r="L233" s="285">
        <f>L182/(1+Parameters!$E15)</f>
        <v>0</v>
      </c>
      <c r="M233" s="223">
        <f>SUM(I233:L233)</f>
        <v>0</v>
      </c>
      <c r="N233" s="284">
        <f>N182/(1+Parameters!$E15)</f>
        <v>0</v>
      </c>
      <c r="O233" s="285">
        <f>O182/(1+Parameters!$E15)</f>
        <v>0</v>
      </c>
      <c r="P233" s="285">
        <f>P182/(1+Parameters!$E15)</f>
        <v>0</v>
      </c>
      <c r="Q233" s="285">
        <f>Q182/(1+Parameters!$E15)</f>
        <v>0</v>
      </c>
      <c r="R233" s="223">
        <f>SUM(N233:Q233)</f>
        <v>0</v>
      </c>
      <c r="S233" s="284">
        <f>S182/(1+Parameters!$E15)</f>
        <v>0</v>
      </c>
      <c r="T233" s="285">
        <f>T182/(1+Parameters!$E15)</f>
        <v>0</v>
      </c>
      <c r="U233" s="285">
        <f>U182/(1+Parameters!$E15)</f>
        <v>0</v>
      </c>
      <c r="V233" s="285">
        <f>V182/(1+Parameters!$E15)</f>
        <v>0</v>
      </c>
      <c r="W233" s="223">
        <f>SUM(S233:V233)</f>
        <v>0</v>
      </c>
      <c r="X233" s="284">
        <f>X182/(1+Parameters!$E15)</f>
        <v>0</v>
      </c>
      <c r="Y233" s="285">
        <f>Y182/(1+Parameters!$E15)</f>
        <v>0</v>
      </c>
      <c r="Z233" s="285">
        <f>Z182/(1+Parameters!$E15)</f>
        <v>0</v>
      </c>
      <c r="AA233" s="285">
        <f>AA182/(1+Parameters!$E15)</f>
        <v>0</v>
      </c>
      <c r="AB233" s="223">
        <f>SUM(X233:AA233)</f>
        <v>0</v>
      </c>
      <c r="AC233" s="234">
        <f>H233+M233+R233+W233+AB233</f>
        <v>0</v>
      </c>
    </row>
    <row r="234" spans="1:30" x14ac:dyDescent="0.2">
      <c r="A234" s="789"/>
      <c r="B234" s="765"/>
      <c r="C234" s="207" t="str">
        <f>C$5</f>
        <v>Europe</v>
      </c>
      <c r="D234" s="221">
        <f>D183/(1+Parameters!$E16)</f>
        <v>0</v>
      </c>
      <c r="E234" s="222">
        <f>E183/(1+Parameters!$E16)</f>
        <v>0</v>
      </c>
      <c r="F234" s="222">
        <f>F183/(1+Parameters!$E16)</f>
        <v>0</v>
      </c>
      <c r="G234" s="222">
        <f>G183/(1+Parameters!$E16)</f>
        <v>0</v>
      </c>
      <c r="H234" s="223">
        <f>SUM(D234:G234)</f>
        <v>0</v>
      </c>
      <c r="I234" s="221">
        <f>I183/(1+Parameters!$E16)</f>
        <v>0</v>
      </c>
      <c r="J234" s="222">
        <f>J183/(1+Parameters!$E16)</f>
        <v>0</v>
      </c>
      <c r="K234" s="222">
        <f>K183/(1+Parameters!$E16)</f>
        <v>0</v>
      </c>
      <c r="L234" s="222">
        <f>L183/(1+Parameters!$E16)</f>
        <v>0</v>
      </c>
      <c r="M234" s="223">
        <f>SUM(I234:L234)</f>
        <v>0</v>
      </c>
      <c r="N234" s="221">
        <f>N183/(1+Parameters!$E16)</f>
        <v>0</v>
      </c>
      <c r="O234" s="222">
        <f>O183/(1+Parameters!$E16)</f>
        <v>0</v>
      </c>
      <c r="P234" s="222">
        <f>P183/(1+Parameters!$E16)</f>
        <v>0</v>
      </c>
      <c r="Q234" s="222">
        <f>Q183/(1+Parameters!$E16)</f>
        <v>0</v>
      </c>
      <c r="R234" s="223">
        <f>SUM(N234:Q234)</f>
        <v>0</v>
      </c>
      <c r="S234" s="221">
        <f>S183/(1+Parameters!$E16)</f>
        <v>0</v>
      </c>
      <c r="T234" s="222">
        <f>T183/(1+Parameters!$E16)</f>
        <v>0</v>
      </c>
      <c r="U234" s="222">
        <f>U183/(1+Parameters!$E16)</f>
        <v>0</v>
      </c>
      <c r="V234" s="222">
        <f>V183/(1+Parameters!$E16)</f>
        <v>0</v>
      </c>
      <c r="W234" s="223">
        <f>SUM(S234:V234)</f>
        <v>0</v>
      </c>
      <c r="X234" s="221">
        <f>X183/(1+Parameters!$E16)</f>
        <v>0</v>
      </c>
      <c r="Y234" s="222">
        <f>Y183/(1+Parameters!$E16)</f>
        <v>0</v>
      </c>
      <c r="Z234" s="222">
        <f>Z183/(1+Parameters!$E16)</f>
        <v>0</v>
      </c>
      <c r="AA234" s="222">
        <f>AA183/(1+Parameters!$E16)</f>
        <v>0</v>
      </c>
      <c r="AB234" s="223">
        <f>SUM(X234:AA234)</f>
        <v>0</v>
      </c>
      <c r="AC234" s="234">
        <f>H234+M234+R234+W234+AB234</f>
        <v>0</v>
      </c>
    </row>
    <row r="235" spans="1:30" x14ac:dyDescent="0.2">
      <c r="A235" s="789"/>
      <c r="B235" s="765"/>
      <c r="C235" s="207" t="str">
        <f>C$6</f>
        <v>Africa</v>
      </c>
      <c r="D235" s="221">
        <f>D184/(1+Parameters!$E17)</f>
        <v>0</v>
      </c>
      <c r="E235" s="222">
        <f>E184/(1+Parameters!$E17)</f>
        <v>0</v>
      </c>
      <c r="F235" s="222">
        <f>F184/(1+Parameters!$E17)</f>
        <v>0</v>
      </c>
      <c r="G235" s="222">
        <f>G184/(1+Parameters!$E17)</f>
        <v>0</v>
      </c>
      <c r="H235" s="223">
        <f>SUM(D235:G235)</f>
        <v>0</v>
      </c>
      <c r="I235" s="221">
        <f>I184/(1+Parameters!$E17)</f>
        <v>0</v>
      </c>
      <c r="J235" s="222">
        <f>J184/(1+Parameters!$E17)</f>
        <v>0</v>
      </c>
      <c r="K235" s="222">
        <f>K184/(1+Parameters!$E17)</f>
        <v>0</v>
      </c>
      <c r="L235" s="222">
        <f>L184/(1+Parameters!$E17)</f>
        <v>0</v>
      </c>
      <c r="M235" s="223">
        <f>SUM(I235:L235)</f>
        <v>0</v>
      </c>
      <c r="N235" s="221">
        <f>N184/(1+Parameters!$E17)</f>
        <v>0</v>
      </c>
      <c r="O235" s="222">
        <f>O184/(1+Parameters!$E17)</f>
        <v>0</v>
      </c>
      <c r="P235" s="222">
        <f>P184/(1+Parameters!$E17)</f>
        <v>0</v>
      </c>
      <c r="Q235" s="222">
        <f>Q184/(1+Parameters!$E17)</f>
        <v>0</v>
      </c>
      <c r="R235" s="223">
        <f>SUM(N235:Q235)</f>
        <v>0</v>
      </c>
      <c r="S235" s="221">
        <f>S184/(1+Parameters!$E17)</f>
        <v>0</v>
      </c>
      <c r="T235" s="222">
        <f>T184/(1+Parameters!$E17)</f>
        <v>0</v>
      </c>
      <c r="U235" s="222">
        <f>U184/(1+Parameters!$E17)</f>
        <v>0</v>
      </c>
      <c r="V235" s="222">
        <f>V184/(1+Parameters!$E17)</f>
        <v>0</v>
      </c>
      <c r="W235" s="223">
        <f>SUM(S235:V235)</f>
        <v>0</v>
      </c>
      <c r="X235" s="221">
        <f>X184/(1+Parameters!$E17)</f>
        <v>0</v>
      </c>
      <c r="Y235" s="222">
        <f>Y184/(1+Parameters!$E17)</f>
        <v>0</v>
      </c>
      <c r="Z235" s="222">
        <f>Z184/(1+Parameters!$E17)</f>
        <v>0</v>
      </c>
      <c r="AA235" s="222">
        <f>AA184/(1+Parameters!$E17)</f>
        <v>0</v>
      </c>
      <c r="AB235" s="223">
        <f>SUM(X235:AA235)</f>
        <v>0</v>
      </c>
      <c r="AC235" s="234">
        <f>H235+M235+R235+W235+AB235</f>
        <v>0</v>
      </c>
    </row>
    <row r="236" spans="1:30" ht="13.2" thickBot="1" x14ac:dyDescent="0.25">
      <c r="A236" s="787"/>
      <c r="B236" s="765"/>
      <c r="C236" s="208" t="str">
        <f>C$7</f>
        <v>Asia</v>
      </c>
      <c r="D236" s="221">
        <f>D185/(1+Parameters!$E18)</f>
        <v>0</v>
      </c>
      <c r="E236" s="225">
        <f>E185/(1+Parameters!$E18)</f>
        <v>0</v>
      </c>
      <c r="F236" s="225">
        <f>F185/(1+Parameters!$E18)</f>
        <v>0</v>
      </c>
      <c r="G236" s="225">
        <f>G185/(1+Parameters!$E18)</f>
        <v>0</v>
      </c>
      <c r="H236" s="226">
        <f>SUM(D236:G236)</f>
        <v>0</v>
      </c>
      <c r="I236" s="221">
        <f>I185/(1+Parameters!$E18)</f>
        <v>0</v>
      </c>
      <c r="J236" s="225">
        <f>J185/(1+Parameters!$E18)</f>
        <v>0</v>
      </c>
      <c r="K236" s="225">
        <f>K185/(1+Parameters!$E18)</f>
        <v>0</v>
      </c>
      <c r="L236" s="225">
        <f>L185/(1+Parameters!$E18)</f>
        <v>0</v>
      </c>
      <c r="M236" s="226">
        <f>SUM(I236:L236)</f>
        <v>0</v>
      </c>
      <c r="N236" s="221">
        <f>N185/(1+Parameters!$E18)</f>
        <v>0</v>
      </c>
      <c r="O236" s="225">
        <f>O185/(1+Parameters!$E18)</f>
        <v>0</v>
      </c>
      <c r="P236" s="225">
        <f>P185/(1+Parameters!$E18)</f>
        <v>0</v>
      </c>
      <c r="Q236" s="225">
        <f>Q185/(1+Parameters!$E18)</f>
        <v>0</v>
      </c>
      <c r="R236" s="226">
        <f>SUM(N236:Q236)</f>
        <v>0</v>
      </c>
      <c r="S236" s="221">
        <f>S185/(1+Parameters!$E18)</f>
        <v>0</v>
      </c>
      <c r="T236" s="225">
        <f>T185/(1+Parameters!$E18)</f>
        <v>0</v>
      </c>
      <c r="U236" s="225">
        <f>U185/(1+Parameters!$E18)</f>
        <v>0</v>
      </c>
      <c r="V236" s="225">
        <f>V185/(1+Parameters!$E18)</f>
        <v>0</v>
      </c>
      <c r="W236" s="226">
        <f>SUM(S236:V236)</f>
        <v>0</v>
      </c>
      <c r="X236" s="221">
        <f>X185/(1+Parameters!$E18)</f>
        <v>0</v>
      </c>
      <c r="Y236" s="225">
        <f>Y185/(1+Parameters!$E18)</f>
        <v>0</v>
      </c>
      <c r="Z236" s="225">
        <f>Z185/(1+Parameters!$E18)</f>
        <v>0</v>
      </c>
      <c r="AA236" s="225">
        <f>AA185/(1+Parameters!$E18)</f>
        <v>0</v>
      </c>
      <c r="AB236" s="226">
        <f>SUM(X236:AA236)</f>
        <v>0</v>
      </c>
      <c r="AC236" s="235">
        <f>H236+M236+R236+W236+AB236</f>
        <v>0</v>
      </c>
    </row>
    <row r="237" spans="1:30" ht="13.2" thickBot="1" x14ac:dyDescent="0.25">
      <c r="A237" s="787"/>
      <c r="B237" s="765"/>
      <c r="C237" s="420" t="s">
        <v>253</v>
      </c>
      <c r="D237" s="436">
        <f t="shared" ref="D237:AC237" si="106">SUM(D233:D236)</f>
        <v>0</v>
      </c>
      <c r="E237" s="437">
        <f t="shared" si="106"/>
        <v>0</v>
      </c>
      <c r="F237" s="437">
        <f t="shared" si="106"/>
        <v>0</v>
      </c>
      <c r="G237" s="437">
        <f t="shared" si="106"/>
        <v>0</v>
      </c>
      <c r="H237" s="438">
        <f t="shared" si="106"/>
        <v>0</v>
      </c>
      <c r="I237" s="436">
        <f t="shared" si="106"/>
        <v>0</v>
      </c>
      <c r="J237" s="437">
        <f t="shared" si="106"/>
        <v>0</v>
      </c>
      <c r="K237" s="437">
        <f t="shared" si="106"/>
        <v>0</v>
      </c>
      <c r="L237" s="437">
        <f t="shared" si="106"/>
        <v>0</v>
      </c>
      <c r="M237" s="438">
        <f t="shared" si="106"/>
        <v>0</v>
      </c>
      <c r="N237" s="436">
        <f t="shared" si="106"/>
        <v>0</v>
      </c>
      <c r="O237" s="437">
        <f t="shared" si="106"/>
        <v>0</v>
      </c>
      <c r="P237" s="437">
        <f t="shared" si="106"/>
        <v>0</v>
      </c>
      <c r="Q237" s="437">
        <f t="shared" si="106"/>
        <v>0</v>
      </c>
      <c r="R237" s="438">
        <f t="shared" si="106"/>
        <v>0</v>
      </c>
      <c r="S237" s="436">
        <f t="shared" si="106"/>
        <v>0</v>
      </c>
      <c r="T237" s="437">
        <f t="shared" si="106"/>
        <v>0</v>
      </c>
      <c r="U237" s="437">
        <f t="shared" si="106"/>
        <v>0</v>
      </c>
      <c r="V237" s="437">
        <f t="shared" si="106"/>
        <v>0</v>
      </c>
      <c r="W237" s="438">
        <f t="shared" si="106"/>
        <v>0</v>
      </c>
      <c r="X237" s="436">
        <f t="shared" si="106"/>
        <v>0</v>
      </c>
      <c r="Y237" s="437">
        <f t="shared" si="106"/>
        <v>0</v>
      </c>
      <c r="Z237" s="437">
        <f t="shared" si="106"/>
        <v>0</v>
      </c>
      <c r="AA237" s="437">
        <f t="shared" si="106"/>
        <v>0</v>
      </c>
      <c r="AB237" s="438">
        <f t="shared" si="106"/>
        <v>0</v>
      </c>
      <c r="AC237" s="438">
        <f t="shared" si="106"/>
        <v>0</v>
      </c>
    </row>
    <row r="238" spans="1:30" ht="13.2" thickBot="1" x14ac:dyDescent="0.25">
      <c r="A238" s="787"/>
      <c r="B238" s="766"/>
      <c r="C238" s="416" t="s">
        <v>139</v>
      </c>
      <c r="D238" s="433">
        <f t="shared" ref="D238:AC238" si="107">D232+D237</f>
        <v>0</v>
      </c>
      <c r="E238" s="434">
        <f t="shared" si="107"/>
        <v>6461.538461538461</v>
      </c>
      <c r="F238" s="434">
        <f t="shared" si="107"/>
        <v>25846.153846153844</v>
      </c>
      <c r="G238" s="434">
        <f t="shared" si="107"/>
        <v>45230.769230769227</v>
      </c>
      <c r="H238" s="435">
        <f t="shared" si="107"/>
        <v>77538.461538461532</v>
      </c>
      <c r="I238" s="433">
        <f t="shared" si="107"/>
        <v>64615.38461538461</v>
      </c>
      <c r="J238" s="434">
        <f t="shared" si="107"/>
        <v>83596.153846153829</v>
      </c>
      <c r="K238" s="434">
        <f t="shared" si="107"/>
        <v>102576.92307692308</v>
      </c>
      <c r="L238" s="434">
        <f t="shared" si="107"/>
        <v>121557.6923076923</v>
      </c>
      <c r="M238" s="435">
        <f t="shared" si="107"/>
        <v>372346.15384615381</v>
      </c>
      <c r="N238" s="433">
        <f t="shared" si="107"/>
        <v>141346.15384615381</v>
      </c>
      <c r="O238" s="434">
        <f t="shared" si="107"/>
        <v>159519.23076923075</v>
      </c>
      <c r="P238" s="434">
        <f t="shared" si="107"/>
        <v>177692.30769230769</v>
      </c>
      <c r="Q238" s="434">
        <f t="shared" si="107"/>
        <v>195865.3846153846</v>
      </c>
      <c r="R238" s="435">
        <f t="shared" si="107"/>
        <v>674423.07692307688</v>
      </c>
      <c r="S238" s="433">
        <f t="shared" si="107"/>
        <v>214038.46153846153</v>
      </c>
      <c r="T238" s="434">
        <f t="shared" si="107"/>
        <v>222115.3846153846</v>
      </c>
      <c r="U238" s="434">
        <f t="shared" si="107"/>
        <v>230192.30769230769</v>
      </c>
      <c r="V238" s="434">
        <f t="shared" si="107"/>
        <v>238269.23076923075</v>
      </c>
      <c r="W238" s="435">
        <f t="shared" si="107"/>
        <v>904615.38461538451</v>
      </c>
      <c r="X238" s="433">
        <f t="shared" si="107"/>
        <v>246346.15384615384</v>
      </c>
      <c r="Y238" s="434">
        <f t="shared" si="107"/>
        <v>246346.15384615384</v>
      </c>
      <c r="Z238" s="434">
        <f t="shared" si="107"/>
        <v>246346.15384615384</v>
      </c>
      <c r="AA238" s="434">
        <f t="shared" si="107"/>
        <v>246346.15384615384</v>
      </c>
      <c r="AB238" s="435">
        <f t="shared" si="107"/>
        <v>985384.61538461538</v>
      </c>
      <c r="AC238" s="435">
        <f t="shared" si="107"/>
        <v>3014307.692307692</v>
      </c>
    </row>
    <row r="239" spans="1:30" x14ac:dyDescent="0.2">
      <c r="A239" s="787"/>
      <c r="B239" s="764" t="s">
        <v>442</v>
      </c>
      <c r="C239" s="206" t="str">
        <f>C$3</f>
        <v>Liftoil</v>
      </c>
      <c r="D239" s="218">
        <f>D188/(1+Parameters!$I14)</f>
        <v>0</v>
      </c>
      <c r="E239" s="219">
        <f>E188/(1+Parameters!$I14)</f>
        <v>6000</v>
      </c>
      <c r="F239" s="219">
        <f>F188/(1+Parameters!$I14)</f>
        <v>24000</v>
      </c>
      <c r="G239" s="219">
        <f>G188/(1+Parameters!$I14)</f>
        <v>42000</v>
      </c>
      <c r="H239" s="220">
        <f>SUM(D239:G239)</f>
        <v>72000</v>
      </c>
      <c r="I239" s="218">
        <f>I188/(1+Parameters!$I14)</f>
        <v>60000</v>
      </c>
      <c r="J239" s="219">
        <f>J188/(1+Parameters!$I14)</f>
        <v>77624.999999999985</v>
      </c>
      <c r="K239" s="219">
        <f>K188/(1+Parameters!$I14)</f>
        <v>95250</v>
      </c>
      <c r="L239" s="219">
        <f>L188/(1+Parameters!$I14)</f>
        <v>112875</v>
      </c>
      <c r="M239" s="220">
        <f>SUM(I239:L239)</f>
        <v>345750</v>
      </c>
      <c r="N239" s="218">
        <f>N188/(1+Parameters!$I14)</f>
        <v>131250</v>
      </c>
      <c r="O239" s="219">
        <f>O188/(1+Parameters!$I14)</f>
        <v>148125</v>
      </c>
      <c r="P239" s="219">
        <f>P188/(1+Parameters!$I14)</f>
        <v>165000</v>
      </c>
      <c r="Q239" s="219">
        <f>Q188/(1+Parameters!$I14)</f>
        <v>181875</v>
      </c>
      <c r="R239" s="220">
        <f>SUM(N239:Q239)</f>
        <v>626250</v>
      </c>
      <c r="S239" s="218">
        <f>S188/(1+Parameters!$I14)</f>
        <v>198750</v>
      </c>
      <c r="T239" s="219">
        <f>T188/(1+Parameters!$I14)</f>
        <v>206250</v>
      </c>
      <c r="U239" s="219">
        <f>U188/(1+Parameters!$I14)</f>
        <v>213750</v>
      </c>
      <c r="V239" s="219">
        <f>V188/(1+Parameters!$I14)</f>
        <v>221250</v>
      </c>
      <c r="W239" s="220">
        <f>SUM(S239:V239)</f>
        <v>840000</v>
      </c>
      <c r="X239" s="218">
        <f>X188/(1+Parameters!$I14)</f>
        <v>228750</v>
      </c>
      <c r="Y239" s="219">
        <f>Y188/(1+Parameters!$I14)</f>
        <v>228750</v>
      </c>
      <c r="Z239" s="219">
        <f>Z188/(1+Parameters!$I14)</f>
        <v>228750</v>
      </c>
      <c r="AA239" s="219">
        <f>AA188/(1+Parameters!$I14)</f>
        <v>228750</v>
      </c>
      <c r="AB239" s="220">
        <f>SUM(X239:AA239)</f>
        <v>915000</v>
      </c>
      <c r="AC239" s="233">
        <f>H239+M239+R239+W239+AB239</f>
        <v>2799000</v>
      </c>
    </row>
    <row r="240" spans="1:30" x14ac:dyDescent="0.2">
      <c r="A240" s="787"/>
      <c r="B240" s="765"/>
      <c r="C240" s="275" t="str">
        <f>C$4</f>
        <v>USA Canada</v>
      </c>
      <c r="D240" s="284">
        <f>D189/(1+Parameters!$I15)</f>
        <v>0</v>
      </c>
      <c r="E240" s="285">
        <f>E189/(1+Parameters!$I15)</f>
        <v>0</v>
      </c>
      <c r="F240" s="285">
        <f>F189/(1+Parameters!$I15)</f>
        <v>0</v>
      </c>
      <c r="G240" s="285">
        <f>G189/(1+Parameters!$I15)</f>
        <v>0</v>
      </c>
      <c r="H240" s="223">
        <f>SUM(D240:G240)</f>
        <v>0</v>
      </c>
      <c r="I240" s="284">
        <f>I189/(1+Parameters!$I15)</f>
        <v>0</v>
      </c>
      <c r="J240" s="285">
        <f>J189/(1+Parameters!$I15)</f>
        <v>0</v>
      </c>
      <c r="K240" s="285">
        <f>K189/(1+Parameters!$I15)</f>
        <v>0</v>
      </c>
      <c r="L240" s="285">
        <f>L189/(1+Parameters!$I15)</f>
        <v>0</v>
      </c>
      <c r="M240" s="223">
        <f>SUM(I240:L240)</f>
        <v>0</v>
      </c>
      <c r="N240" s="284">
        <f>N189/(1+Parameters!$I15)</f>
        <v>0</v>
      </c>
      <c r="O240" s="285">
        <f>O189/(1+Parameters!$I15)</f>
        <v>0</v>
      </c>
      <c r="P240" s="285">
        <f>P189/(1+Parameters!$I15)</f>
        <v>0</v>
      </c>
      <c r="Q240" s="285">
        <f>Q189/(1+Parameters!$I15)</f>
        <v>0</v>
      </c>
      <c r="R240" s="223">
        <f>SUM(N240:Q240)</f>
        <v>0</v>
      </c>
      <c r="S240" s="284">
        <f>S189/(1+Parameters!$I15)</f>
        <v>0</v>
      </c>
      <c r="T240" s="285">
        <f>T189/(1+Parameters!$I15)</f>
        <v>0</v>
      </c>
      <c r="U240" s="285">
        <f>U189/(1+Parameters!$I15)</f>
        <v>0</v>
      </c>
      <c r="V240" s="285">
        <f>V189/(1+Parameters!$I15)</f>
        <v>0</v>
      </c>
      <c r="W240" s="223">
        <f>SUM(S240:V240)</f>
        <v>0</v>
      </c>
      <c r="X240" s="284">
        <f>X189/(1+Parameters!$I15)</f>
        <v>0</v>
      </c>
      <c r="Y240" s="285">
        <f>Y189/(1+Parameters!$I15)</f>
        <v>0</v>
      </c>
      <c r="Z240" s="285">
        <f>Z189/(1+Parameters!$I15)</f>
        <v>0</v>
      </c>
      <c r="AA240" s="285">
        <f>AA189/(1+Parameters!$I15)</f>
        <v>0</v>
      </c>
      <c r="AB240" s="223">
        <f>SUM(X240:AA240)</f>
        <v>0</v>
      </c>
      <c r="AC240" s="234">
        <f>H240+M240+R240+W240+AB240</f>
        <v>0</v>
      </c>
    </row>
    <row r="241" spans="1:29" x14ac:dyDescent="0.2">
      <c r="A241" s="787"/>
      <c r="B241" s="765"/>
      <c r="C241" s="207" t="str">
        <f>C$5</f>
        <v>Europe</v>
      </c>
      <c r="D241" s="221">
        <f>D190/(1+Parameters!$I16)</f>
        <v>0</v>
      </c>
      <c r="E241" s="222">
        <f>E190/(1+Parameters!$I16)</f>
        <v>0</v>
      </c>
      <c r="F241" s="222">
        <f>F190/(1+Parameters!$I16)</f>
        <v>0</v>
      </c>
      <c r="G241" s="222">
        <f>G190/(1+Parameters!$I16)</f>
        <v>0</v>
      </c>
      <c r="H241" s="223">
        <f>SUM(D241:G241)</f>
        <v>0</v>
      </c>
      <c r="I241" s="221">
        <f>I190/(1+Parameters!$I16)</f>
        <v>0</v>
      </c>
      <c r="J241" s="222">
        <f>J190/(1+Parameters!$I16)</f>
        <v>0</v>
      </c>
      <c r="K241" s="222">
        <f>K190/(1+Parameters!$I16)</f>
        <v>0</v>
      </c>
      <c r="L241" s="222">
        <f>L190/(1+Parameters!$I16)</f>
        <v>0</v>
      </c>
      <c r="M241" s="223">
        <f>SUM(I241:L241)</f>
        <v>0</v>
      </c>
      <c r="N241" s="221">
        <f>N190/(1+Parameters!$I16)</f>
        <v>0</v>
      </c>
      <c r="O241" s="222">
        <f>O190/(1+Parameters!$I16)</f>
        <v>0</v>
      </c>
      <c r="P241" s="222">
        <f>P190/(1+Parameters!$I16)</f>
        <v>0</v>
      </c>
      <c r="Q241" s="222">
        <f>Q190/(1+Parameters!$I16)</f>
        <v>0</v>
      </c>
      <c r="R241" s="223">
        <f>SUM(N241:Q241)</f>
        <v>0</v>
      </c>
      <c r="S241" s="221">
        <f>S190/(1+Parameters!$I16)</f>
        <v>0</v>
      </c>
      <c r="T241" s="222">
        <f>T190/(1+Parameters!$I16)</f>
        <v>0</v>
      </c>
      <c r="U241" s="222">
        <f>U190/(1+Parameters!$I16)</f>
        <v>0</v>
      </c>
      <c r="V241" s="222">
        <f>V190/(1+Parameters!$I16)</f>
        <v>0</v>
      </c>
      <c r="W241" s="223">
        <f>SUM(S241:V241)</f>
        <v>0</v>
      </c>
      <c r="X241" s="221">
        <f>X190/(1+Parameters!$I16)</f>
        <v>0</v>
      </c>
      <c r="Y241" s="222">
        <f>Y190/(1+Parameters!$I16)</f>
        <v>0</v>
      </c>
      <c r="Z241" s="222">
        <f>Z190/(1+Parameters!$I16)</f>
        <v>0</v>
      </c>
      <c r="AA241" s="222">
        <f>AA190/(1+Parameters!$I16)</f>
        <v>0</v>
      </c>
      <c r="AB241" s="223">
        <f>SUM(X241:AA241)</f>
        <v>0</v>
      </c>
      <c r="AC241" s="234">
        <f>H241+M241+R241+W241+AB241</f>
        <v>0</v>
      </c>
    </row>
    <row r="242" spans="1:29" x14ac:dyDescent="0.2">
      <c r="A242" s="787"/>
      <c r="B242" s="765"/>
      <c r="C242" s="207" t="str">
        <f>C$6</f>
        <v>Africa</v>
      </c>
      <c r="D242" s="221">
        <f>D191/(1+Parameters!$I17)</f>
        <v>0</v>
      </c>
      <c r="E242" s="222">
        <f>E191/(1+Parameters!$I17)</f>
        <v>0</v>
      </c>
      <c r="F242" s="222">
        <f>F191/(1+Parameters!$I17)</f>
        <v>0</v>
      </c>
      <c r="G242" s="222">
        <f>G191/(1+Parameters!$I17)</f>
        <v>0</v>
      </c>
      <c r="H242" s="223">
        <f>SUM(D242:G242)</f>
        <v>0</v>
      </c>
      <c r="I242" s="221">
        <f>I191/(1+Parameters!$I17)</f>
        <v>0</v>
      </c>
      <c r="J242" s="222">
        <f>J191/(1+Parameters!$I17)</f>
        <v>0</v>
      </c>
      <c r="K242" s="222">
        <f>K191/(1+Parameters!$I17)</f>
        <v>0</v>
      </c>
      <c r="L242" s="222">
        <f>L191/(1+Parameters!$I17)</f>
        <v>0</v>
      </c>
      <c r="M242" s="223">
        <f>SUM(I242:L242)</f>
        <v>0</v>
      </c>
      <c r="N242" s="221">
        <f>N191/(1+Parameters!$I17)</f>
        <v>0</v>
      </c>
      <c r="O242" s="222">
        <f>O191/(1+Parameters!$I17)</f>
        <v>0</v>
      </c>
      <c r="P242" s="222">
        <f>P191/(1+Parameters!$I17)</f>
        <v>0</v>
      </c>
      <c r="Q242" s="222">
        <f>Q191/(1+Parameters!$I17)</f>
        <v>0</v>
      </c>
      <c r="R242" s="223">
        <f>SUM(N242:Q242)</f>
        <v>0</v>
      </c>
      <c r="S242" s="221">
        <f>S191/(1+Parameters!$I17)</f>
        <v>0</v>
      </c>
      <c r="T242" s="222">
        <f>T191/(1+Parameters!$I17)</f>
        <v>0</v>
      </c>
      <c r="U242" s="222">
        <f>U191/(1+Parameters!$I17)</f>
        <v>0</v>
      </c>
      <c r="V242" s="222">
        <f>V191/(1+Parameters!$I17)</f>
        <v>0</v>
      </c>
      <c r="W242" s="223">
        <f>SUM(S242:V242)</f>
        <v>0</v>
      </c>
      <c r="X242" s="221">
        <f>X191/(1+Parameters!$I17)</f>
        <v>0</v>
      </c>
      <c r="Y242" s="222">
        <f>Y191/(1+Parameters!$I17)</f>
        <v>0</v>
      </c>
      <c r="Z242" s="222">
        <f>Z191/(1+Parameters!$I17)</f>
        <v>0</v>
      </c>
      <c r="AA242" s="222">
        <f>AA191/(1+Parameters!$I17)</f>
        <v>0</v>
      </c>
      <c r="AB242" s="223">
        <f>SUM(X242:AA242)</f>
        <v>0</v>
      </c>
      <c r="AC242" s="234">
        <f>H242+M242+R242+W242+AB242</f>
        <v>0</v>
      </c>
    </row>
    <row r="243" spans="1:29" ht="13.2" thickBot="1" x14ac:dyDescent="0.25">
      <c r="A243" s="787"/>
      <c r="B243" s="765"/>
      <c r="C243" s="208" t="str">
        <f>C$7</f>
        <v>Asia</v>
      </c>
      <c r="D243" s="221">
        <f>D192/(1+Parameters!$I18)</f>
        <v>0</v>
      </c>
      <c r="E243" s="225">
        <f>E192/(1+Parameters!$I18)</f>
        <v>0</v>
      </c>
      <c r="F243" s="225">
        <f>F192/(1+Parameters!$I18)</f>
        <v>0</v>
      </c>
      <c r="G243" s="225">
        <f>G192/(1+Parameters!$I18)</f>
        <v>0</v>
      </c>
      <c r="H243" s="226">
        <f>SUM(D243:G243)</f>
        <v>0</v>
      </c>
      <c r="I243" s="221">
        <f>I192/(1+Parameters!$I18)</f>
        <v>0</v>
      </c>
      <c r="J243" s="225">
        <f>J192/(1+Parameters!$I18)</f>
        <v>0</v>
      </c>
      <c r="K243" s="225">
        <f>K192/(1+Parameters!$I18)</f>
        <v>0</v>
      </c>
      <c r="L243" s="225">
        <f>L192/(1+Parameters!$I18)</f>
        <v>0</v>
      </c>
      <c r="M243" s="226">
        <f>SUM(I243:L243)</f>
        <v>0</v>
      </c>
      <c r="N243" s="221">
        <f>N192/(1+Parameters!$I18)</f>
        <v>0</v>
      </c>
      <c r="O243" s="225">
        <f>O192/(1+Parameters!$I18)</f>
        <v>0</v>
      </c>
      <c r="P243" s="225">
        <f>P192/(1+Parameters!$I18)</f>
        <v>0</v>
      </c>
      <c r="Q243" s="225">
        <f>Q192/(1+Parameters!$I18)</f>
        <v>0</v>
      </c>
      <c r="R243" s="226">
        <f>SUM(N243:Q243)</f>
        <v>0</v>
      </c>
      <c r="S243" s="221">
        <f>S192/(1+Parameters!$I18)</f>
        <v>0</v>
      </c>
      <c r="T243" s="225">
        <f>T192/(1+Parameters!$I18)</f>
        <v>0</v>
      </c>
      <c r="U243" s="225">
        <f>U192/(1+Parameters!$I18)</f>
        <v>0</v>
      </c>
      <c r="V243" s="225">
        <f>V192/(1+Parameters!$I18)</f>
        <v>0</v>
      </c>
      <c r="W243" s="226">
        <f>SUM(S243:V243)</f>
        <v>0</v>
      </c>
      <c r="X243" s="221">
        <f>X192/(1+Parameters!$I18)</f>
        <v>0</v>
      </c>
      <c r="Y243" s="225">
        <f>Y192/(1+Parameters!$I18)</f>
        <v>0</v>
      </c>
      <c r="Z243" s="225">
        <f>Z192/(1+Parameters!$I18)</f>
        <v>0</v>
      </c>
      <c r="AA243" s="225">
        <f>AA192/(1+Parameters!$I18)</f>
        <v>0</v>
      </c>
      <c r="AB243" s="226">
        <f>SUM(X243:AA243)</f>
        <v>0</v>
      </c>
      <c r="AC243" s="235">
        <f>H243+M243+R243+W243+AB243</f>
        <v>0</v>
      </c>
    </row>
    <row r="244" spans="1:29" ht="13.2" thickBot="1" x14ac:dyDescent="0.25">
      <c r="A244" s="787"/>
      <c r="B244" s="765"/>
      <c r="C244" s="420" t="s">
        <v>253</v>
      </c>
      <c r="D244" s="436">
        <f t="shared" ref="D244:AC244" si="108">SUM(D240:D243)</f>
        <v>0</v>
      </c>
      <c r="E244" s="437">
        <f t="shared" si="108"/>
        <v>0</v>
      </c>
      <c r="F244" s="437">
        <f t="shared" si="108"/>
        <v>0</v>
      </c>
      <c r="G244" s="437">
        <f t="shared" si="108"/>
        <v>0</v>
      </c>
      <c r="H244" s="438">
        <f t="shared" si="108"/>
        <v>0</v>
      </c>
      <c r="I244" s="436">
        <f t="shared" si="108"/>
        <v>0</v>
      </c>
      <c r="J244" s="437">
        <f t="shared" si="108"/>
        <v>0</v>
      </c>
      <c r="K244" s="437">
        <f t="shared" si="108"/>
        <v>0</v>
      </c>
      <c r="L244" s="437">
        <f t="shared" si="108"/>
        <v>0</v>
      </c>
      <c r="M244" s="438">
        <f t="shared" si="108"/>
        <v>0</v>
      </c>
      <c r="N244" s="436">
        <f t="shared" si="108"/>
        <v>0</v>
      </c>
      <c r="O244" s="437">
        <f t="shared" si="108"/>
        <v>0</v>
      </c>
      <c r="P244" s="437">
        <f t="shared" si="108"/>
        <v>0</v>
      </c>
      <c r="Q244" s="437">
        <f t="shared" si="108"/>
        <v>0</v>
      </c>
      <c r="R244" s="438">
        <f t="shared" si="108"/>
        <v>0</v>
      </c>
      <c r="S244" s="436">
        <f t="shared" si="108"/>
        <v>0</v>
      </c>
      <c r="T244" s="437">
        <f t="shared" si="108"/>
        <v>0</v>
      </c>
      <c r="U244" s="437">
        <f t="shared" si="108"/>
        <v>0</v>
      </c>
      <c r="V244" s="437">
        <f t="shared" si="108"/>
        <v>0</v>
      </c>
      <c r="W244" s="438">
        <f t="shared" si="108"/>
        <v>0</v>
      </c>
      <c r="X244" s="436">
        <f t="shared" si="108"/>
        <v>0</v>
      </c>
      <c r="Y244" s="437">
        <f t="shared" si="108"/>
        <v>0</v>
      </c>
      <c r="Z244" s="437">
        <f t="shared" si="108"/>
        <v>0</v>
      </c>
      <c r="AA244" s="437">
        <f t="shared" si="108"/>
        <v>0</v>
      </c>
      <c r="AB244" s="438">
        <f t="shared" si="108"/>
        <v>0</v>
      </c>
      <c r="AC244" s="438">
        <f t="shared" si="108"/>
        <v>0</v>
      </c>
    </row>
    <row r="245" spans="1:29" ht="13.2" thickBot="1" x14ac:dyDescent="0.25">
      <c r="A245" s="787"/>
      <c r="B245" s="766"/>
      <c r="C245" s="416" t="s">
        <v>139</v>
      </c>
      <c r="D245" s="433">
        <f t="shared" ref="D245:AC245" si="109">D239+D244</f>
        <v>0</v>
      </c>
      <c r="E245" s="434">
        <f t="shared" si="109"/>
        <v>6000</v>
      </c>
      <c r="F245" s="434">
        <f t="shared" si="109"/>
        <v>24000</v>
      </c>
      <c r="G245" s="434">
        <f t="shared" si="109"/>
        <v>42000</v>
      </c>
      <c r="H245" s="435">
        <f t="shared" si="109"/>
        <v>72000</v>
      </c>
      <c r="I245" s="433">
        <f t="shared" si="109"/>
        <v>60000</v>
      </c>
      <c r="J245" s="434">
        <f t="shared" si="109"/>
        <v>77624.999999999985</v>
      </c>
      <c r="K245" s="434">
        <f t="shared" si="109"/>
        <v>95250</v>
      </c>
      <c r="L245" s="434">
        <f t="shared" si="109"/>
        <v>112875</v>
      </c>
      <c r="M245" s="435">
        <f t="shared" si="109"/>
        <v>345750</v>
      </c>
      <c r="N245" s="433">
        <f t="shared" si="109"/>
        <v>131250</v>
      </c>
      <c r="O245" s="434">
        <f t="shared" si="109"/>
        <v>148125</v>
      </c>
      <c r="P245" s="434">
        <f t="shared" si="109"/>
        <v>165000</v>
      </c>
      <c r="Q245" s="434">
        <f t="shared" si="109"/>
        <v>181875</v>
      </c>
      <c r="R245" s="435">
        <f t="shared" si="109"/>
        <v>626250</v>
      </c>
      <c r="S245" s="433">
        <f t="shared" si="109"/>
        <v>198750</v>
      </c>
      <c r="T245" s="434">
        <f t="shared" si="109"/>
        <v>206250</v>
      </c>
      <c r="U245" s="434">
        <f t="shared" si="109"/>
        <v>213750</v>
      </c>
      <c r="V245" s="434">
        <f t="shared" si="109"/>
        <v>221250</v>
      </c>
      <c r="W245" s="435">
        <f t="shared" si="109"/>
        <v>840000</v>
      </c>
      <c r="X245" s="433">
        <f t="shared" si="109"/>
        <v>228750</v>
      </c>
      <c r="Y245" s="434">
        <f t="shared" si="109"/>
        <v>228750</v>
      </c>
      <c r="Z245" s="434">
        <f t="shared" si="109"/>
        <v>228750</v>
      </c>
      <c r="AA245" s="434">
        <f t="shared" si="109"/>
        <v>228750</v>
      </c>
      <c r="AB245" s="435">
        <f t="shared" si="109"/>
        <v>915000</v>
      </c>
      <c r="AC245" s="435">
        <f t="shared" si="109"/>
        <v>2799000</v>
      </c>
    </row>
    <row r="246" spans="1:29" ht="13.05" customHeight="1" x14ac:dyDescent="0.2">
      <c r="A246" s="787"/>
      <c r="B246" s="764" t="s">
        <v>232</v>
      </c>
      <c r="C246" s="206" t="str">
        <f>C$3</f>
        <v>Liftoil</v>
      </c>
      <c r="D246" s="218">
        <f>(D174+D181+D188-D202)*Parameters!$J6</f>
        <v>2280</v>
      </c>
      <c r="E246" s="219">
        <f>(E174+E181+E188-E202)*Parameters!$J6</f>
        <v>6918</v>
      </c>
      <c r="F246" s="219">
        <f>(F174+F181+F188-F202)*Parameters!$J6</f>
        <v>7152</v>
      </c>
      <c r="G246" s="219">
        <f>(G174+G181+G188-G202)*Parameters!$J6</f>
        <v>7386</v>
      </c>
      <c r="H246" s="220">
        <f>SUM(D246:G246)</f>
        <v>23736</v>
      </c>
      <c r="I246" s="218">
        <f>(I174+I181+I188-I202)*Parameters!$J6</f>
        <v>7477.5</v>
      </c>
      <c r="J246" s="219">
        <f>(J174+J181+J188-J202)*Parameters!$J6</f>
        <v>7706.625</v>
      </c>
      <c r="K246" s="219">
        <f>(K174+K181+K188-K202)*Parameters!$J6</f>
        <v>7935.75</v>
      </c>
      <c r="L246" s="219">
        <f>(L174+L181+L188-L202)*Parameters!$J6</f>
        <v>8449.875</v>
      </c>
      <c r="M246" s="220">
        <f>SUM(I246:L246)</f>
        <v>31569.75</v>
      </c>
      <c r="N246" s="218">
        <f>(N174+N181+N188-N202)*Parameters!$J6</f>
        <v>8118.75</v>
      </c>
      <c r="O246" s="219">
        <f>(O174+O181+O188-O202)*Parameters!$J6</f>
        <v>8338.125</v>
      </c>
      <c r="P246" s="219">
        <f>(P174+P181+P188-P202)*Parameters!$J6</f>
        <v>8557.5</v>
      </c>
      <c r="Q246" s="219">
        <f>(Q174+Q181+Q188-Q202)*Parameters!$J6</f>
        <v>8776.875</v>
      </c>
      <c r="R246" s="220">
        <f>SUM(N246:Q246)</f>
        <v>33791.25</v>
      </c>
      <c r="S246" s="218">
        <f>(S174+S181+S188-S202)*Parameters!$J6</f>
        <v>5433.75</v>
      </c>
      <c r="T246" s="219">
        <f>(T174+T181+T188-T202)*Parameters!$J6</f>
        <v>5531.25</v>
      </c>
      <c r="U246" s="219">
        <f>(U174+U181+U188-U202)*Parameters!$J6</f>
        <v>5628.75</v>
      </c>
      <c r="V246" s="219">
        <f>(V174+V181+V188-V202)*Parameters!$J6</f>
        <v>5726.25</v>
      </c>
      <c r="W246" s="220">
        <f>SUM(S246:V246)</f>
        <v>22320</v>
      </c>
      <c r="X246" s="218">
        <f>(X174+X181+X188-X202)*Parameters!$J6</f>
        <v>2973.75</v>
      </c>
      <c r="Y246" s="219">
        <f>(Y174+Y181+Y188-Y202)*Parameters!$J6</f>
        <v>2973.75</v>
      </c>
      <c r="Z246" s="219">
        <f>(Z174+Z181+Z188-Z202)*Parameters!$J6</f>
        <v>2973.75</v>
      </c>
      <c r="AA246" s="219">
        <f>(AA174+AA181+AA188-AA202)*Parameters!$J6</f>
        <v>2973.75</v>
      </c>
      <c r="AB246" s="220">
        <f>SUM(X246:AA246)</f>
        <v>11895</v>
      </c>
      <c r="AC246" s="233">
        <f>H246+M246+R246+W246+AB246</f>
        <v>123312</v>
      </c>
    </row>
    <row r="247" spans="1:29" ht="13.05" customHeight="1" x14ac:dyDescent="0.2">
      <c r="A247" s="787"/>
      <c r="B247" s="765"/>
      <c r="C247" s="275" t="str">
        <f>C$4</f>
        <v>USA Canada</v>
      </c>
      <c r="D247" s="284">
        <f>(D175+D182+D189-D203)*Parameters!$J7</f>
        <v>0</v>
      </c>
      <c r="E247" s="285">
        <f>(E175+E182+E189-E203)*Parameters!$J7</f>
        <v>0</v>
      </c>
      <c r="F247" s="285">
        <f>(F175+F182+F189-F203)*Parameters!$J7</f>
        <v>0</v>
      </c>
      <c r="G247" s="285">
        <f>(G175+G182+G189-G203)*Parameters!$J7</f>
        <v>0</v>
      </c>
      <c r="H247" s="223">
        <f>SUM(D247:G247)</f>
        <v>0</v>
      </c>
      <c r="I247" s="284">
        <f>(I175+I182+I189-I203)*Parameters!$J7</f>
        <v>0</v>
      </c>
      <c r="J247" s="285">
        <f>(J175+J182+J189-J203)*Parameters!$J7</f>
        <v>0</v>
      </c>
      <c r="K247" s="285">
        <f>(K175+K182+K189-K203)*Parameters!$J7</f>
        <v>0</v>
      </c>
      <c r="L247" s="285">
        <f>(L175+L182+L189-L203)*Parameters!$J7</f>
        <v>0</v>
      </c>
      <c r="M247" s="223">
        <f>SUM(I247:L247)</f>
        <v>0</v>
      </c>
      <c r="N247" s="284">
        <f>(N175+N182+N189-N203)*Parameters!$J7</f>
        <v>0</v>
      </c>
      <c r="O247" s="285">
        <f>(O175+O182+O189-O203)*Parameters!$J7</f>
        <v>0</v>
      </c>
      <c r="P247" s="285">
        <f>(P175+P182+P189-P203)*Parameters!$J7</f>
        <v>0</v>
      </c>
      <c r="Q247" s="285">
        <f>(Q175+Q182+Q189-Q203)*Parameters!$J7</f>
        <v>0</v>
      </c>
      <c r="R247" s="223">
        <f>SUM(N247:Q247)</f>
        <v>0</v>
      </c>
      <c r="S247" s="284">
        <f>(S175+S182+S189-S203)*Parameters!$J7</f>
        <v>0</v>
      </c>
      <c r="T247" s="285">
        <f>(T175+T182+T189-T203)*Parameters!$J7</f>
        <v>0</v>
      </c>
      <c r="U247" s="285">
        <f>(U175+U182+U189-U203)*Parameters!$J7</f>
        <v>0</v>
      </c>
      <c r="V247" s="285">
        <f>(V175+V182+V189-V203)*Parameters!$J7</f>
        <v>0</v>
      </c>
      <c r="W247" s="223">
        <f>SUM(S247:V247)</f>
        <v>0</v>
      </c>
      <c r="X247" s="284">
        <f>(X175+X182+X189-X203)*Parameters!$J7</f>
        <v>0</v>
      </c>
      <c r="Y247" s="285">
        <f>(Y175+Y182+Y189-Y203)*Parameters!$J7</f>
        <v>0</v>
      </c>
      <c r="Z247" s="285">
        <f>(Z175+Z182+Z189-Z203)*Parameters!$J7</f>
        <v>0</v>
      </c>
      <c r="AA247" s="285">
        <f>(AA175+AA182+AA189-AA203)*Parameters!$J7</f>
        <v>0</v>
      </c>
      <c r="AB247" s="223">
        <f>SUM(X247:AA247)</f>
        <v>0</v>
      </c>
      <c r="AC247" s="234">
        <f>H247+M247+R247+W247+AB247</f>
        <v>0</v>
      </c>
    </row>
    <row r="248" spans="1:29" x14ac:dyDescent="0.2">
      <c r="A248" s="787"/>
      <c r="B248" s="765"/>
      <c r="C248" s="207" t="str">
        <f>C$5</f>
        <v>Europe</v>
      </c>
      <c r="D248" s="221">
        <f>(D176+D183+D190-D204)*Parameters!$J8</f>
        <v>0</v>
      </c>
      <c r="E248" s="222">
        <f>(E176+E183+E190-E204)*Parameters!$J8</f>
        <v>0</v>
      </c>
      <c r="F248" s="222">
        <f>(F176+F183+F190-F204)*Parameters!$J8</f>
        <v>0</v>
      </c>
      <c r="G248" s="222">
        <f>(G176+G183+G190-G204)*Parameters!$J8</f>
        <v>0</v>
      </c>
      <c r="H248" s="223">
        <f>SUM(D248:G248)</f>
        <v>0</v>
      </c>
      <c r="I248" s="221">
        <f>(I176+I183+I190-I204)*Parameters!$J8</f>
        <v>0</v>
      </c>
      <c r="J248" s="222">
        <f>(J176+J183+J190-J204)*Parameters!$J8</f>
        <v>0</v>
      </c>
      <c r="K248" s="222">
        <f>(K176+K183+K190-K204)*Parameters!$J8</f>
        <v>0</v>
      </c>
      <c r="L248" s="222">
        <f>(L176+L183+L190-L204)*Parameters!$J8</f>
        <v>0</v>
      </c>
      <c r="M248" s="223">
        <f>SUM(I248:L248)</f>
        <v>0</v>
      </c>
      <c r="N248" s="221">
        <f>(N176+N183+N190-N204)*Parameters!$J8</f>
        <v>0</v>
      </c>
      <c r="O248" s="222">
        <f>(O176+O183+O190-O204)*Parameters!$J8</f>
        <v>0</v>
      </c>
      <c r="P248" s="222">
        <f>(P176+P183+P190-P204)*Parameters!$J8</f>
        <v>0</v>
      </c>
      <c r="Q248" s="222">
        <f>(Q176+Q183+Q190-Q204)*Parameters!$J8</f>
        <v>0</v>
      </c>
      <c r="R248" s="223">
        <f>SUM(N248:Q248)</f>
        <v>0</v>
      </c>
      <c r="S248" s="221">
        <f>(S176+S183+S190-S204)*Parameters!$J8</f>
        <v>0</v>
      </c>
      <c r="T248" s="222">
        <f>(T176+T183+T190-T204)*Parameters!$J8</f>
        <v>0</v>
      </c>
      <c r="U248" s="222">
        <f>(U176+U183+U190-U204)*Parameters!$J8</f>
        <v>0</v>
      </c>
      <c r="V248" s="222">
        <f>(V176+V183+V190-V204)*Parameters!$J8</f>
        <v>0</v>
      </c>
      <c r="W248" s="223">
        <f>SUM(S248:V248)</f>
        <v>0</v>
      </c>
      <c r="X248" s="221">
        <f>(X176+X183+X190-X204)*Parameters!$J8</f>
        <v>0</v>
      </c>
      <c r="Y248" s="222">
        <f>(Y176+Y183+Y190-Y204)*Parameters!$J8</f>
        <v>0</v>
      </c>
      <c r="Z248" s="222">
        <f>(Z176+Z183+Z190-Z204)*Parameters!$J8</f>
        <v>0</v>
      </c>
      <c r="AA248" s="222">
        <f>(AA176+AA183+AA190-AA204)*Parameters!$J8</f>
        <v>0</v>
      </c>
      <c r="AB248" s="223">
        <f>SUM(X248:AA248)</f>
        <v>0</v>
      </c>
      <c r="AC248" s="234">
        <f>H248+M248+R248+W248+AB248</f>
        <v>0</v>
      </c>
    </row>
    <row r="249" spans="1:29" x14ac:dyDescent="0.2">
      <c r="A249" s="787"/>
      <c r="B249" s="765"/>
      <c r="C249" s="207" t="str">
        <f>C$6</f>
        <v>Africa</v>
      </c>
      <c r="D249" s="221">
        <f>(D177+D184+D191-D205)*Parameters!$J9</f>
        <v>0</v>
      </c>
      <c r="E249" s="222">
        <f>(E177+E184+E191-E205)*Parameters!$J9</f>
        <v>0</v>
      </c>
      <c r="F249" s="222">
        <f>(F177+F184+F191-F205)*Parameters!$J9</f>
        <v>0</v>
      </c>
      <c r="G249" s="222">
        <f>(G177+G184+G191-G205)*Parameters!$J9</f>
        <v>0</v>
      </c>
      <c r="H249" s="223">
        <f>SUM(D249:G249)</f>
        <v>0</v>
      </c>
      <c r="I249" s="221">
        <f>(I177+I184+I191-I205)*Parameters!$J9</f>
        <v>0</v>
      </c>
      <c r="J249" s="222">
        <f>(J177+J184+J191-J205)*Parameters!$J9</f>
        <v>0</v>
      </c>
      <c r="K249" s="222">
        <f>(K177+K184+K191-K205)*Parameters!$J9</f>
        <v>0</v>
      </c>
      <c r="L249" s="222">
        <f>(L177+L184+L191-L205)*Parameters!$J9</f>
        <v>0</v>
      </c>
      <c r="M249" s="223">
        <f>SUM(I249:L249)</f>
        <v>0</v>
      </c>
      <c r="N249" s="221">
        <f>(N177+N184+N191-N205)*Parameters!$J9</f>
        <v>0</v>
      </c>
      <c r="O249" s="222">
        <f>(O177+O184+O191-O205)*Parameters!$J9</f>
        <v>0</v>
      </c>
      <c r="P249" s="222">
        <f>(P177+P184+P191-P205)*Parameters!$J9</f>
        <v>0</v>
      </c>
      <c r="Q249" s="222">
        <f>(Q177+Q184+Q191-Q205)*Parameters!$J9</f>
        <v>0</v>
      </c>
      <c r="R249" s="223">
        <f>SUM(N249:Q249)</f>
        <v>0</v>
      </c>
      <c r="S249" s="221">
        <f>(S177+S184+S191-S205)*Parameters!$J9</f>
        <v>0</v>
      </c>
      <c r="T249" s="222">
        <f>(T177+T184+T191-T205)*Parameters!$J9</f>
        <v>0</v>
      </c>
      <c r="U249" s="222">
        <f>(U177+U184+U191-U205)*Parameters!$J9</f>
        <v>0</v>
      </c>
      <c r="V249" s="222">
        <f>(V177+V184+V191-V205)*Parameters!$J9</f>
        <v>0</v>
      </c>
      <c r="W249" s="223">
        <f>SUM(S249:V249)</f>
        <v>0</v>
      </c>
      <c r="X249" s="221">
        <f>(X177+X184+X191-X205)*Parameters!$J9</f>
        <v>0</v>
      </c>
      <c r="Y249" s="222">
        <f>(Y177+Y184+Y191-Y205)*Parameters!$J9</f>
        <v>0</v>
      </c>
      <c r="Z249" s="222">
        <f>(Z177+Z184+Z191-Z205)*Parameters!$J9</f>
        <v>0</v>
      </c>
      <c r="AA249" s="222">
        <f>(AA177+AA184+AA191-AA205)*Parameters!$J9</f>
        <v>0</v>
      </c>
      <c r="AB249" s="223">
        <f>SUM(X249:AA249)</f>
        <v>0</v>
      </c>
      <c r="AC249" s="234">
        <f>H249+M249+R249+W249+AB249</f>
        <v>0</v>
      </c>
    </row>
    <row r="250" spans="1:29" ht="13.2" thickBot="1" x14ac:dyDescent="0.25">
      <c r="A250" s="787"/>
      <c r="B250" s="765"/>
      <c r="C250" s="208" t="str">
        <f>C$7</f>
        <v>Asia</v>
      </c>
      <c r="D250" s="221">
        <f>(D178+D185+D192-D206)*Parameters!$J10</f>
        <v>0</v>
      </c>
      <c r="E250" s="225">
        <f>(E178+E185+E192-E206)*Parameters!$J10</f>
        <v>0</v>
      </c>
      <c r="F250" s="225">
        <f>(F178+F185+F192-F206)*Parameters!$J10</f>
        <v>0</v>
      </c>
      <c r="G250" s="225">
        <f>(G178+G185+G192-G206)*Parameters!$J10</f>
        <v>0</v>
      </c>
      <c r="H250" s="226">
        <f>SUM(D250:G250)</f>
        <v>0</v>
      </c>
      <c r="I250" s="221">
        <f>(I178+I185+I192-I206)*Parameters!$J10</f>
        <v>0</v>
      </c>
      <c r="J250" s="225">
        <f>(J178+J185+J192-J206)*Parameters!$J10</f>
        <v>0</v>
      </c>
      <c r="K250" s="225">
        <f>(K178+K185+K192-K206)*Parameters!$J10</f>
        <v>0</v>
      </c>
      <c r="L250" s="225">
        <f>(L178+L185+L192-L206)*Parameters!$J10</f>
        <v>0</v>
      </c>
      <c r="M250" s="226">
        <f>SUM(I250:L250)</f>
        <v>0</v>
      </c>
      <c r="N250" s="221">
        <f>(N178+N185+N192-N206)*Parameters!$J10</f>
        <v>0</v>
      </c>
      <c r="O250" s="225">
        <f>(O178+O185+O192-O206)*Parameters!$J10</f>
        <v>0</v>
      </c>
      <c r="P250" s="225">
        <f>(P178+P185+P192-P206)*Parameters!$J10</f>
        <v>0</v>
      </c>
      <c r="Q250" s="225">
        <f>(Q178+Q185+Q192-Q206)*Parameters!$J10</f>
        <v>0</v>
      </c>
      <c r="R250" s="226">
        <f>SUM(N250:Q250)</f>
        <v>0</v>
      </c>
      <c r="S250" s="221">
        <f>(S178+S185+S192-S206)*Parameters!$J10</f>
        <v>0</v>
      </c>
      <c r="T250" s="225">
        <f>(T178+T185+T192-T206)*Parameters!$J10</f>
        <v>0</v>
      </c>
      <c r="U250" s="225">
        <f>(U178+U185+U192-U206)*Parameters!$J10</f>
        <v>0</v>
      </c>
      <c r="V250" s="225">
        <f>(V178+V185+V192-V206)*Parameters!$J10</f>
        <v>0</v>
      </c>
      <c r="W250" s="226">
        <f>SUM(S250:V250)</f>
        <v>0</v>
      </c>
      <c r="X250" s="221">
        <f>(X178+X185+X192-X206)*Parameters!$J10</f>
        <v>0</v>
      </c>
      <c r="Y250" s="225">
        <f>(Y178+Y185+Y192-Y206)*Parameters!$J10</f>
        <v>0</v>
      </c>
      <c r="Z250" s="225">
        <f>(Z178+Z185+Z192-Z206)*Parameters!$J10</f>
        <v>0</v>
      </c>
      <c r="AA250" s="225">
        <f>(AA178+AA185+AA192-AA206)*Parameters!$J10</f>
        <v>0</v>
      </c>
      <c r="AB250" s="226">
        <f>SUM(X250:AA250)</f>
        <v>0</v>
      </c>
      <c r="AC250" s="235">
        <f>H250+M250+R250+W250+AB250</f>
        <v>0</v>
      </c>
    </row>
    <row r="251" spans="1:29" ht="13.2" thickBot="1" x14ac:dyDescent="0.25">
      <c r="A251" s="787"/>
      <c r="B251" s="765"/>
      <c r="C251" s="420" t="s">
        <v>253</v>
      </c>
      <c r="D251" s="436">
        <f t="shared" ref="D251:AC251" si="110">SUM(D247:D250)</f>
        <v>0</v>
      </c>
      <c r="E251" s="437">
        <f t="shared" si="110"/>
        <v>0</v>
      </c>
      <c r="F251" s="437">
        <f t="shared" si="110"/>
        <v>0</v>
      </c>
      <c r="G251" s="437">
        <f t="shared" si="110"/>
        <v>0</v>
      </c>
      <c r="H251" s="438">
        <f t="shared" si="110"/>
        <v>0</v>
      </c>
      <c r="I251" s="436">
        <f t="shared" si="110"/>
        <v>0</v>
      </c>
      <c r="J251" s="437">
        <f t="shared" si="110"/>
        <v>0</v>
      </c>
      <c r="K251" s="437">
        <f t="shared" si="110"/>
        <v>0</v>
      </c>
      <c r="L251" s="437">
        <f t="shared" si="110"/>
        <v>0</v>
      </c>
      <c r="M251" s="438">
        <f t="shared" si="110"/>
        <v>0</v>
      </c>
      <c r="N251" s="436">
        <f t="shared" si="110"/>
        <v>0</v>
      </c>
      <c r="O251" s="437">
        <f t="shared" si="110"/>
        <v>0</v>
      </c>
      <c r="P251" s="437">
        <f t="shared" si="110"/>
        <v>0</v>
      </c>
      <c r="Q251" s="437">
        <f t="shared" si="110"/>
        <v>0</v>
      </c>
      <c r="R251" s="438">
        <f t="shared" si="110"/>
        <v>0</v>
      </c>
      <c r="S251" s="436">
        <f t="shared" si="110"/>
        <v>0</v>
      </c>
      <c r="T251" s="437">
        <f t="shared" si="110"/>
        <v>0</v>
      </c>
      <c r="U251" s="437">
        <f t="shared" si="110"/>
        <v>0</v>
      </c>
      <c r="V251" s="437">
        <f t="shared" si="110"/>
        <v>0</v>
      </c>
      <c r="W251" s="438">
        <f t="shared" si="110"/>
        <v>0</v>
      </c>
      <c r="X251" s="436">
        <f t="shared" si="110"/>
        <v>0</v>
      </c>
      <c r="Y251" s="437">
        <f t="shared" si="110"/>
        <v>0</v>
      </c>
      <c r="Z251" s="437">
        <f t="shared" si="110"/>
        <v>0</v>
      </c>
      <c r="AA251" s="437">
        <f t="shared" si="110"/>
        <v>0</v>
      </c>
      <c r="AB251" s="438">
        <f t="shared" si="110"/>
        <v>0</v>
      </c>
      <c r="AC251" s="438">
        <f t="shared" si="110"/>
        <v>0</v>
      </c>
    </row>
    <row r="252" spans="1:29" ht="13.2" thickBot="1" x14ac:dyDescent="0.25">
      <c r="A252" s="787"/>
      <c r="B252" s="766"/>
      <c r="C252" s="416" t="s">
        <v>139</v>
      </c>
      <c r="D252" s="433">
        <f t="shared" ref="D252:AC252" si="111">D246+D251</f>
        <v>2280</v>
      </c>
      <c r="E252" s="434">
        <f t="shared" si="111"/>
        <v>6918</v>
      </c>
      <c r="F252" s="434">
        <f t="shared" si="111"/>
        <v>7152</v>
      </c>
      <c r="G252" s="434">
        <f t="shared" si="111"/>
        <v>7386</v>
      </c>
      <c r="H252" s="435">
        <f t="shared" si="111"/>
        <v>23736</v>
      </c>
      <c r="I252" s="433">
        <f t="shared" si="111"/>
        <v>7477.5</v>
      </c>
      <c r="J252" s="434">
        <f t="shared" si="111"/>
        <v>7706.625</v>
      </c>
      <c r="K252" s="434">
        <f t="shared" si="111"/>
        <v>7935.75</v>
      </c>
      <c r="L252" s="434">
        <f t="shared" si="111"/>
        <v>8449.875</v>
      </c>
      <c r="M252" s="435">
        <f t="shared" si="111"/>
        <v>31569.75</v>
      </c>
      <c r="N252" s="433">
        <f t="shared" si="111"/>
        <v>8118.75</v>
      </c>
      <c r="O252" s="434">
        <f t="shared" si="111"/>
        <v>8338.125</v>
      </c>
      <c r="P252" s="434">
        <f t="shared" si="111"/>
        <v>8557.5</v>
      </c>
      <c r="Q252" s="434">
        <f t="shared" si="111"/>
        <v>8776.875</v>
      </c>
      <c r="R252" s="435">
        <f t="shared" si="111"/>
        <v>33791.25</v>
      </c>
      <c r="S252" s="433">
        <f t="shared" si="111"/>
        <v>5433.75</v>
      </c>
      <c r="T252" s="434">
        <f t="shared" si="111"/>
        <v>5531.25</v>
      </c>
      <c r="U252" s="434">
        <f t="shared" si="111"/>
        <v>5628.75</v>
      </c>
      <c r="V252" s="434">
        <f t="shared" si="111"/>
        <v>5726.25</v>
      </c>
      <c r="W252" s="435">
        <f t="shared" si="111"/>
        <v>22320</v>
      </c>
      <c r="X252" s="433">
        <f t="shared" si="111"/>
        <v>2973.75</v>
      </c>
      <c r="Y252" s="434">
        <f t="shared" si="111"/>
        <v>2973.75</v>
      </c>
      <c r="Z252" s="434">
        <f t="shared" si="111"/>
        <v>2973.75</v>
      </c>
      <c r="AA252" s="434">
        <f t="shared" si="111"/>
        <v>2973.75</v>
      </c>
      <c r="AB252" s="435">
        <f t="shared" si="111"/>
        <v>11895</v>
      </c>
      <c r="AC252" s="435">
        <f t="shared" si="111"/>
        <v>123312</v>
      </c>
    </row>
    <row r="253" spans="1:29" ht="13.05" customHeight="1" x14ac:dyDescent="0.2">
      <c r="A253" s="787"/>
      <c r="B253" s="764" t="s">
        <v>246</v>
      </c>
      <c r="C253" s="206" t="str">
        <f>C$3</f>
        <v>Liftoil</v>
      </c>
      <c r="D253" s="218">
        <f>(D174+D181+D188-D202)*Parameters!$M6</f>
        <v>0</v>
      </c>
      <c r="E253" s="219">
        <f>(E174+E181+E188-E202)*Parameters!$M6</f>
        <v>0</v>
      </c>
      <c r="F253" s="219">
        <f>(F174+F181+F188-F202)*Parameters!$M6</f>
        <v>0</v>
      </c>
      <c r="G253" s="219">
        <f>(G174+G181+G188-G202)*Parameters!$M6</f>
        <v>0</v>
      </c>
      <c r="H253" s="220">
        <f>SUM(D253:G253)</f>
        <v>0</v>
      </c>
      <c r="I253" s="218">
        <f>(I174+I181+I188-I202)*Parameters!$M6</f>
        <v>0</v>
      </c>
      <c r="J253" s="219">
        <f>(J174+J181+J188-J202)*Parameters!$M6</f>
        <v>0</v>
      </c>
      <c r="K253" s="219">
        <f>(K174+K181+K188-K202)*Parameters!$M6</f>
        <v>0</v>
      </c>
      <c r="L253" s="219">
        <f>(L174+L181+L188-L202)*Parameters!$M6</f>
        <v>0</v>
      </c>
      <c r="M253" s="220">
        <f>SUM(I253:L253)</f>
        <v>0</v>
      </c>
      <c r="N253" s="218">
        <f>(N174+N181+N188-N202)*Parameters!$M6</f>
        <v>0</v>
      </c>
      <c r="O253" s="219">
        <f>(O174+O181+O188-O202)*Parameters!$M6</f>
        <v>0</v>
      </c>
      <c r="P253" s="219">
        <f>(P174+P181+P188-P202)*Parameters!$M6</f>
        <v>0</v>
      </c>
      <c r="Q253" s="219">
        <f>(Q174+Q181+Q188-Q202)*Parameters!$M6</f>
        <v>0</v>
      </c>
      <c r="R253" s="220">
        <f>SUM(N253:Q253)</f>
        <v>0</v>
      </c>
      <c r="S253" s="218">
        <f>(S174+S181+S188-S202)*Parameters!$M6</f>
        <v>0</v>
      </c>
      <c r="T253" s="219">
        <f>(T174+T181+T188-T202)*Parameters!$M6</f>
        <v>0</v>
      </c>
      <c r="U253" s="219">
        <f>(U174+U181+U188-U202)*Parameters!$M6</f>
        <v>0</v>
      </c>
      <c r="V253" s="219">
        <f>(V174+V181+V188-V202)*Parameters!$M6</f>
        <v>0</v>
      </c>
      <c r="W253" s="220">
        <f>SUM(S253:V253)</f>
        <v>0</v>
      </c>
      <c r="X253" s="218">
        <f>(X174+X181+X188-X202)*Parameters!$M6</f>
        <v>0</v>
      </c>
      <c r="Y253" s="219">
        <f>(Y174+Y181+Y188-Y202)*Parameters!$M6</f>
        <v>0</v>
      </c>
      <c r="Z253" s="219">
        <f>(Z174+Z181+Z188-Z202)*Parameters!$M6</f>
        <v>0</v>
      </c>
      <c r="AA253" s="219">
        <f>(AA174+AA181+AA188-AA202)*Parameters!$M6</f>
        <v>0</v>
      </c>
      <c r="AB253" s="220">
        <f>SUM(X253:AA253)</f>
        <v>0</v>
      </c>
      <c r="AC253" s="233">
        <f>H253+M253+R253+W253+AB253</f>
        <v>0</v>
      </c>
    </row>
    <row r="254" spans="1:29" ht="13.05" customHeight="1" x14ac:dyDescent="0.2">
      <c r="A254" s="787"/>
      <c r="B254" s="765"/>
      <c r="C254" s="275" t="str">
        <f>C$4</f>
        <v>USA Canada</v>
      </c>
      <c r="D254" s="221">
        <f>(D175+D182+D189-D203)*Parameters!$M7</f>
        <v>0</v>
      </c>
      <c r="E254" s="285">
        <f>(E175+E182+E189-E203)*Parameters!$M7</f>
        <v>0</v>
      </c>
      <c r="F254" s="285">
        <f>(F175+F182+F189-F203)*Parameters!$M7</f>
        <v>0</v>
      </c>
      <c r="G254" s="285">
        <f>(G175+G182+G189-G203)*Parameters!$M7</f>
        <v>0</v>
      </c>
      <c r="H254" s="223">
        <f>SUM(D254:G254)</f>
        <v>0</v>
      </c>
      <c r="I254" s="221">
        <f>(I175+I182+I189-I203)*Parameters!$M7</f>
        <v>0</v>
      </c>
      <c r="J254" s="285">
        <f>(J175+J182+J189-J203)*Parameters!$M7</f>
        <v>0</v>
      </c>
      <c r="K254" s="285">
        <f>(K175+K182+K189-K203)*Parameters!$M7</f>
        <v>0</v>
      </c>
      <c r="L254" s="285">
        <f>(L175+L182+L189-L203)*Parameters!$M7</f>
        <v>0</v>
      </c>
      <c r="M254" s="223">
        <f>SUM(I254:L254)</f>
        <v>0</v>
      </c>
      <c r="N254" s="221">
        <f>(N175+N182+N189-N203)*Parameters!$M7</f>
        <v>0</v>
      </c>
      <c r="O254" s="285">
        <f>(O175+O182+O189-O203)*Parameters!$M7</f>
        <v>0</v>
      </c>
      <c r="P254" s="285">
        <f>(P175+P182+P189-P203)*Parameters!$M7</f>
        <v>0</v>
      </c>
      <c r="Q254" s="285">
        <f>(Q175+Q182+Q189-Q203)*Parameters!$M7</f>
        <v>0</v>
      </c>
      <c r="R254" s="223">
        <f>SUM(N254:Q254)</f>
        <v>0</v>
      </c>
      <c r="S254" s="221">
        <f>(S175+S182+S189-S203)*Parameters!$M7</f>
        <v>0</v>
      </c>
      <c r="T254" s="285">
        <f>(T175+T182+T189-T203)*Parameters!$M7</f>
        <v>0</v>
      </c>
      <c r="U254" s="285">
        <f>(U175+U182+U189-U203)*Parameters!$M7</f>
        <v>0</v>
      </c>
      <c r="V254" s="285">
        <f>(V175+V182+V189-V203)*Parameters!$M7</f>
        <v>0</v>
      </c>
      <c r="W254" s="223">
        <f>SUM(S254:V254)</f>
        <v>0</v>
      </c>
      <c r="X254" s="221">
        <f>(X175+X182+X189-X203)*Parameters!$M7</f>
        <v>0</v>
      </c>
      <c r="Y254" s="285">
        <f>(Y175+Y182+Y189-Y203)*Parameters!$M7</f>
        <v>0</v>
      </c>
      <c r="Z254" s="285">
        <f>(Z175+Z182+Z189-Z203)*Parameters!$M7</f>
        <v>0</v>
      </c>
      <c r="AA254" s="285">
        <f>(AA175+AA182+AA189-AA203)*Parameters!$M7</f>
        <v>0</v>
      </c>
      <c r="AB254" s="223">
        <f>SUM(X254:AA254)</f>
        <v>0</v>
      </c>
      <c r="AC254" s="234">
        <f>H254+M254+R254+W254+AB254</f>
        <v>0</v>
      </c>
    </row>
    <row r="255" spans="1:29" x14ac:dyDescent="0.2">
      <c r="A255" s="787"/>
      <c r="B255" s="765"/>
      <c r="C255" s="207" t="str">
        <f>C$5</f>
        <v>Europe</v>
      </c>
      <c r="D255" s="221">
        <f>(D176+D183+D190-D204)*Parameters!$M8</f>
        <v>0</v>
      </c>
      <c r="E255" s="222">
        <f>(E176+E183+E190-E204)*Parameters!$M8</f>
        <v>0</v>
      </c>
      <c r="F255" s="222">
        <f>(F176+F183+F190-F204)*Parameters!$M8</f>
        <v>0</v>
      </c>
      <c r="G255" s="222">
        <f>(G176+G183+G190-G204)*Parameters!$M8</f>
        <v>0</v>
      </c>
      <c r="H255" s="223">
        <f>SUM(D255:G255)</f>
        <v>0</v>
      </c>
      <c r="I255" s="221">
        <f>(I176+I183+I190-I204)*Parameters!$M8</f>
        <v>0</v>
      </c>
      <c r="J255" s="222">
        <f>(J176+J183+J190-J204)*Parameters!$M8</f>
        <v>0</v>
      </c>
      <c r="K255" s="222">
        <f>(K176+K183+K190-K204)*Parameters!$M8</f>
        <v>0</v>
      </c>
      <c r="L255" s="222">
        <f>(L176+L183+L190-L204)*Parameters!$M8</f>
        <v>0</v>
      </c>
      <c r="M255" s="223">
        <f>SUM(I255:L255)</f>
        <v>0</v>
      </c>
      <c r="N255" s="221">
        <f>(N176+N183+N190-N204)*Parameters!$M8</f>
        <v>0</v>
      </c>
      <c r="O255" s="222">
        <f>(O176+O183+O190-O204)*Parameters!$M8</f>
        <v>0</v>
      </c>
      <c r="P255" s="222">
        <f>(P176+P183+P190-P204)*Parameters!$M8</f>
        <v>0</v>
      </c>
      <c r="Q255" s="222">
        <f>(Q176+Q183+Q190-Q204)*Parameters!$M8</f>
        <v>0</v>
      </c>
      <c r="R255" s="223">
        <f>SUM(N255:Q255)</f>
        <v>0</v>
      </c>
      <c r="S255" s="221">
        <f>(S176+S183+S190-S204)*Parameters!$M8</f>
        <v>0</v>
      </c>
      <c r="T255" s="222">
        <f>(T176+T183+T190-T204)*Parameters!$M8</f>
        <v>0</v>
      </c>
      <c r="U255" s="222">
        <f>(U176+U183+U190-U204)*Parameters!$M8</f>
        <v>0</v>
      </c>
      <c r="V255" s="222">
        <f>(V176+V183+V190-V204)*Parameters!$M8</f>
        <v>0</v>
      </c>
      <c r="W255" s="223">
        <f>SUM(S255:V255)</f>
        <v>0</v>
      </c>
      <c r="X255" s="221">
        <f>(X176+X183+X190-X204)*Parameters!$M8</f>
        <v>0</v>
      </c>
      <c r="Y255" s="222">
        <f>(Y176+Y183+Y190-Y204)*Parameters!$M8</f>
        <v>0</v>
      </c>
      <c r="Z255" s="222">
        <f>(Z176+Z183+Z190-Z204)*Parameters!$M8</f>
        <v>0</v>
      </c>
      <c r="AA255" s="222">
        <f>(AA176+AA183+AA190-AA204)*Parameters!$M8</f>
        <v>0</v>
      </c>
      <c r="AB255" s="223">
        <f>SUM(X255:AA255)</f>
        <v>0</v>
      </c>
      <c r="AC255" s="234">
        <f>H255+M255+R255+W255+AB255</f>
        <v>0</v>
      </c>
    </row>
    <row r="256" spans="1:29" x14ac:dyDescent="0.2">
      <c r="A256" s="787"/>
      <c r="B256" s="765"/>
      <c r="C256" s="207" t="str">
        <f>C$6</f>
        <v>Africa</v>
      </c>
      <c r="D256" s="221">
        <f>(D177+D184+D191-D205)*Parameters!$M9</f>
        <v>0</v>
      </c>
      <c r="E256" s="222">
        <f>(E177+E184+E191-E205)*Parameters!$M9</f>
        <v>0</v>
      </c>
      <c r="F256" s="222">
        <f>(F177+F184+F191-F205)*Parameters!$M9</f>
        <v>0</v>
      </c>
      <c r="G256" s="222">
        <f>(G177+G184+G191-G205)*Parameters!$M9</f>
        <v>0</v>
      </c>
      <c r="H256" s="223">
        <f>SUM(D256:G256)</f>
        <v>0</v>
      </c>
      <c r="I256" s="221">
        <f>(I177+I184+I191-I205)*Parameters!$M9</f>
        <v>0</v>
      </c>
      <c r="J256" s="222">
        <f>(J177+J184+J191-J205)*Parameters!$M9</f>
        <v>0</v>
      </c>
      <c r="K256" s="222">
        <f>(K177+K184+K191-K205)*Parameters!$M9</f>
        <v>0</v>
      </c>
      <c r="L256" s="222">
        <f>(L177+L184+L191-L205)*Parameters!$M9</f>
        <v>0</v>
      </c>
      <c r="M256" s="223">
        <f>SUM(I256:L256)</f>
        <v>0</v>
      </c>
      <c r="N256" s="221">
        <f>(N177+N184+N191-N205)*Parameters!$M9</f>
        <v>0</v>
      </c>
      <c r="O256" s="222">
        <f>(O177+O184+O191-O205)*Parameters!$M9</f>
        <v>0</v>
      </c>
      <c r="P256" s="222">
        <f>(P177+P184+P191-P205)*Parameters!$M9</f>
        <v>0</v>
      </c>
      <c r="Q256" s="222">
        <f>(Q177+Q184+Q191-Q205)*Parameters!$M9</f>
        <v>0</v>
      </c>
      <c r="R256" s="223">
        <f>SUM(N256:Q256)</f>
        <v>0</v>
      </c>
      <c r="S256" s="221">
        <f>(S177+S184+S191-S205)*Parameters!$M9</f>
        <v>0</v>
      </c>
      <c r="T256" s="222">
        <f>(T177+T184+T191-T205)*Parameters!$M9</f>
        <v>0</v>
      </c>
      <c r="U256" s="222">
        <f>(U177+U184+U191-U205)*Parameters!$M9</f>
        <v>0</v>
      </c>
      <c r="V256" s="222">
        <f>(V177+V184+V191-V205)*Parameters!$M9</f>
        <v>0</v>
      </c>
      <c r="W256" s="223">
        <f>SUM(S256:V256)</f>
        <v>0</v>
      </c>
      <c r="X256" s="221">
        <f>(X177+X184+X191-X205)*Parameters!$M9</f>
        <v>0</v>
      </c>
      <c r="Y256" s="222">
        <f>(Y177+Y184+Y191-Y205)*Parameters!$M9</f>
        <v>0</v>
      </c>
      <c r="Z256" s="222">
        <f>(Z177+Z184+Z191-Z205)*Parameters!$M9</f>
        <v>0</v>
      </c>
      <c r="AA256" s="222">
        <f>(AA177+AA184+AA191-AA205)*Parameters!$M9</f>
        <v>0</v>
      </c>
      <c r="AB256" s="223">
        <f>SUM(X256:AA256)</f>
        <v>0</v>
      </c>
      <c r="AC256" s="234">
        <f>H256+M256+R256+W256+AB256</f>
        <v>0</v>
      </c>
    </row>
    <row r="257" spans="1:29" ht="13.2" thickBot="1" x14ac:dyDescent="0.25">
      <c r="A257" s="787"/>
      <c r="B257" s="765"/>
      <c r="C257" s="208" t="str">
        <f>C$7</f>
        <v>Asia</v>
      </c>
      <c r="D257" s="224">
        <f>(D178+D185+D192-D206)*Parameters!$M10</f>
        <v>0</v>
      </c>
      <c r="E257" s="225">
        <f>(E178+E185+E192-E206)*Parameters!$M10</f>
        <v>0</v>
      </c>
      <c r="F257" s="225">
        <f>(F178+F185+F192-F206)*Parameters!$M10</f>
        <v>0</v>
      </c>
      <c r="G257" s="225">
        <f>(G178+G185+G192-G206)*Parameters!$M10</f>
        <v>0</v>
      </c>
      <c r="H257" s="226">
        <f>SUM(D257:G257)</f>
        <v>0</v>
      </c>
      <c r="I257" s="224">
        <f>(I178+I185+I192-I206)*Parameters!$M10</f>
        <v>0</v>
      </c>
      <c r="J257" s="225">
        <f>(J178+J185+J192-J206)*Parameters!$M10</f>
        <v>0</v>
      </c>
      <c r="K257" s="225">
        <f>(K178+K185+K192-K206)*Parameters!$M10</f>
        <v>0</v>
      </c>
      <c r="L257" s="225">
        <f>(L178+L185+L192-L206)*Parameters!$M10</f>
        <v>0</v>
      </c>
      <c r="M257" s="226">
        <f>SUM(I257:L257)</f>
        <v>0</v>
      </c>
      <c r="N257" s="224">
        <f>(N178+N185+N192-N206)*Parameters!$M10</f>
        <v>0</v>
      </c>
      <c r="O257" s="225">
        <f>(O178+O185+O192-O206)*Parameters!$M10</f>
        <v>0</v>
      </c>
      <c r="P257" s="225">
        <f>(P178+P185+P192-P206)*Parameters!$M10</f>
        <v>0</v>
      </c>
      <c r="Q257" s="225">
        <f>(Q178+Q185+Q192-Q206)*Parameters!$M10</f>
        <v>0</v>
      </c>
      <c r="R257" s="226">
        <f>SUM(N257:Q257)</f>
        <v>0</v>
      </c>
      <c r="S257" s="224">
        <f>(S178+S185+S192-S206)*Parameters!$M10</f>
        <v>0</v>
      </c>
      <c r="T257" s="225">
        <f>(T178+T185+T192-T206)*Parameters!$M10</f>
        <v>0</v>
      </c>
      <c r="U257" s="225">
        <f>(U178+U185+U192-U206)*Parameters!$M10</f>
        <v>0</v>
      </c>
      <c r="V257" s="225">
        <f>(V178+V185+V192-V206)*Parameters!$M10</f>
        <v>0</v>
      </c>
      <c r="W257" s="226">
        <f>SUM(S257:V257)</f>
        <v>0</v>
      </c>
      <c r="X257" s="224">
        <f>(X178+X185+X192-X206)*Parameters!$M10</f>
        <v>0</v>
      </c>
      <c r="Y257" s="225">
        <f>(Y178+Y185+Y192-Y206)*Parameters!$M10</f>
        <v>0</v>
      </c>
      <c r="Z257" s="225">
        <f>(Z178+Z185+Z192-Z206)*Parameters!$M10</f>
        <v>0</v>
      </c>
      <c r="AA257" s="225">
        <f>(AA178+AA185+AA192-AA206)*Parameters!$M10</f>
        <v>0</v>
      </c>
      <c r="AB257" s="226">
        <f>SUM(X257:AA257)</f>
        <v>0</v>
      </c>
      <c r="AC257" s="235">
        <f>H257+M257+R257+W257+AB257</f>
        <v>0</v>
      </c>
    </row>
    <row r="258" spans="1:29" ht="13.2" thickBot="1" x14ac:dyDescent="0.25">
      <c r="A258" s="787"/>
      <c r="B258" s="765"/>
      <c r="C258" s="420" t="s">
        <v>253</v>
      </c>
      <c r="D258" s="436">
        <f t="shared" ref="D258:AC258" si="112">SUM(D254:D257)</f>
        <v>0</v>
      </c>
      <c r="E258" s="437">
        <f t="shared" si="112"/>
        <v>0</v>
      </c>
      <c r="F258" s="437">
        <f t="shared" si="112"/>
        <v>0</v>
      </c>
      <c r="G258" s="437">
        <f t="shared" si="112"/>
        <v>0</v>
      </c>
      <c r="H258" s="438">
        <f t="shared" si="112"/>
        <v>0</v>
      </c>
      <c r="I258" s="436">
        <f t="shared" si="112"/>
        <v>0</v>
      </c>
      <c r="J258" s="437">
        <f t="shared" si="112"/>
        <v>0</v>
      </c>
      <c r="K258" s="437">
        <f t="shared" si="112"/>
        <v>0</v>
      </c>
      <c r="L258" s="437">
        <f t="shared" si="112"/>
        <v>0</v>
      </c>
      <c r="M258" s="438">
        <f t="shared" si="112"/>
        <v>0</v>
      </c>
      <c r="N258" s="436">
        <f t="shared" si="112"/>
        <v>0</v>
      </c>
      <c r="O258" s="437">
        <f t="shared" si="112"/>
        <v>0</v>
      </c>
      <c r="P258" s="437">
        <f t="shared" si="112"/>
        <v>0</v>
      </c>
      <c r="Q258" s="437">
        <f t="shared" si="112"/>
        <v>0</v>
      </c>
      <c r="R258" s="438">
        <f t="shared" si="112"/>
        <v>0</v>
      </c>
      <c r="S258" s="436">
        <f t="shared" si="112"/>
        <v>0</v>
      </c>
      <c r="T258" s="437">
        <f t="shared" si="112"/>
        <v>0</v>
      </c>
      <c r="U258" s="437">
        <f t="shared" si="112"/>
        <v>0</v>
      </c>
      <c r="V258" s="437">
        <f t="shared" si="112"/>
        <v>0</v>
      </c>
      <c r="W258" s="438">
        <f t="shared" si="112"/>
        <v>0</v>
      </c>
      <c r="X258" s="436">
        <f t="shared" si="112"/>
        <v>0</v>
      </c>
      <c r="Y258" s="437">
        <f t="shared" si="112"/>
        <v>0</v>
      </c>
      <c r="Z258" s="437">
        <f t="shared" si="112"/>
        <v>0</v>
      </c>
      <c r="AA258" s="437">
        <f t="shared" si="112"/>
        <v>0</v>
      </c>
      <c r="AB258" s="438">
        <f t="shared" si="112"/>
        <v>0</v>
      </c>
      <c r="AC258" s="438">
        <f t="shared" si="112"/>
        <v>0</v>
      </c>
    </row>
    <row r="259" spans="1:29" ht="13.2" thickBot="1" x14ac:dyDescent="0.25">
      <c r="A259" s="787"/>
      <c r="B259" s="766"/>
      <c r="C259" s="416" t="s">
        <v>139</v>
      </c>
      <c r="D259" s="433">
        <f t="shared" ref="D259:AC259" si="113">D253+D258</f>
        <v>0</v>
      </c>
      <c r="E259" s="434">
        <f t="shared" si="113"/>
        <v>0</v>
      </c>
      <c r="F259" s="434">
        <f t="shared" si="113"/>
        <v>0</v>
      </c>
      <c r="G259" s="434">
        <f t="shared" si="113"/>
        <v>0</v>
      </c>
      <c r="H259" s="435">
        <f t="shared" si="113"/>
        <v>0</v>
      </c>
      <c r="I259" s="433">
        <f t="shared" si="113"/>
        <v>0</v>
      </c>
      <c r="J259" s="434">
        <f t="shared" si="113"/>
        <v>0</v>
      </c>
      <c r="K259" s="434">
        <f t="shared" si="113"/>
        <v>0</v>
      </c>
      <c r="L259" s="434">
        <f t="shared" si="113"/>
        <v>0</v>
      </c>
      <c r="M259" s="435">
        <f t="shared" si="113"/>
        <v>0</v>
      </c>
      <c r="N259" s="433">
        <f t="shared" si="113"/>
        <v>0</v>
      </c>
      <c r="O259" s="434">
        <f t="shared" si="113"/>
        <v>0</v>
      </c>
      <c r="P259" s="434">
        <f t="shared" si="113"/>
        <v>0</v>
      </c>
      <c r="Q259" s="434">
        <f t="shared" si="113"/>
        <v>0</v>
      </c>
      <c r="R259" s="435">
        <f t="shared" si="113"/>
        <v>0</v>
      </c>
      <c r="S259" s="433">
        <f t="shared" si="113"/>
        <v>0</v>
      </c>
      <c r="T259" s="434">
        <f t="shared" si="113"/>
        <v>0</v>
      </c>
      <c r="U259" s="434">
        <f t="shared" si="113"/>
        <v>0</v>
      </c>
      <c r="V259" s="434">
        <f t="shared" si="113"/>
        <v>0</v>
      </c>
      <c r="W259" s="435">
        <f t="shared" si="113"/>
        <v>0</v>
      </c>
      <c r="X259" s="433">
        <f t="shared" si="113"/>
        <v>0</v>
      </c>
      <c r="Y259" s="434">
        <f t="shared" si="113"/>
        <v>0</v>
      </c>
      <c r="Z259" s="434">
        <f t="shared" si="113"/>
        <v>0</v>
      </c>
      <c r="AA259" s="434">
        <f t="shared" si="113"/>
        <v>0</v>
      </c>
      <c r="AB259" s="435">
        <f t="shared" si="113"/>
        <v>0</v>
      </c>
      <c r="AC259" s="435">
        <f t="shared" si="113"/>
        <v>0</v>
      </c>
    </row>
    <row r="260" spans="1:29" ht="13.05" customHeight="1" x14ac:dyDescent="0.2">
      <c r="A260" s="787"/>
      <c r="B260" s="764" t="s">
        <v>106</v>
      </c>
      <c r="C260" s="206" t="str">
        <f>C$3</f>
        <v>Liftoil</v>
      </c>
      <c r="D260" s="376">
        <f>H260/4</f>
        <v>96994</v>
      </c>
      <c r="E260" s="377">
        <f>H260/4</f>
        <v>96994</v>
      </c>
      <c r="F260" s="377">
        <f>H260/4</f>
        <v>96994</v>
      </c>
      <c r="G260" s="377">
        <f>H260/4</f>
        <v>96994</v>
      </c>
      <c r="H260" s="389">
        <f>'G&amp;A Expenses'!$D$200-H155</f>
        <v>387976</v>
      </c>
      <c r="I260" s="376">
        <f>M260/4</f>
        <v>90539.75</v>
      </c>
      <c r="J260" s="377">
        <f>M260/4</f>
        <v>90539.75</v>
      </c>
      <c r="K260" s="377">
        <f>M260/4</f>
        <v>90539.75</v>
      </c>
      <c r="L260" s="377">
        <f>M260/4</f>
        <v>90539.75</v>
      </c>
      <c r="M260" s="389">
        <f>'G&amp;A Expenses'!$F$200-M155</f>
        <v>362159</v>
      </c>
      <c r="N260" s="376">
        <f>R260/4</f>
        <v>79253.86500000002</v>
      </c>
      <c r="O260" s="377">
        <f>R260/4</f>
        <v>79253.86500000002</v>
      </c>
      <c r="P260" s="377">
        <f>R260/4</f>
        <v>79253.86500000002</v>
      </c>
      <c r="Q260" s="377">
        <f>R260/4</f>
        <v>79253.86500000002</v>
      </c>
      <c r="R260" s="389">
        <f>'G&amp;A Expenses'!$H$200-R155</f>
        <v>317015.46000000008</v>
      </c>
      <c r="S260" s="376">
        <f>W260/4</f>
        <v>69060.61162500002</v>
      </c>
      <c r="T260" s="377">
        <f>W260/4</f>
        <v>69060.61162500002</v>
      </c>
      <c r="U260" s="377">
        <f>W260/4</f>
        <v>69060.61162500002</v>
      </c>
      <c r="V260" s="377">
        <f>W260/4</f>
        <v>69060.61162500002</v>
      </c>
      <c r="W260" s="389">
        <f>'G&amp;A Expenses'!$J$200-W155</f>
        <v>276242.44650000008</v>
      </c>
      <c r="X260" s="376">
        <f>AB260/4</f>
        <v>56905.943979000003</v>
      </c>
      <c r="Y260" s="377">
        <f>AB260/4</f>
        <v>56905.943979000003</v>
      </c>
      <c r="Z260" s="377">
        <f>AB260/4</f>
        <v>56905.943979000003</v>
      </c>
      <c r="AA260" s="377">
        <f>AB260/4</f>
        <v>56905.943979000003</v>
      </c>
      <c r="AB260" s="389">
        <f>'G&amp;A Expenses'!$L$200-AB155</f>
        <v>227623.77591600001</v>
      </c>
      <c r="AC260" s="233">
        <f>H260+M260+R260+W260+AB260</f>
        <v>1571016.6824159999</v>
      </c>
    </row>
    <row r="261" spans="1:29" x14ac:dyDescent="0.2">
      <c r="A261" s="787"/>
      <c r="B261" s="765"/>
      <c r="C261" s="275" t="str">
        <f>C$4</f>
        <v>USA Canada</v>
      </c>
      <c r="D261" s="378">
        <f>H261/4</f>
        <v>0</v>
      </c>
      <c r="E261" s="379">
        <f>H261/4</f>
        <v>0</v>
      </c>
      <c r="F261" s="379">
        <f>H261/4</f>
        <v>0</v>
      </c>
      <c r="G261" s="379">
        <f>H261/4</f>
        <v>0</v>
      </c>
      <c r="H261" s="223">
        <f>'G&amp;A Expenses'!$D$137-H156</f>
        <v>0</v>
      </c>
      <c r="I261" s="378">
        <f>M261/4</f>
        <v>0</v>
      </c>
      <c r="J261" s="379">
        <f>M261/4</f>
        <v>0</v>
      </c>
      <c r="K261" s="379">
        <f>M261/4</f>
        <v>0</v>
      </c>
      <c r="L261" s="379">
        <f>M261/4</f>
        <v>0</v>
      </c>
      <c r="M261" s="223">
        <f>'G&amp;A Expenses'!$F$137-M156</f>
        <v>0</v>
      </c>
      <c r="N261" s="378">
        <f>R261/4</f>
        <v>0</v>
      </c>
      <c r="O261" s="379">
        <f>R261/4</f>
        <v>0</v>
      </c>
      <c r="P261" s="379">
        <f>R261/4</f>
        <v>0</v>
      </c>
      <c r="Q261" s="379">
        <f>R261/4</f>
        <v>0</v>
      </c>
      <c r="R261" s="223">
        <f>'G&amp;A Expenses'!$H$137-R156</f>
        <v>0</v>
      </c>
      <c r="S261" s="378">
        <f>W261/4</f>
        <v>0</v>
      </c>
      <c r="T261" s="379">
        <f>W261/4</f>
        <v>0</v>
      </c>
      <c r="U261" s="379">
        <f>W261/4</f>
        <v>0</v>
      </c>
      <c r="V261" s="379">
        <f>W261/4</f>
        <v>0</v>
      </c>
      <c r="W261" s="223">
        <f>'G&amp;A Expenses'!$J$137-W156</f>
        <v>0</v>
      </c>
      <c r="X261" s="378">
        <f>AB261/4</f>
        <v>0</v>
      </c>
      <c r="Y261" s="379">
        <f>AB261/4</f>
        <v>0</v>
      </c>
      <c r="Z261" s="379">
        <f>AB261/4</f>
        <v>0</v>
      </c>
      <c r="AA261" s="379">
        <f>AB261/4</f>
        <v>0</v>
      </c>
      <c r="AB261" s="223">
        <f>'G&amp;A Expenses'!$L$137-AB156</f>
        <v>0</v>
      </c>
      <c r="AC261" s="234">
        <f>H261+M261+R261+W261+AB261</f>
        <v>0</v>
      </c>
    </row>
    <row r="262" spans="1:29" ht="13.2" thickBot="1" x14ac:dyDescent="0.25">
      <c r="A262" s="787"/>
      <c r="B262" s="765"/>
      <c r="C262" s="208" t="s">
        <v>353</v>
      </c>
      <c r="D262" s="380">
        <f>H262/4</f>
        <v>0</v>
      </c>
      <c r="E262" s="381">
        <f>H262/4</f>
        <v>0</v>
      </c>
      <c r="F262" s="381">
        <f>H262/4</f>
        <v>0</v>
      </c>
      <c r="G262" s="381">
        <f>H262/4</f>
        <v>0</v>
      </c>
      <c r="H262" s="226">
        <f>('G&amp;A Expenses'!$D$78*Parameters!$J$21)-H157</f>
        <v>0</v>
      </c>
      <c r="I262" s="380">
        <f>M262/4</f>
        <v>0</v>
      </c>
      <c r="J262" s="381">
        <f>M262/4</f>
        <v>0</v>
      </c>
      <c r="K262" s="381">
        <f>M262/4</f>
        <v>0</v>
      </c>
      <c r="L262" s="381">
        <f>M262/4</f>
        <v>0</v>
      </c>
      <c r="M262" s="226">
        <f>('G&amp;A Expenses'!$F$78*Parameters!$K$21)-M157</f>
        <v>0</v>
      </c>
      <c r="N262" s="380">
        <f>R262/4</f>
        <v>0</v>
      </c>
      <c r="O262" s="381">
        <f>R262/4</f>
        <v>0</v>
      </c>
      <c r="P262" s="381">
        <f>R262/4</f>
        <v>0</v>
      </c>
      <c r="Q262" s="381">
        <f>R262/4</f>
        <v>0</v>
      </c>
      <c r="R262" s="226">
        <f>('G&amp;A Expenses'!$H$78*Parameters!$L$21)-R157</f>
        <v>0</v>
      </c>
      <c r="S262" s="380">
        <f>W262/4</f>
        <v>0</v>
      </c>
      <c r="T262" s="381">
        <f>W262/4</f>
        <v>0</v>
      </c>
      <c r="U262" s="381">
        <f>W262/4</f>
        <v>0</v>
      </c>
      <c r="V262" s="381">
        <f>W262/4</f>
        <v>0</v>
      </c>
      <c r="W262" s="226">
        <f>('G&amp;A Expenses'!$J$78*Parameters!$M$21)-W157</f>
        <v>0</v>
      </c>
      <c r="X262" s="380">
        <f>AB262/4</f>
        <v>0</v>
      </c>
      <c r="Y262" s="381">
        <f>AB262/4</f>
        <v>0</v>
      </c>
      <c r="Z262" s="381">
        <f>AB262/4</f>
        <v>0</v>
      </c>
      <c r="AA262" s="381">
        <f>AB262/4</f>
        <v>0</v>
      </c>
      <c r="AB262" s="226">
        <f>('G&amp;A Expenses'!$L$78*Parameters!$N$21)-AB157</f>
        <v>0</v>
      </c>
      <c r="AC262" s="235">
        <f>H262+M262+R262+W262+AB262</f>
        <v>0</v>
      </c>
    </row>
    <row r="263" spans="1:29" ht="13.2" thickBot="1" x14ac:dyDescent="0.25">
      <c r="A263" s="787"/>
      <c r="B263" s="765"/>
      <c r="C263" s="420" t="s">
        <v>253</v>
      </c>
      <c r="D263" s="436">
        <f t="shared" ref="D263:AC263" si="114">D261+D262</f>
        <v>0</v>
      </c>
      <c r="E263" s="437">
        <f t="shared" si="114"/>
        <v>0</v>
      </c>
      <c r="F263" s="437">
        <f t="shared" si="114"/>
        <v>0</v>
      </c>
      <c r="G263" s="437">
        <f t="shared" si="114"/>
        <v>0</v>
      </c>
      <c r="H263" s="438">
        <f t="shared" si="114"/>
        <v>0</v>
      </c>
      <c r="I263" s="436">
        <f t="shared" si="114"/>
        <v>0</v>
      </c>
      <c r="J263" s="437">
        <f t="shared" si="114"/>
        <v>0</v>
      </c>
      <c r="K263" s="437">
        <f t="shared" si="114"/>
        <v>0</v>
      </c>
      <c r="L263" s="437">
        <f t="shared" si="114"/>
        <v>0</v>
      </c>
      <c r="M263" s="438">
        <f t="shared" si="114"/>
        <v>0</v>
      </c>
      <c r="N263" s="436">
        <f t="shared" si="114"/>
        <v>0</v>
      </c>
      <c r="O263" s="437">
        <f t="shared" si="114"/>
        <v>0</v>
      </c>
      <c r="P263" s="437">
        <f t="shared" si="114"/>
        <v>0</v>
      </c>
      <c r="Q263" s="437">
        <f t="shared" si="114"/>
        <v>0</v>
      </c>
      <c r="R263" s="438">
        <f t="shared" si="114"/>
        <v>0</v>
      </c>
      <c r="S263" s="436">
        <f t="shared" si="114"/>
        <v>0</v>
      </c>
      <c r="T263" s="437">
        <f t="shared" si="114"/>
        <v>0</v>
      </c>
      <c r="U263" s="437">
        <f t="shared" si="114"/>
        <v>0</v>
      </c>
      <c r="V263" s="437">
        <f t="shared" si="114"/>
        <v>0</v>
      </c>
      <c r="W263" s="438">
        <f t="shared" si="114"/>
        <v>0</v>
      </c>
      <c r="X263" s="436">
        <f t="shared" si="114"/>
        <v>0</v>
      </c>
      <c r="Y263" s="437">
        <f t="shared" si="114"/>
        <v>0</v>
      </c>
      <c r="Z263" s="437">
        <f t="shared" si="114"/>
        <v>0</v>
      </c>
      <c r="AA263" s="437">
        <f t="shared" si="114"/>
        <v>0</v>
      </c>
      <c r="AB263" s="438">
        <f t="shared" si="114"/>
        <v>0</v>
      </c>
      <c r="AC263" s="439">
        <f t="shared" si="114"/>
        <v>0</v>
      </c>
    </row>
    <row r="264" spans="1:29" ht="13.2" thickBot="1" x14ac:dyDescent="0.25">
      <c r="A264" s="788"/>
      <c r="B264" s="766"/>
      <c r="C264" s="416" t="s">
        <v>139</v>
      </c>
      <c r="D264" s="227">
        <f t="shared" ref="D264:AC264" si="115">D263+D260</f>
        <v>96994</v>
      </c>
      <c r="E264" s="228">
        <f t="shared" si="115"/>
        <v>96994</v>
      </c>
      <c r="F264" s="228">
        <f t="shared" si="115"/>
        <v>96994</v>
      </c>
      <c r="G264" s="228">
        <f t="shared" si="115"/>
        <v>96994</v>
      </c>
      <c r="H264" s="229">
        <f t="shared" si="115"/>
        <v>387976</v>
      </c>
      <c r="I264" s="227">
        <f t="shared" si="115"/>
        <v>90539.75</v>
      </c>
      <c r="J264" s="228">
        <f t="shared" si="115"/>
        <v>90539.75</v>
      </c>
      <c r="K264" s="228">
        <f t="shared" si="115"/>
        <v>90539.75</v>
      </c>
      <c r="L264" s="228">
        <f t="shared" si="115"/>
        <v>90539.75</v>
      </c>
      <c r="M264" s="229">
        <f t="shared" si="115"/>
        <v>362159</v>
      </c>
      <c r="N264" s="227">
        <f t="shared" si="115"/>
        <v>79253.86500000002</v>
      </c>
      <c r="O264" s="228">
        <f t="shared" si="115"/>
        <v>79253.86500000002</v>
      </c>
      <c r="P264" s="228">
        <f t="shared" si="115"/>
        <v>79253.86500000002</v>
      </c>
      <c r="Q264" s="228">
        <f t="shared" si="115"/>
        <v>79253.86500000002</v>
      </c>
      <c r="R264" s="229">
        <f t="shared" si="115"/>
        <v>317015.46000000008</v>
      </c>
      <c r="S264" s="227">
        <f t="shared" si="115"/>
        <v>69060.61162500002</v>
      </c>
      <c r="T264" s="228">
        <f t="shared" si="115"/>
        <v>69060.61162500002</v>
      </c>
      <c r="U264" s="228">
        <f t="shared" si="115"/>
        <v>69060.61162500002</v>
      </c>
      <c r="V264" s="228">
        <f t="shared" si="115"/>
        <v>69060.61162500002</v>
      </c>
      <c r="W264" s="229">
        <f t="shared" si="115"/>
        <v>276242.44650000008</v>
      </c>
      <c r="X264" s="227">
        <f t="shared" si="115"/>
        <v>56905.943979000003</v>
      </c>
      <c r="Y264" s="228">
        <f t="shared" si="115"/>
        <v>56905.943979000003</v>
      </c>
      <c r="Z264" s="228">
        <f t="shared" si="115"/>
        <v>56905.943979000003</v>
      </c>
      <c r="AA264" s="228">
        <f t="shared" si="115"/>
        <v>56905.943979000003</v>
      </c>
      <c r="AB264" s="229">
        <f t="shared" si="115"/>
        <v>227623.77591600001</v>
      </c>
      <c r="AC264" s="256">
        <f t="shared" si="115"/>
        <v>1571016.6824159999</v>
      </c>
    </row>
    <row r="265" spans="1:29" ht="13.2" thickBot="1" x14ac:dyDescent="0.25">
      <c r="A265" s="290"/>
      <c r="B265" s="373"/>
      <c r="C265" s="374"/>
      <c r="D265" s="375"/>
      <c r="E265" s="375"/>
      <c r="F265" s="375"/>
      <c r="G265" s="375"/>
      <c r="H265" s="375"/>
      <c r="I265" s="375"/>
      <c r="J265" s="375"/>
      <c r="K265" s="375"/>
      <c r="L265" s="375"/>
      <c r="M265" s="375"/>
      <c r="N265" s="375"/>
      <c r="O265" s="375"/>
      <c r="P265" s="375"/>
      <c r="Q265" s="375"/>
      <c r="R265" s="375"/>
      <c r="S265" s="375"/>
      <c r="T265" s="375"/>
      <c r="U265" s="375"/>
      <c r="V265" s="375"/>
      <c r="W265" s="375"/>
      <c r="X265" s="375"/>
      <c r="Y265" s="375"/>
      <c r="Z265" s="375"/>
      <c r="AA265" s="375"/>
      <c r="AB265" s="375"/>
      <c r="AC265" s="375"/>
    </row>
    <row r="266" spans="1:29" ht="13.05" customHeight="1" x14ac:dyDescent="0.2">
      <c r="A266" s="764" t="s">
        <v>90</v>
      </c>
      <c r="B266" s="767"/>
      <c r="C266" s="206" t="str">
        <f>C253</f>
        <v>Liftoil</v>
      </c>
      <c r="D266" s="218">
        <f t="shared" ref="D266:G267" si="116">D45+D195</f>
        <v>509580</v>
      </c>
      <c r="E266" s="219">
        <f t="shared" si="116"/>
        <v>1603500</v>
      </c>
      <c r="F266" s="219">
        <f t="shared" si="116"/>
        <v>1827780</v>
      </c>
      <c r="G266" s="219">
        <f t="shared" si="116"/>
        <v>2052060</v>
      </c>
      <c r="H266" s="220">
        <f>SUM(D266:G266)</f>
        <v>5992920</v>
      </c>
      <c r="I266" s="218">
        <f t="shared" ref="I266:L267" si="117">I45+I195</f>
        <v>2453400</v>
      </c>
      <c r="J266" s="219">
        <f t="shared" si="117"/>
        <v>3090825</v>
      </c>
      <c r="K266" s="219">
        <f t="shared" si="117"/>
        <v>3728250</v>
      </c>
      <c r="L266" s="219">
        <f t="shared" si="117"/>
        <v>4425675</v>
      </c>
      <c r="M266" s="220">
        <f>SUM(I266:L266)</f>
        <v>13698150</v>
      </c>
      <c r="N266" s="218">
        <f t="shared" ref="N266:Q267" si="118">N45+N195</f>
        <v>5033790</v>
      </c>
      <c r="O266" s="219">
        <f t="shared" si="118"/>
        <v>5846745</v>
      </c>
      <c r="P266" s="219">
        <f t="shared" si="118"/>
        <v>6659700</v>
      </c>
      <c r="Q266" s="219">
        <f t="shared" si="118"/>
        <v>7472655</v>
      </c>
      <c r="R266" s="220">
        <f>SUM(N266:Q266)</f>
        <v>25012890</v>
      </c>
      <c r="S266" s="218">
        <f t="shared" ref="S266:V267" si="119">S45+S195</f>
        <v>7547442</v>
      </c>
      <c r="T266" s="219">
        <f t="shared" si="119"/>
        <v>8359686</v>
      </c>
      <c r="U266" s="219">
        <f t="shared" si="119"/>
        <v>9171930</v>
      </c>
      <c r="V266" s="219">
        <f t="shared" si="119"/>
        <v>9996006</v>
      </c>
      <c r="W266" s="220">
        <f>SUM(S266:V266)</f>
        <v>35075064</v>
      </c>
      <c r="X266" s="218">
        <f t="shared" ref="X266:AA267" si="120">X45+X195</f>
        <v>10308822</v>
      </c>
      <c r="Y266" s="219">
        <f t="shared" si="120"/>
        <v>11279046</v>
      </c>
      <c r="Z266" s="219">
        <f t="shared" si="120"/>
        <v>12249270</v>
      </c>
      <c r="AA266" s="219">
        <f t="shared" si="120"/>
        <v>13231326</v>
      </c>
      <c r="AB266" s="220">
        <f>SUM(X266:AA266)</f>
        <v>47068464</v>
      </c>
      <c r="AC266" s="233">
        <f>H266+M266+R266+W266+AB266</f>
        <v>126847488</v>
      </c>
    </row>
    <row r="267" spans="1:29" x14ac:dyDescent="0.2">
      <c r="A267" s="768"/>
      <c r="B267" s="769"/>
      <c r="C267" s="275" t="str">
        <f>C254</f>
        <v>USA Canada</v>
      </c>
      <c r="D267" s="221">
        <f t="shared" si="116"/>
        <v>0</v>
      </c>
      <c r="E267" s="285">
        <f t="shared" si="116"/>
        <v>0</v>
      </c>
      <c r="F267" s="285">
        <f t="shared" si="116"/>
        <v>0</v>
      </c>
      <c r="G267" s="285">
        <f t="shared" si="116"/>
        <v>0</v>
      </c>
      <c r="H267" s="223">
        <f>SUM(D267:G267)</f>
        <v>0</v>
      </c>
      <c r="I267" s="221">
        <f t="shared" si="117"/>
        <v>0</v>
      </c>
      <c r="J267" s="285">
        <f t="shared" si="117"/>
        <v>0</v>
      </c>
      <c r="K267" s="285">
        <f t="shared" si="117"/>
        <v>0</v>
      </c>
      <c r="L267" s="285">
        <f t="shared" si="117"/>
        <v>0</v>
      </c>
      <c r="M267" s="223">
        <f>SUM(I267:L267)</f>
        <v>0</v>
      </c>
      <c r="N267" s="221">
        <f t="shared" si="118"/>
        <v>147900</v>
      </c>
      <c r="O267" s="285">
        <f t="shared" si="118"/>
        <v>443700</v>
      </c>
      <c r="P267" s="285">
        <f t="shared" si="118"/>
        <v>739500</v>
      </c>
      <c r="Q267" s="285">
        <f t="shared" si="118"/>
        <v>1035300</v>
      </c>
      <c r="R267" s="223">
        <f>SUM(N267:Q267)</f>
        <v>2366400</v>
      </c>
      <c r="S267" s="221">
        <f t="shared" si="119"/>
        <v>1431672</v>
      </c>
      <c r="T267" s="285">
        <f t="shared" si="119"/>
        <v>1928616</v>
      </c>
      <c r="U267" s="285">
        <f t="shared" si="119"/>
        <v>2425560</v>
      </c>
      <c r="V267" s="285">
        <f t="shared" si="119"/>
        <v>2934336</v>
      </c>
      <c r="W267" s="223">
        <f>SUM(S267:V267)</f>
        <v>8720184</v>
      </c>
      <c r="X267" s="221">
        <f t="shared" si="120"/>
        <v>3608760</v>
      </c>
      <c r="Y267" s="285">
        <f t="shared" si="120"/>
        <v>4437000</v>
      </c>
      <c r="Z267" s="285">
        <f t="shared" si="120"/>
        <v>5265240</v>
      </c>
      <c r="AA267" s="285">
        <f t="shared" si="120"/>
        <v>6093480</v>
      </c>
      <c r="AB267" s="223">
        <f>SUM(X267:AA267)</f>
        <v>19404480</v>
      </c>
      <c r="AC267" s="234">
        <f>H267+M267+R267+W267+AB267</f>
        <v>30491064</v>
      </c>
    </row>
    <row r="268" spans="1:29" ht="13.2" thickBot="1" x14ac:dyDescent="0.25">
      <c r="A268" s="768"/>
      <c r="B268" s="769"/>
      <c r="C268" s="207" t="s">
        <v>57</v>
      </c>
      <c r="D268" s="221">
        <f>D47+D48+D49+D197+D198+D199</f>
        <v>0</v>
      </c>
      <c r="E268" s="222">
        <f>E47+E48+E49+E197+E198+E199</f>
        <v>0</v>
      </c>
      <c r="F268" s="222">
        <f>F47+F48+F49+F197+F198+F199</f>
        <v>53244</v>
      </c>
      <c r="G268" s="222">
        <f>G47+G48+G49+G197+G198+G199</f>
        <v>230724</v>
      </c>
      <c r="H268" s="223">
        <f>SUM(D268:G268)</f>
        <v>283968</v>
      </c>
      <c r="I268" s="221">
        <f>I47+I48+I49+I197+I198+I199</f>
        <v>674424</v>
      </c>
      <c r="J268" s="222">
        <f>J47+J48+J49+J197+J198+J199</f>
        <v>1313352</v>
      </c>
      <c r="K268" s="222">
        <f>K47+K48+K49+K197+K198+K199</f>
        <v>2011440</v>
      </c>
      <c r="L268" s="222">
        <f>L47+L48+L49+L197+L198+L199</f>
        <v>2792352</v>
      </c>
      <c r="M268" s="223">
        <f>SUM(I268:L268)</f>
        <v>6791568</v>
      </c>
      <c r="N268" s="221">
        <f>N47+N48+N49+N197+N198+N199</f>
        <v>3650172</v>
      </c>
      <c r="O268" s="222">
        <f>O47+O48+O49+O197+O198+O199</f>
        <v>4561236</v>
      </c>
      <c r="P268" s="222">
        <f>P47+P48+P49+P197+P198+P199</f>
        <v>5472300</v>
      </c>
      <c r="Q268" s="222">
        <f>Q47+Q48+Q49+Q197+Q198+Q199</f>
        <v>6395196</v>
      </c>
      <c r="R268" s="223">
        <f>SUM(N268:Q268)</f>
        <v>20078904</v>
      </c>
      <c r="S268" s="221">
        <f>S47+S48+S49+S197+S198+S199</f>
        <v>7406832</v>
      </c>
      <c r="T268" s="222">
        <f>T47+T48+T49+T197+T198+T199</f>
        <v>8495376</v>
      </c>
      <c r="U268" s="222">
        <f>U47+U48+U49+U197+U198+U199</f>
        <v>9583920</v>
      </c>
      <c r="V268" s="222">
        <f>V47+V48+V49+V197+V198+V199</f>
        <v>10684296</v>
      </c>
      <c r="W268" s="223">
        <f>SUM(S268:V268)</f>
        <v>36170424</v>
      </c>
      <c r="X268" s="221">
        <f>X47+X48+X49+X197+X198+X199</f>
        <v>11648604</v>
      </c>
      <c r="Y268" s="222">
        <f>Y47+Y48+Y49+Y197+Y198+Y199</f>
        <v>12465012</v>
      </c>
      <c r="Z268" s="222">
        <f>Z47+Z48+Z49+Z197+Z198+Z199</f>
        <v>13281420</v>
      </c>
      <c r="AA268" s="222">
        <f>AA47+AA48+AA49+AA197+AA198+AA199</f>
        <v>14121492</v>
      </c>
      <c r="AB268" s="223">
        <f>SUM(X268:AA268)</f>
        <v>51516528</v>
      </c>
      <c r="AC268" s="234">
        <f>H268+M268+R268+W268+AB268</f>
        <v>114841392</v>
      </c>
    </row>
    <row r="269" spans="1:29" ht="13.2" thickBot="1" x14ac:dyDescent="0.25">
      <c r="A269" s="768"/>
      <c r="B269" s="769"/>
      <c r="C269" s="420" t="s">
        <v>253</v>
      </c>
      <c r="D269" s="436">
        <f t="shared" ref="D269:AC269" si="121">D267+D268</f>
        <v>0</v>
      </c>
      <c r="E269" s="437">
        <f t="shared" si="121"/>
        <v>0</v>
      </c>
      <c r="F269" s="437">
        <f t="shared" si="121"/>
        <v>53244</v>
      </c>
      <c r="G269" s="437">
        <f t="shared" si="121"/>
        <v>230724</v>
      </c>
      <c r="H269" s="438">
        <f t="shared" si="121"/>
        <v>283968</v>
      </c>
      <c r="I269" s="436">
        <f t="shared" si="121"/>
        <v>674424</v>
      </c>
      <c r="J269" s="437">
        <f t="shared" si="121"/>
        <v>1313352</v>
      </c>
      <c r="K269" s="437">
        <f t="shared" si="121"/>
        <v>2011440</v>
      </c>
      <c r="L269" s="437">
        <f t="shared" si="121"/>
        <v>2792352</v>
      </c>
      <c r="M269" s="438">
        <f t="shared" si="121"/>
        <v>6791568</v>
      </c>
      <c r="N269" s="436">
        <f t="shared" si="121"/>
        <v>3798072</v>
      </c>
      <c r="O269" s="437">
        <f t="shared" si="121"/>
        <v>5004936</v>
      </c>
      <c r="P269" s="437">
        <f t="shared" si="121"/>
        <v>6211800</v>
      </c>
      <c r="Q269" s="437">
        <f t="shared" si="121"/>
        <v>7430496</v>
      </c>
      <c r="R269" s="438">
        <f t="shared" si="121"/>
        <v>22445304</v>
      </c>
      <c r="S269" s="436">
        <f t="shared" si="121"/>
        <v>8838504</v>
      </c>
      <c r="T269" s="437">
        <f t="shared" si="121"/>
        <v>10423992</v>
      </c>
      <c r="U269" s="437">
        <f t="shared" si="121"/>
        <v>12009480</v>
      </c>
      <c r="V269" s="437">
        <f t="shared" si="121"/>
        <v>13618632</v>
      </c>
      <c r="W269" s="438">
        <f t="shared" si="121"/>
        <v>44890608</v>
      </c>
      <c r="X269" s="436">
        <f t="shared" si="121"/>
        <v>15257364</v>
      </c>
      <c r="Y269" s="437">
        <f t="shared" si="121"/>
        <v>16902012</v>
      </c>
      <c r="Z269" s="437">
        <f t="shared" si="121"/>
        <v>18546660</v>
      </c>
      <c r="AA269" s="437">
        <f t="shared" si="121"/>
        <v>20214972</v>
      </c>
      <c r="AB269" s="438">
        <f t="shared" si="121"/>
        <v>70921008</v>
      </c>
      <c r="AC269" s="439">
        <f t="shared" si="121"/>
        <v>145332456</v>
      </c>
    </row>
    <row r="270" spans="1:29" ht="13.2" thickBot="1" x14ac:dyDescent="0.25">
      <c r="A270" s="770"/>
      <c r="B270" s="771"/>
      <c r="C270" s="416" t="s">
        <v>139</v>
      </c>
      <c r="D270" s="227">
        <f t="shared" ref="D270:AC270" si="122">D269+D266</f>
        <v>509580</v>
      </c>
      <c r="E270" s="228">
        <f t="shared" si="122"/>
        <v>1603500</v>
      </c>
      <c r="F270" s="228">
        <f t="shared" si="122"/>
        <v>1881024</v>
      </c>
      <c r="G270" s="228">
        <f t="shared" si="122"/>
        <v>2282784</v>
      </c>
      <c r="H270" s="229">
        <f t="shared" si="122"/>
        <v>6276888</v>
      </c>
      <c r="I270" s="227">
        <f t="shared" si="122"/>
        <v>3127824</v>
      </c>
      <c r="J270" s="228">
        <f t="shared" si="122"/>
        <v>4404177</v>
      </c>
      <c r="K270" s="228">
        <f t="shared" si="122"/>
        <v>5739690</v>
      </c>
      <c r="L270" s="228">
        <f t="shared" si="122"/>
        <v>7218027</v>
      </c>
      <c r="M270" s="229">
        <f t="shared" si="122"/>
        <v>20489718</v>
      </c>
      <c r="N270" s="227">
        <f t="shared" si="122"/>
        <v>8831862</v>
      </c>
      <c r="O270" s="228">
        <f t="shared" si="122"/>
        <v>10851681</v>
      </c>
      <c r="P270" s="228">
        <f t="shared" si="122"/>
        <v>12871500</v>
      </c>
      <c r="Q270" s="228">
        <f t="shared" si="122"/>
        <v>14903151</v>
      </c>
      <c r="R270" s="229">
        <f t="shared" si="122"/>
        <v>47458194</v>
      </c>
      <c r="S270" s="227">
        <f t="shared" si="122"/>
        <v>16385946</v>
      </c>
      <c r="T270" s="228">
        <f t="shared" si="122"/>
        <v>18783678</v>
      </c>
      <c r="U270" s="228">
        <f t="shared" si="122"/>
        <v>21181410</v>
      </c>
      <c r="V270" s="228">
        <f t="shared" si="122"/>
        <v>23614638</v>
      </c>
      <c r="W270" s="229">
        <f t="shared" si="122"/>
        <v>79965672</v>
      </c>
      <c r="X270" s="227">
        <f t="shared" si="122"/>
        <v>25566186</v>
      </c>
      <c r="Y270" s="228">
        <f t="shared" si="122"/>
        <v>28181058</v>
      </c>
      <c r="Z270" s="228">
        <f t="shared" si="122"/>
        <v>30795930</v>
      </c>
      <c r="AA270" s="228">
        <f t="shared" si="122"/>
        <v>33446298</v>
      </c>
      <c r="AB270" s="229">
        <f t="shared" si="122"/>
        <v>117989472</v>
      </c>
      <c r="AC270" s="256">
        <f t="shared" si="122"/>
        <v>272179944</v>
      </c>
    </row>
    <row r="271" spans="1:29" customFormat="1" ht="13.2" thickBot="1" x14ac:dyDescent="0.25"/>
    <row r="272" spans="1:29" x14ac:dyDescent="0.2">
      <c r="A272" s="764" t="s">
        <v>85</v>
      </c>
      <c r="B272" s="767"/>
      <c r="C272" s="206" t="s">
        <v>55</v>
      </c>
      <c r="D272" s="238"/>
      <c r="E272" s="219"/>
      <c r="F272" s="219">
        <f>('G&amp;A Expenses'!$D11*Parameters!$J$21)+'G&amp;A Expenses'!$D90+'G&amp;A Expenses'!$D149</f>
        <v>1158500</v>
      </c>
      <c r="G272" s="219"/>
      <c r="H272" s="220">
        <f>SUM(D272:G272)</f>
        <v>1158500</v>
      </c>
      <c r="I272" s="238"/>
      <c r="J272" s="219"/>
      <c r="K272" s="219">
        <f>('G&amp;A Expenses'!$F11*Parameters!$K$21)+'G&amp;A Expenses'!$F90+'G&amp;A Expenses'!$F149</f>
        <v>78000</v>
      </c>
      <c r="L272" s="219"/>
      <c r="M272" s="220">
        <f>SUM(I272:L272)</f>
        <v>78000</v>
      </c>
      <c r="N272" s="238"/>
      <c r="O272" s="219"/>
      <c r="P272" s="219">
        <f>('G&amp;A Expenses'!$H11*Parameters!$L$21)+'G&amp;A Expenses'!$H90+'G&amp;A Expenses'!$H149</f>
        <v>118000</v>
      </c>
      <c r="Q272" s="219"/>
      <c r="R272" s="220">
        <f>SUM(N272:Q272)</f>
        <v>118000</v>
      </c>
      <c r="S272" s="238"/>
      <c r="T272" s="219"/>
      <c r="U272" s="219">
        <f>('G&amp;A Expenses'!$J11*Parameters!$M$21)+'G&amp;A Expenses'!$J90+'G&amp;A Expenses'!$J149</f>
        <v>99000</v>
      </c>
      <c r="V272" s="219"/>
      <c r="W272" s="220">
        <f>SUM(S272:V272)</f>
        <v>99000</v>
      </c>
      <c r="X272" s="238"/>
      <c r="Y272" s="219"/>
      <c r="Z272" s="219">
        <f>('G&amp;A Expenses'!$L11*Parameters!$N$21)+'G&amp;A Expenses'!$L90+'G&amp;A Expenses'!$L149</f>
        <v>139000</v>
      </c>
      <c r="AA272" s="219"/>
      <c r="AB272" s="220">
        <f>SUM(X272:AA272)</f>
        <v>139000</v>
      </c>
      <c r="AC272" s="244">
        <f>H272+M272+R272+W272+AB272</f>
        <v>1592500</v>
      </c>
    </row>
    <row r="273" spans="1:29" ht="13.2" thickBot="1" x14ac:dyDescent="0.25">
      <c r="A273" s="768"/>
      <c r="B273" s="769"/>
      <c r="C273" s="207" t="s">
        <v>56</v>
      </c>
      <c r="D273" s="492"/>
      <c r="E273" s="225"/>
      <c r="F273" s="225"/>
      <c r="G273" s="225">
        <f>('G&amp;A Expenses'!$D7*Parameters!$J$21)+'G&amp;A Expenses'!$D86+'G&amp;A Expenses'!$D145</f>
        <v>210000</v>
      </c>
      <c r="H273" s="226">
        <f>SUM(D273:G273)</f>
        <v>210000</v>
      </c>
      <c r="I273" s="492"/>
      <c r="J273" s="222"/>
      <c r="K273" s="222"/>
      <c r="L273" s="222">
        <f>('G&amp;A Expenses'!$F7*Parameters!$K$21)+'G&amp;A Expenses'!$F86+'G&amp;A Expenses'!$F145</f>
        <v>255000</v>
      </c>
      <c r="M273" s="223">
        <f>SUM(I273:L273)</f>
        <v>255000</v>
      </c>
      <c r="N273" s="440"/>
      <c r="O273" s="222"/>
      <c r="P273" s="222"/>
      <c r="Q273" s="222">
        <f>('G&amp;A Expenses'!$H7*Parameters!$L$21)+'G&amp;A Expenses'!$H86+'G&amp;A Expenses'!$H145</f>
        <v>80000</v>
      </c>
      <c r="R273" s="223">
        <f>SUM(N273:Q273)</f>
        <v>80000</v>
      </c>
      <c r="S273" s="440"/>
      <c r="T273" s="222"/>
      <c r="U273" s="222"/>
      <c r="V273" s="222">
        <f>('G&amp;A Expenses'!$J7*Parameters!$M$21)+'G&amp;A Expenses'!$J86+'G&amp;A Expenses'!$J145</f>
        <v>0</v>
      </c>
      <c r="W273" s="223">
        <f>SUM(S273:V273)</f>
        <v>0</v>
      </c>
      <c r="X273" s="440"/>
      <c r="Y273" s="222"/>
      <c r="Z273" s="222"/>
      <c r="AA273" s="222">
        <f>('G&amp;A Expenses'!$L7*Parameters!$N$21)+'G&amp;A Expenses'!$L86+'G&amp;A Expenses'!$L145</f>
        <v>0</v>
      </c>
      <c r="AB273" s="223">
        <f>SUM(X273:AA273)</f>
        <v>0</v>
      </c>
      <c r="AC273" s="255">
        <f>H273+M273+R273+W273+AB273</f>
        <v>545000</v>
      </c>
    </row>
    <row r="274" spans="1:29" ht="13.2" thickBot="1" x14ac:dyDescent="0.25">
      <c r="A274" s="770"/>
      <c r="B274" s="771"/>
      <c r="C274" s="491" t="s">
        <v>139</v>
      </c>
      <c r="D274" s="227">
        <f t="shared" ref="D274:AB274" si="123">SUM(D272:D273)</f>
        <v>0</v>
      </c>
      <c r="E274" s="228">
        <f t="shared" si="123"/>
        <v>0</v>
      </c>
      <c r="F274" s="228">
        <f t="shared" si="123"/>
        <v>1158500</v>
      </c>
      <c r="G274" s="228">
        <f t="shared" si="123"/>
        <v>210000</v>
      </c>
      <c r="H274" s="229">
        <f t="shared" si="123"/>
        <v>1368500</v>
      </c>
      <c r="I274" s="227">
        <f t="shared" si="123"/>
        <v>0</v>
      </c>
      <c r="J274" s="228">
        <f t="shared" si="123"/>
        <v>0</v>
      </c>
      <c r="K274" s="228">
        <f t="shared" si="123"/>
        <v>78000</v>
      </c>
      <c r="L274" s="228">
        <f t="shared" si="123"/>
        <v>255000</v>
      </c>
      <c r="M274" s="229">
        <f t="shared" si="123"/>
        <v>333000</v>
      </c>
      <c r="N274" s="227">
        <f t="shared" si="123"/>
        <v>0</v>
      </c>
      <c r="O274" s="228">
        <f t="shared" si="123"/>
        <v>0</v>
      </c>
      <c r="P274" s="228">
        <f t="shared" si="123"/>
        <v>118000</v>
      </c>
      <c r="Q274" s="228">
        <f t="shared" si="123"/>
        <v>80000</v>
      </c>
      <c r="R274" s="229">
        <f t="shared" si="123"/>
        <v>198000</v>
      </c>
      <c r="S274" s="227">
        <f t="shared" si="123"/>
        <v>0</v>
      </c>
      <c r="T274" s="228">
        <f t="shared" si="123"/>
        <v>0</v>
      </c>
      <c r="U274" s="228">
        <f t="shared" si="123"/>
        <v>99000</v>
      </c>
      <c r="V274" s="228">
        <f t="shared" si="123"/>
        <v>0</v>
      </c>
      <c r="W274" s="229">
        <f t="shared" si="123"/>
        <v>99000</v>
      </c>
      <c r="X274" s="227">
        <f t="shared" si="123"/>
        <v>0</v>
      </c>
      <c r="Y274" s="228">
        <f t="shared" si="123"/>
        <v>0</v>
      </c>
      <c r="Z274" s="228">
        <f t="shared" si="123"/>
        <v>139000</v>
      </c>
      <c r="AA274" s="228">
        <f t="shared" si="123"/>
        <v>0</v>
      </c>
      <c r="AB274" s="229">
        <f t="shared" si="123"/>
        <v>139000</v>
      </c>
      <c r="AC274" s="229">
        <f>AC272+AC273</f>
        <v>2137500</v>
      </c>
    </row>
    <row r="275" spans="1:29" ht="9" customHeight="1" thickBot="1" x14ac:dyDescent="0.25"/>
    <row r="276" spans="1:29" x14ac:dyDescent="0.2">
      <c r="A276" s="764" t="s">
        <v>85</v>
      </c>
      <c r="B276" s="767"/>
      <c r="C276" s="206" t="s">
        <v>64</v>
      </c>
      <c r="D276" s="238"/>
      <c r="E276" s="219"/>
      <c r="F276" s="219">
        <f>'G&amp;A Expenses'!$D150</f>
        <v>1100000</v>
      </c>
      <c r="G276" s="219"/>
      <c r="H276" s="220">
        <f>SUM(D276:G276)</f>
        <v>1100000</v>
      </c>
      <c r="I276" s="238"/>
      <c r="J276" s="238">
        <f>'G&amp;A Expenses'!$F150</f>
        <v>190000</v>
      </c>
      <c r="K276" s="219"/>
      <c r="L276" s="219"/>
      <c r="M276" s="220">
        <f>SUM(I276:L276)</f>
        <v>190000</v>
      </c>
      <c r="N276" s="238">
        <f>'G&amp;A Expenses'!$H150</f>
        <v>0</v>
      </c>
      <c r="O276" s="219"/>
      <c r="P276" s="219"/>
      <c r="Q276" s="219"/>
      <c r="R276" s="220">
        <f>SUM(N276:Q276)</f>
        <v>0</v>
      </c>
      <c r="S276" s="238">
        <f>'G&amp;A Expenses'!$J150</f>
        <v>0</v>
      </c>
      <c r="T276" s="219"/>
      <c r="U276" s="219"/>
      <c r="V276" s="219"/>
      <c r="W276" s="220">
        <f>SUM(S276:V276)</f>
        <v>0</v>
      </c>
      <c r="X276" s="238">
        <f>'G&amp;A Expenses'!$L150</f>
        <v>0</v>
      </c>
      <c r="Y276" s="219"/>
      <c r="Z276" s="219"/>
      <c r="AA276" s="219"/>
      <c r="AB276" s="242">
        <f>SUM(X276:AA276)</f>
        <v>0</v>
      </c>
      <c r="AC276" s="244">
        <f>H276+M276+R276+W276+AB276</f>
        <v>1290000</v>
      </c>
    </row>
    <row r="277" spans="1:29" x14ac:dyDescent="0.2">
      <c r="A277" s="768"/>
      <c r="B277" s="769"/>
      <c r="C277" s="207" t="s">
        <v>63</v>
      </c>
      <c r="D277" s="440"/>
      <c r="E277" s="222"/>
      <c r="F277" s="222"/>
      <c r="G277" s="222">
        <f>'G&amp;A Expenses'!$D91</f>
        <v>80000</v>
      </c>
      <c r="H277" s="223">
        <f>SUM(D277:G277)</f>
        <v>80000</v>
      </c>
      <c r="I277" s="440"/>
      <c r="J277" s="440">
        <f>'G&amp;A Expenses'!$F91</f>
        <v>0</v>
      </c>
      <c r="K277" s="222"/>
      <c r="L277" s="222"/>
      <c r="M277" s="223">
        <f>SUM(I277:L277)</f>
        <v>0</v>
      </c>
      <c r="N277" s="440">
        <f>'G&amp;A Expenses'!$H91</f>
        <v>120000</v>
      </c>
      <c r="O277" s="222"/>
      <c r="P277" s="222"/>
      <c r="Q277" s="222"/>
      <c r="R277" s="223">
        <f>SUM(N277:Q277)</f>
        <v>120000</v>
      </c>
      <c r="S277" s="440">
        <f>'G&amp;A Expenses'!$J91</f>
        <v>60000</v>
      </c>
      <c r="T277" s="222"/>
      <c r="U277" s="222"/>
      <c r="V277" s="222"/>
      <c r="W277" s="223">
        <f>SUM(S277:V277)</f>
        <v>60000</v>
      </c>
      <c r="X277" s="440">
        <f>'G&amp;A Expenses'!$L91</f>
        <v>100000</v>
      </c>
      <c r="Y277" s="222"/>
      <c r="Z277" s="222"/>
      <c r="AA277" s="222"/>
      <c r="AB277" s="441">
        <f>SUM(X277:AA277)</f>
        <v>100000</v>
      </c>
      <c r="AC277" s="255">
        <f>H277+M277+R277+W277+AB277</f>
        <v>360000</v>
      </c>
    </row>
    <row r="278" spans="1:29" ht="13.2" thickBot="1" x14ac:dyDescent="0.25">
      <c r="A278" s="768"/>
      <c r="B278" s="769"/>
      <c r="C278" s="208" t="s">
        <v>57</v>
      </c>
      <c r="D278" s="239"/>
      <c r="E278" s="236"/>
      <c r="F278" s="236"/>
      <c r="G278" s="236">
        <f>'G&amp;A Expenses'!$D12*Parameters!$J$21</f>
        <v>188500</v>
      </c>
      <c r="H278" s="237">
        <f>SUM(D278:G278)</f>
        <v>188500</v>
      </c>
      <c r="I278" s="239"/>
      <c r="J278" s="239">
        <f>'G&amp;A Expenses'!$F12*Parameters!$K$21</f>
        <v>143000</v>
      </c>
      <c r="K278" s="236"/>
      <c r="L278" s="236"/>
      <c r="M278" s="237">
        <f>SUM(I278:L278)</f>
        <v>143000</v>
      </c>
      <c r="N278" s="239">
        <f>'G&amp;A Expenses'!$H12*Parameters!$L$21</f>
        <v>78000</v>
      </c>
      <c r="O278" s="236"/>
      <c r="P278" s="236"/>
      <c r="Q278" s="236"/>
      <c r="R278" s="237">
        <f>SUM(N278:Q278)</f>
        <v>78000</v>
      </c>
      <c r="S278" s="239">
        <f>'G&amp;A Expenses'!$J12*Parameters!$L$21</f>
        <v>39000</v>
      </c>
      <c r="T278" s="236"/>
      <c r="U278" s="236"/>
      <c r="V278" s="236"/>
      <c r="W278" s="237">
        <f>SUM(S278:V278)</f>
        <v>39000</v>
      </c>
      <c r="X278" s="239">
        <f>'G&amp;A Expenses'!$L12*Parameters!$M$21</f>
        <v>39000</v>
      </c>
      <c r="Y278" s="236"/>
      <c r="Z278" s="236"/>
      <c r="AA278" s="236"/>
      <c r="AB278" s="243">
        <f>SUM(X278:AA278)</f>
        <v>39000</v>
      </c>
      <c r="AC278" s="245">
        <f>H278+M278+R278+W278+AB278</f>
        <v>487500</v>
      </c>
    </row>
    <row r="279" spans="1:29" ht="13.2" thickBot="1" x14ac:dyDescent="0.25">
      <c r="A279" s="768"/>
      <c r="B279" s="769"/>
      <c r="C279" s="420" t="s">
        <v>253</v>
      </c>
      <c r="D279" s="436">
        <f t="shared" ref="D279:AC279" si="124">D277+D278</f>
        <v>0</v>
      </c>
      <c r="E279" s="437">
        <f t="shared" si="124"/>
        <v>0</v>
      </c>
      <c r="F279" s="437">
        <f>F277+F278</f>
        <v>0</v>
      </c>
      <c r="G279" s="437">
        <f>G277+G278</f>
        <v>268500</v>
      </c>
      <c r="H279" s="438">
        <f t="shared" si="124"/>
        <v>268500</v>
      </c>
      <c r="I279" s="436">
        <f t="shared" si="124"/>
        <v>0</v>
      </c>
      <c r="J279" s="437">
        <f t="shared" si="124"/>
        <v>143000</v>
      </c>
      <c r="K279" s="437">
        <f t="shared" si="124"/>
        <v>0</v>
      </c>
      <c r="L279" s="437">
        <f t="shared" si="124"/>
        <v>0</v>
      </c>
      <c r="M279" s="438">
        <f t="shared" si="124"/>
        <v>143000</v>
      </c>
      <c r="N279" s="436">
        <f t="shared" si="124"/>
        <v>198000</v>
      </c>
      <c r="O279" s="437">
        <f t="shared" si="124"/>
        <v>0</v>
      </c>
      <c r="P279" s="437">
        <f t="shared" si="124"/>
        <v>0</v>
      </c>
      <c r="Q279" s="437">
        <f t="shared" si="124"/>
        <v>0</v>
      </c>
      <c r="R279" s="438">
        <f t="shared" si="124"/>
        <v>198000</v>
      </c>
      <c r="S279" s="436">
        <f t="shared" si="124"/>
        <v>99000</v>
      </c>
      <c r="T279" s="437">
        <f t="shared" si="124"/>
        <v>0</v>
      </c>
      <c r="U279" s="437">
        <f t="shared" si="124"/>
        <v>0</v>
      </c>
      <c r="V279" s="437">
        <f t="shared" si="124"/>
        <v>0</v>
      </c>
      <c r="W279" s="438">
        <f t="shared" si="124"/>
        <v>99000</v>
      </c>
      <c r="X279" s="436">
        <f t="shared" si="124"/>
        <v>139000</v>
      </c>
      <c r="Y279" s="437">
        <f t="shared" si="124"/>
        <v>0</v>
      </c>
      <c r="Z279" s="437">
        <f t="shared" si="124"/>
        <v>0</v>
      </c>
      <c r="AA279" s="437">
        <f t="shared" si="124"/>
        <v>0</v>
      </c>
      <c r="AB279" s="438">
        <f t="shared" si="124"/>
        <v>139000</v>
      </c>
      <c r="AC279" s="442">
        <f t="shared" si="124"/>
        <v>847500</v>
      </c>
    </row>
    <row r="280" spans="1:29" ht="13.2" thickBot="1" x14ac:dyDescent="0.25">
      <c r="A280" s="770"/>
      <c r="B280" s="771"/>
      <c r="C280" s="416" t="s">
        <v>139</v>
      </c>
      <c r="D280" s="227">
        <f t="shared" ref="D280:AC280" si="125">D279+D276</f>
        <v>0</v>
      </c>
      <c r="E280" s="228">
        <f t="shared" si="125"/>
        <v>0</v>
      </c>
      <c r="F280" s="228">
        <f t="shared" si="125"/>
        <v>1100000</v>
      </c>
      <c r="G280" s="228">
        <f t="shared" si="125"/>
        <v>268500</v>
      </c>
      <c r="H280" s="229">
        <f t="shared" si="125"/>
        <v>1368500</v>
      </c>
      <c r="I280" s="227">
        <f t="shared" si="125"/>
        <v>0</v>
      </c>
      <c r="J280" s="228">
        <f t="shared" si="125"/>
        <v>333000</v>
      </c>
      <c r="K280" s="228">
        <f t="shared" si="125"/>
        <v>0</v>
      </c>
      <c r="L280" s="228">
        <f t="shared" si="125"/>
        <v>0</v>
      </c>
      <c r="M280" s="229">
        <f t="shared" si="125"/>
        <v>333000</v>
      </c>
      <c r="N280" s="227">
        <f t="shared" si="125"/>
        <v>198000</v>
      </c>
      <c r="O280" s="228">
        <f t="shared" si="125"/>
        <v>0</v>
      </c>
      <c r="P280" s="228">
        <f t="shared" si="125"/>
        <v>0</v>
      </c>
      <c r="Q280" s="228">
        <f t="shared" si="125"/>
        <v>0</v>
      </c>
      <c r="R280" s="229">
        <f t="shared" si="125"/>
        <v>198000</v>
      </c>
      <c r="S280" s="227">
        <f t="shared" si="125"/>
        <v>99000</v>
      </c>
      <c r="T280" s="228">
        <f t="shared" si="125"/>
        <v>0</v>
      </c>
      <c r="U280" s="228">
        <f t="shared" si="125"/>
        <v>0</v>
      </c>
      <c r="V280" s="228">
        <f t="shared" si="125"/>
        <v>0</v>
      </c>
      <c r="W280" s="229">
        <f t="shared" si="125"/>
        <v>99000</v>
      </c>
      <c r="X280" s="227">
        <f t="shared" si="125"/>
        <v>139000</v>
      </c>
      <c r="Y280" s="228">
        <f t="shared" si="125"/>
        <v>0</v>
      </c>
      <c r="Z280" s="228">
        <f t="shared" si="125"/>
        <v>0</v>
      </c>
      <c r="AA280" s="228">
        <f t="shared" si="125"/>
        <v>0</v>
      </c>
      <c r="AB280" s="229">
        <f t="shared" si="125"/>
        <v>139000</v>
      </c>
      <c r="AC280" s="229">
        <f t="shared" si="125"/>
        <v>2137500</v>
      </c>
    </row>
    <row r="281" spans="1:29" ht="9" customHeight="1" thickBot="1" x14ac:dyDescent="0.25"/>
    <row r="282" spans="1:29" x14ac:dyDescent="0.2">
      <c r="A282" s="764" t="s">
        <v>175</v>
      </c>
      <c r="B282" s="767"/>
      <c r="C282" s="206" t="s">
        <v>64</v>
      </c>
      <c r="D282" s="238">
        <f t="shared" ref="D282:G284" si="126">D155+D260</f>
        <v>242485</v>
      </c>
      <c r="E282" s="219">
        <f t="shared" si="126"/>
        <v>242485</v>
      </c>
      <c r="F282" s="219">
        <f t="shared" si="126"/>
        <v>242485</v>
      </c>
      <c r="G282" s="219">
        <f t="shared" si="126"/>
        <v>242485</v>
      </c>
      <c r="H282" s="220">
        <f>SUM(D282:G282)</f>
        <v>969940</v>
      </c>
      <c r="I282" s="238">
        <f t="shared" ref="I282:L284" si="127">I155+I260</f>
        <v>258685</v>
      </c>
      <c r="J282" s="219">
        <f t="shared" si="127"/>
        <v>258685</v>
      </c>
      <c r="K282" s="219">
        <f t="shared" si="127"/>
        <v>258685</v>
      </c>
      <c r="L282" s="219">
        <f t="shared" si="127"/>
        <v>258685</v>
      </c>
      <c r="M282" s="220">
        <f>SUM(I282:L282)</f>
        <v>1034740</v>
      </c>
      <c r="N282" s="238">
        <f t="shared" ref="N282:Q284" si="128">N155+N260</f>
        <v>264179.55</v>
      </c>
      <c r="O282" s="219">
        <f t="shared" si="128"/>
        <v>264179.55</v>
      </c>
      <c r="P282" s="219">
        <f t="shared" si="128"/>
        <v>264179.55</v>
      </c>
      <c r="Q282" s="219">
        <f t="shared" si="128"/>
        <v>264179.55</v>
      </c>
      <c r="R282" s="220">
        <f>SUM(N282:Q282)</f>
        <v>1056718.2</v>
      </c>
      <c r="S282" s="238">
        <f t="shared" ref="S282:V284" si="129">S155+S260</f>
        <v>276242.44650000014</v>
      </c>
      <c r="T282" s="219">
        <f t="shared" si="129"/>
        <v>276242.44650000014</v>
      </c>
      <c r="U282" s="219">
        <f t="shared" si="129"/>
        <v>276242.44650000014</v>
      </c>
      <c r="V282" s="219">
        <f t="shared" si="129"/>
        <v>276242.44650000014</v>
      </c>
      <c r="W282" s="220">
        <f>SUM(S282:V282)</f>
        <v>1104969.7860000005</v>
      </c>
      <c r="X282" s="238">
        <f t="shared" ref="X282:AA284" si="130">X155+X260</f>
        <v>284529.71989500005</v>
      </c>
      <c r="Y282" s="219">
        <f t="shared" si="130"/>
        <v>284529.71989500005</v>
      </c>
      <c r="Z282" s="219">
        <f t="shared" si="130"/>
        <v>284529.71989500005</v>
      </c>
      <c r="AA282" s="219">
        <f t="shared" si="130"/>
        <v>284529.71989500005</v>
      </c>
      <c r="AB282" s="242">
        <f>SUM(X282:AA282)</f>
        <v>1138118.8795800002</v>
      </c>
      <c r="AC282" s="244">
        <f>H282+M282+R282+W282+AB282</f>
        <v>5304486.8655800009</v>
      </c>
    </row>
    <row r="283" spans="1:29" x14ac:dyDescent="0.2">
      <c r="A283" s="768"/>
      <c r="B283" s="769"/>
      <c r="C283" s="207" t="s">
        <v>63</v>
      </c>
      <c r="D283" s="440">
        <f t="shared" si="126"/>
        <v>0</v>
      </c>
      <c r="E283" s="222">
        <f t="shared" si="126"/>
        <v>0</v>
      </c>
      <c r="F283" s="222">
        <f t="shared" si="126"/>
        <v>0</v>
      </c>
      <c r="G283" s="222">
        <f t="shared" si="126"/>
        <v>0</v>
      </c>
      <c r="H283" s="223">
        <f>SUM(D283:G283)</f>
        <v>0</v>
      </c>
      <c r="I283" s="440">
        <f t="shared" si="127"/>
        <v>0</v>
      </c>
      <c r="J283" s="222">
        <f t="shared" si="127"/>
        <v>0</v>
      </c>
      <c r="K283" s="222">
        <f t="shared" si="127"/>
        <v>0</v>
      </c>
      <c r="L283" s="222">
        <f t="shared" si="127"/>
        <v>0</v>
      </c>
      <c r="M283" s="223">
        <f>SUM(I283:L283)</f>
        <v>0</v>
      </c>
      <c r="N283" s="440">
        <f t="shared" si="128"/>
        <v>366811</v>
      </c>
      <c r="O283" s="222">
        <f t="shared" si="128"/>
        <v>366811</v>
      </c>
      <c r="P283" s="222">
        <f t="shared" si="128"/>
        <v>366811</v>
      </c>
      <c r="Q283" s="222">
        <f t="shared" si="128"/>
        <v>366811</v>
      </c>
      <c r="R283" s="223">
        <f>SUM(N283:Q283)</f>
        <v>1467244</v>
      </c>
      <c r="S283" s="440">
        <f t="shared" si="129"/>
        <v>397652.86</v>
      </c>
      <c r="T283" s="222">
        <f t="shared" si="129"/>
        <v>397652.86</v>
      </c>
      <c r="U283" s="222">
        <f t="shared" si="129"/>
        <v>397652.86</v>
      </c>
      <c r="V283" s="222">
        <f t="shared" si="129"/>
        <v>397652.86</v>
      </c>
      <c r="W283" s="223">
        <f>SUM(S283:V283)</f>
        <v>1590611.44</v>
      </c>
      <c r="X283" s="440">
        <f t="shared" si="130"/>
        <v>418174.89874999999</v>
      </c>
      <c r="Y283" s="222">
        <f t="shared" si="130"/>
        <v>418174.89874999999</v>
      </c>
      <c r="Z283" s="222">
        <f t="shared" si="130"/>
        <v>418174.89874999999</v>
      </c>
      <c r="AA283" s="222">
        <f t="shared" si="130"/>
        <v>418174.89874999999</v>
      </c>
      <c r="AB283" s="441">
        <f>SUM(X283:AA283)</f>
        <v>1672699.595</v>
      </c>
      <c r="AC283" s="255">
        <f>H283+M283+R283+W283+AB283</f>
        <v>4730555.0350000001</v>
      </c>
    </row>
    <row r="284" spans="1:29" ht="13.2" thickBot="1" x14ac:dyDescent="0.25">
      <c r="A284" s="768"/>
      <c r="B284" s="769"/>
      <c r="C284" s="208" t="s">
        <v>57</v>
      </c>
      <c r="D284" s="239">
        <f t="shared" si="126"/>
        <v>201812</v>
      </c>
      <c r="E284" s="236">
        <f t="shared" si="126"/>
        <v>201812</v>
      </c>
      <c r="F284" s="236">
        <f t="shared" si="126"/>
        <v>201812</v>
      </c>
      <c r="G284" s="236">
        <f t="shared" si="126"/>
        <v>201812</v>
      </c>
      <c r="H284" s="237">
        <f>SUM(D284:G284)</f>
        <v>807248</v>
      </c>
      <c r="I284" s="239">
        <f t="shared" si="127"/>
        <v>327444.09750000003</v>
      </c>
      <c r="J284" s="236">
        <f t="shared" si="127"/>
        <v>327444.09750000003</v>
      </c>
      <c r="K284" s="236">
        <f t="shared" si="127"/>
        <v>327444.09750000003</v>
      </c>
      <c r="L284" s="236">
        <f t="shared" si="127"/>
        <v>327444.09750000003</v>
      </c>
      <c r="M284" s="237">
        <f>SUM(I284:L284)</f>
        <v>1309776.3900000001</v>
      </c>
      <c r="N284" s="239">
        <f t="shared" si="128"/>
        <v>457232.44710000011</v>
      </c>
      <c r="O284" s="236">
        <f t="shared" si="128"/>
        <v>457232.44710000011</v>
      </c>
      <c r="P284" s="236">
        <f t="shared" si="128"/>
        <v>457232.44710000011</v>
      </c>
      <c r="Q284" s="236">
        <f t="shared" si="128"/>
        <v>457232.44710000011</v>
      </c>
      <c r="R284" s="237">
        <f>SUM(N284:Q284)</f>
        <v>1828929.7884000004</v>
      </c>
      <c r="S284" s="239">
        <f t="shared" si="129"/>
        <v>525002.91532975016</v>
      </c>
      <c r="T284" s="236">
        <f t="shared" si="129"/>
        <v>525002.91532975016</v>
      </c>
      <c r="U284" s="236">
        <f t="shared" si="129"/>
        <v>525002.91532975016</v>
      </c>
      <c r="V284" s="236">
        <f t="shared" si="129"/>
        <v>525002.91532975016</v>
      </c>
      <c r="W284" s="237">
        <f>SUM(S284:V284)</f>
        <v>2100011.6613190006</v>
      </c>
      <c r="X284" s="239">
        <f t="shared" si="130"/>
        <v>550744.51250126748</v>
      </c>
      <c r="Y284" s="236">
        <f t="shared" si="130"/>
        <v>550744.51250126748</v>
      </c>
      <c r="Z284" s="236">
        <f t="shared" si="130"/>
        <v>550744.51250126748</v>
      </c>
      <c r="AA284" s="236">
        <f t="shared" si="130"/>
        <v>550744.51250126748</v>
      </c>
      <c r="AB284" s="243">
        <f>SUM(X284:AA284)</f>
        <v>2202978.0500050699</v>
      </c>
      <c r="AC284" s="245">
        <f>H284+M284+R284+W284+AB284</f>
        <v>8248943.8897240711</v>
      </c>
    </row>
    <row r="285" spans="1:29" ht="13.2" thickBot="1" x14ac:dyDescent="0.25">
      <c r="A285" s="768"/>
      <c r="B285" s="769"/>
      <c r="C285" s="420" t="s">
        <v>253</v>
      </c>
      <c r="D285" s="436">
        <f>D283+D284</f>
        <v>201812</v>
      </c>
      <c r="E285" s="437">
        <f>E283+E284</f>
        <v>201812</v>
      </c>
      <c r="F285" s="437">
        <f>F283+F284</f>
        <v>201812</v>
      </c>
      <c r="G285" s="437">
        <f>G283+G284</f>
        <v>201812</v>
      </c>
      <c r="H285" s="438">
        <f t="shared" ref="H285:AC285" si="131">H283+H284</f>
        <v>807248</v>
      </c>
      <c r="I285" s="436">
        <f t="shared" si="131"/>
        <v>327444.09750000003</v>
      </c>
      <c r="J285" s="437">
        <f t="shared" si="131"/>
        <v>327444.09750000003</v>
      </c>
      <c r="K285" s="437">
        <f t="shared" si="131"/>
        <v>327444.09750000003</v>
      </c>
      <c r="L285" s="437">
        <f t="shared" si="131"/>
        <v>327444.09750000003</v>
      </c>
      <c r="M285" s="438">
        <f t="shared" si="131"/>
        <v>1309776.3900000001</v>
      </c>
      <c r="N285" s="436">
        <f t="shared" si="131"/>
        <v>824043.44710000011</v>
      </c>
      <c r="O285" s="437">
        <f t="shared" si="131"/>
        <v>824043.44710000011</v>
      </c>
      <c r="P285" s="437">
        <f t="shared" si="131"/>
        <v>824043.44710000011</v>
      </c>
      <c r="Q285" s="437">
        <f t="shared" si="131"/>
        <v>824043.44710000011</v>
      </c>
      <c r="R285" s="438">
        <f t="shared" si="131"/>
        <v>3296173.7884000004</v>
      </c>
      <c r="S285" s="436">
        <f t="shared" si="131"/>
        <v>922655.77532975015</v>
      </c>
      <c r="T285" s="437">
        <f t="shared" si="131"/>
        <v>922655.77532975015</v>
      </c>
      <c r="U285" s="437">
        <f t="shared" si="131"/>
        <v>922655.77532975015</v>
      </c>
      <c r="V285" s="437">
        <f t="shared" si="131"/>
        <v>922655.77532975015</v>
      </c>
      <c r="W285" s="438">
        <f t="shared" si="131"/>
        <v>3690623.1013190006</v>
      </c>
      <c r="X285" s="436">
        <f t="shared" si="131"/>
        <v>968919.41125126742</v>
      </c>
      <c r="Y285" s="437">
        <f t="shared" si="131"/>
        <v>968919.41125126742</v>
      </c>
      <c r="Z285" s="437">
        <f t="shared" si="131"/>
        <v>968919.41125126742</v>
      </c>
      <c r="AA285" s="437">
        <f t="shared" si="131"/>
        <v>968919.41125126742</v>
      </c>
      <c r="AB285" s="438">
        <f t="shared" si="131"/>
        <v>3875677.6450050697</v>
      </c>
      <c r="AC285" s="442">
        <f t="shared" si="131"/>
        <v>12979498.924724072</v>
      </c>
    </row>
    <row r="286" spans="1:29" ht="13.2" thickBot="1" x14ac:dyDescent="0.25">
      <c r="A286" s="770"/>
      <c r="B286" s="771"/>
      <c r="C286" s="416" t="s">
        <v>139</v>
      </c>
      <c r="D286" s="227">
        <f t="shared" ref="D286:AC286" si="132">D285+D282</f>
        <v>444297</v>
      </c>
      <c r="E286" s="228">
        <f t="shared" si="132"/>
        <v>444297</v>
      </c>
      <c r="F286" s="228">
        <f t="shared" si="132"/>
        <v>444297</v>
      </c>
      <c r="G286" s="228">
        <f t="shared" si="132"/>
        <v>444297</v>
      </c>
      <c r="H286" s="229">
        <f t="shared" si="132"/>
        <v>1777188</v>
      </c>
      <c r="I286" s="227">
        <f t="shared" si="132"/>
        <v>586129.09750000003</v>
      </c>
      <c r="J286" s="228">
        <f t="shared" si="132"/>
        <v>586129.09750000003</v>
      </c>
      <c r="K286" s="228">
        <f t="shared" si="132"/>
        <v>586129.09750000003</v>
      </c>
      <c r="L286" s="228">
        <f t="shared" si="132"/>
        <v>586129.09750000003</v>
      </c>
      <c r="M286" s="229">
        <f t="shared" si="132"/>
        <v>2344516.39</v>
      </c>
      <c r="N286" s="227">
        <f t="shared" si="132"/>
        <v>1088222.9971</v>
      </c>
      <c r="O286" s="228">
        <f t="shared" si="132"/>
        <v>1088222.9971</v>
      </c>
      <c r="P286" s="228">
        <f t="shared" si="132"/>
        <v>1088222.9971</v>
      </c>
      <c r="Q286" s="228">
        <f t="shared" si="132"/>
        <v>1088222.9971</v>
      </c>
      <c r="R286" s="229">
        <f t="shared" si="132"/>
        <v>4352891.9884000001</v>
      </c>
      <c r="S286" s="227">
        <f t="shared" si="132"/>
        <v>1198898.2218297503</v>
      </c>
      <c r="T286" s="228">
        <f t="shared" si="132"/>
        <v>1198898.2218297503</v>
      </c>
      <c r="U286" s="228">
        <f t="shared" si="132"/>
        <v>1198898.2218297503</v>
      </c>
      <c r="V286" s="228">
        <f t="shared" si="132"/>
        <v>1198898.2218297503</v>
      </c>
      <c r="W286" s="229">
        <f t="shared" si="132"/>
        <v>4795592.8873190014</v>
      </c>
      <c r="X286" s="227">
        <f t="shared" si="132"/>
        <v>1253449.1311462675</v>
      </c>
      <c r="Y286" s="228">
        <f t="shared" si="132"/>
        <v>1253449.1311462675</v>
      </c>
      <c r="Z286" s="228">
        <f t="shared" si="132"/>
        <v>1253449.1311462675</v>
      </c>
      <c r="AA286" s="228">
        <f t="shared" si="132"/>
        <v>1253449.1311462675</v>
      </c>
      <c r="AB286" s="229">
        <f t="shared" si="132"/>
        <v>5013796.5245850701</v>
      </c>
      <c r="AC286" s="229">
        <f t="shared" si="132"/>
        <v>18283985.790304072</v>
      </c>
    </row>
    <row r="303" spans="9:27" x14ac:dyDescent="0.2">
      <c r="I303" s="261"/>
      <c r="L303" s="266"/>
      <c r="Q303" s="266"/>
      <c r="V303" s="266"/>
      <c r="AA303" s="266"/>
    </row>
  </sheetData>
  <mergeCells count="53">
    <mergeCell ref="B120:B126"/>
    <mergeCell ref="B160:B166"/>
    <mergeCell ref="B141:B147"/>
    <mergeCell ref="B209:B217"/>
    <mergeCell ref="A3:A72"/>
    <mergeCell ref="B38:B44"/>
    <mergeCell ref="B31:B37"/>
    <mergeCell ref="B66:B72"/>
    <mergeCell ref="B24:B30"/>
    <mergeCell ref="B99:B105"/>
    <mergeCell ref="A160:A201"/>
    <mergeCell ref="B181:B187"/>
    <mergeCell ref="B106:B112"/>
    <mergeCell ref="B239:B245"/>
    <mergeCell ref="A266:B270"/>
    <mergeCell ref="A73:A159"/>
    <mergeCell ref="B260:B264"/>
    <mergeCell ref="A202:A264"/>
    <mergeCell ref="B148:B154"/>
    <mergeCell ref="B246:B252"/>
    <mergeCell ref="B195:B201"/>
    <mergeCell ref="B225:B231"/>
    <mergeCell ref="B232:B238"/>
    <mergeCell ref="A1:C2"/>
    <mergeCell ref="B3:B9"/>
    <mergeCell ref="B167:B173"/>
    <mergeCell ref="B218:B224"/>
    <mergeCell ref="B202:B208"/>
    <mergeCell ref="B134:B140"/>
    <mergeCell ref="B113:B119"/>
    <mergeCell ref="B174:B180"/>
    <mergeCell ref="B127:B133"/>
    <mergeCell ref="B155:B159"/>
    <mergeCell ref="AC1:AC2"/>
    <mergeCell ref="B10:B16"/>
    <mergeCell ref="B17:B23"/>
    <mergeCell ref="X1:AB1"/>
    <mergeCell ref="S1:W1"/>
    <mergeCell ref="B59:B65"/>
    <mergeCell ref="N1:R1"/>
    <mergeCell ref="I1:M1"/>
    <mergeCell ref="B45:B51"/>
    <mergeCell ref="B52:B58"/>
    <mergeCell ref="B253:B259"/>
    <mergeCell ref="A282:B286"/>
    <mergeCell ref="A272:B274"/>
    <mergeCell ref="D1:H1"/>
    <mergeCell ref="B73:B79"/>
    <mergeCell ref="B89:B93"/>
    <mergeCell ref="B94:B98"/>
    <mergeCell ref="B80:B88"/>
    <mergeCell ref="A276:B280"/>
    <mergeCell ref="B188:B194"/>
  </mergeCells>
  <phoneticPr fontId="10"/>
  <printOptions horizontalCentered="1" headings="1"/>
  <pageMargins left="0.46850393700787396" right="0.57086614173228345" top="0.98031496062992141" bottom="0.98031496062992141" header="0.51181102362204722" footer="0.51181102362204722"/>
  <pageSetup paperSize="0" scale="60" fitToHeight="3"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0"/>
  <sheetViews>
    <sheetView zoomScaleNormal="100" workbookViewId="0">
      <pane xSplit="2" ySplit="2" topLeftCell="C48" activePane="bottomRight" state="frozen"/>
      <selection pane="topRight" activeCell="C1" sqref="C1"/>
      <selection pane="bottomLeft" activeCell="A3" sqref="A3"/>
      <selection pane="bottomRight" activeCell="C21" sqref="C21"/>
    </sheetView>
  </sheetViews>
  <sheetFormatPr defaultColWidth="10.6328125" defaultRowHeight="12.6" x14ac:dyDescent="0.2"/>
  <cols>
    <col min="1" max="1" width="14.453125" style="2" customWidth="1"/>
    <col min="2" max="2" width="11.81640625" style="2" customWidth="1"/>
    <col min="3" max="28" width="12.36328125" style="2" customWidth="1"/>
    <col min="29" max="29" width="15.81640625" style="2" customWidth="1"/>
    <col min="30" max="16384" width="10.6328125" style="2"/>
  </cols>
  <sheetData>
    <row r="1" spans="1:29" x14ac:dyDescent="0.2">
      <c r="A1" s="844" t="s">
        <v>486</v>
      </c>
      <c r="B1" s="845"/>
      <c r="C1" s="846"/>
      <c r="D1" s="846"/>
      <c r="E1" s="846"/>
      <c r="F1" s="846"/>
      <c r="G1" s="847"/>
    </row>
    <row r="2" spans="1:29" ht="13.2" thickBot="1" x14ac:dyDescent="0.25">
      <c r="A2" s="848"/>
      <c r="B2" s="849"/>
      <c r="C2" s="850"/>
      <c r="D2" s="850"/>
      <c r="E2" s="850"/>
      <c r="F2" s="850"/>
      <c r="G2" s="851"/>
    </row>
    <row r="3" spans="1:29" ht="13.05" customHeight="1" x14ac:dyDescent="0.2">
      <c r="A3" s="811" t="s">
        <v>490</v>
      </c>
      <c r="B3" s="812"/>
      <c r="C3" s="772">
        <v>2012</v>
      </c>
      <c r="D3" s="773"/>
      <c r="E3" s="773"/>
      <c r="F3" s="773"/>
      <c r="G3" s="774"/>
      <c r="H3" s="772">
        <v>2013</v>
      </c>
      <c r="I3" s="773"/>
      <c r="J3" s="773"/>
      <c r="K3" s="773"/>
      <c r="L3" s="774"/>
      <c r="M3" s="772">
        <v>2014</v>
      </c>
      <c r="N3" s="773"/>
      <c r="O3" s="773"/>
      <c r="P3" s="773"/>
      <c r="Q3" s="774"/>
      <c r="R3" s="772">
        <v>2015</v>
      </c>
      <c r="S3" s="773"/>
      <c r="T3" s="773"/>
      <c r="U3" s="773"/>
      <c r="V3" s="774"/>
      <c r="W3" s="772">
        <v>2016</v>
      </c>
      <c r="X3" s="773"/>
      <c r="Y3" s="773"/>
      <c r="Z3" s="773"/>
      <c r="AA3" s="774"/>
      <c r="AB3" s="778" t="s">
        <v>378</v>
      </c>
    </row>
    <row r="4" spans="1:29" ht="13.2" thickBot="1" x14ac:dyDescent="0.25">
      <c r="A4" s="813"/>
      <c r="B4" s="814"/>
      <c r="C4" s="192" t="s">
        <v>406</v>
      </c>
      <c r="D4" s="191" t="s">
        <v>407</v>
      </c>
      <c r="E4" s="191" t="s">
        <v>408</v>
      </c>
      <c r="F4" s="191" t="s">
        <v>409</v>
      </c>
      <c r="G4" s="193" t="s">
        <v>139</v>
      </c>
      <c r="H4" s="192" t="s">
        <v>406</v>
      </c>
      <c r="I4" s="191" t="s">
        <v>407</v>
      </c>
      <c r="J4" s="191" t="s">
        <v>408</v>
      </c>
      <c r="K4" s="191" t="s">
        <v>409</v>
      </c>
      <c r="L4" s="193" t="s">
        <v>139</v>
      </c>
      <c r="M4" s="192" t="s">
        <v>406</v>
      </c>
      <c r="N4" s="191" t="s">
        <v>407</v>
      </c>
      <c r="O4" s="191" t="s">
        <v>408</v>
      </c>
      <c r="P4" s="191" t="s">
        <v>409</v>
      </c>
      <c r="Q4" s="193" t="s">
        <v>139</v>
      </c>
      <c r="R4" s="192" t="s">
        <v>406</v>
      </c>
      <c r="S4" s="191" t="s">
        <v>407</v>
      </c>
      <c r="T4" s="191" t="s">
        <v>408</v>
      </c>
      <c r="U4" s="191" t="s">
        <v>409</v>
      </c>
      <c r="V4" s="193" t="s">
        <v>139</v>
      </c>
      <c r="W4" s="192" t="s">
        <v>406</v>
      </c>
      <c r="X4" s="191" t="s">
        <v>407</v>
      </c>
      <c r="Y4" s="191" t="s">
        <v>408</v>
      </c>
      <c r="Z4" s="191" t="s">
        <v>409</v>
      </c>
      <c r="AA4" s="193" t="s">
        <v>139</v>
      </c>
      <c r="AB4" s="779"/>
    </row>
    <row r="5" spans="1:29" x14ac:dyDescent="0.2">
      <c r="A5" s="807" t="s">
        <v>451</v>
      </c>
      <c r="B5" s="808"/>
      <c r="C5" s="443">
        <f>Calculations!D44</f>
        <v>45000</v>
      </c>
      <c r="D5" s="443">
        <f>Calculations!E44</f>
        <v>135000</v>
      </c>
      <c r="E5" s="443">
        <f>Calculations!F44</f>
        <v>216000</v>
      </c>
      <c r="F5" s="443">
        <f>Calculations!G44</f>
        <v>324000</v>
      </c>
      <c r="G5" s="444">
        <f>SUM(C5:F5)</f>
        <v>720000</v>
      </c>
      <c r="H5" s="443">
        <f>Calculations!I44</f>
        <v>936000</v>
      </c>
      <c r="I5" s="443">
        <f>Calculations!J44</f>
        <v>936000</v>
      </c>
      <c r="J5" s="443">
        <f>Calculations!K44</f>
        <v>1026000</v>
      </c>
      <c r="K5" s="443">
        <f>Calculations!L44</f>
        <v>1062000</v>
      </c>
      <c r="L5" s="444">
        <f>SUM(H5:K5)</f>
        <v>3960000</v>
      </c>
      <c r="M5" s="443">
        <f>Calculations!N44</f>
        <v>1503000</v>
      </c>
      <c r="N5" s="443">
        <f>Calculations!O44</f>
        <v>1503000</v>
      </c>
      <c r="O5" s="443">
        <f>Calculations!P44</f>
        <v>1503000</v>
      </c>
      <c r="P5" s="443">
        <f>Calculations!Q44</f>
        <v>1521000</v>
      </c>
      <c r="Q5" s="444">
        <f>SUM(M5:P5)</f>
        <v>6030000</v>
      </c>
      <c r="R5" s="443">
        <f>Calculations!S44</f>
        <v>1809000</v>
      </c>
      <c r="S5" s="443">
        <f>Calculations!T44</f>
        <v>1809000</v>
      </c>
      <c r="T5" s="443">
        <f>Calculations!U44</f>
        <v>1809000</v>
      </c>
      <c r="U5" s="443">
        <f>Calculations!V44</f>
        <v>1863000</v>
      </c>
      <c r="V5" s="444">
        <f>SUM(R5:U5)</f>
        <v>7290000</v>
      </c>
      <c r="W5" s="443">
        <f>Calculations!X44</f>
        <v>1989000</v>
      </c>
      <c r="X5" s="443">
        <f>Calculations!Y44</f>
        <v>1989000</v>
      </c>
      <c r="Y5" s="443">
        <f>Calculations!Z44</f>
        <v>1989000</v>
      </c>
      <c r="Z5" s="443">
        <f>Calculations!AA44</f>
        <v>2043000</v>
      </c>
      <c r="AA5" s="444">
        <f>SUM(W5:Z5)</f>
        <v>8010000</v>
      </c>
      <c r="AB5" s="445">
        <f t="shared" ref="AB5:AB18" si="0">G5+L5+Q5+V5+AA5</f>
        <v>26010000</v>
      </c>
    </row>
    <row r="6" spans="1:29" x14ac:dyDescent="0.2">
      <c r="A6" s="801" t="s">
        <v>452</v>
      </c>
      <c r="B6" s="802"/>
      <c r="C6" s="446"/>
      <c r="D6" s="447">
        <f>Calculations!D51+Calculations!D58+Calculations!D65</f>
        <v>29580</v>
      </c>
      <c r="E6" s="447">
        <f>Calculations!E51+Calculations!E58+Calculations!E65</f>
        <v>153525</v>
      </c>
      <c r="F6" s="447">
        <f>Calculations!F51+Calculations!F58+Calculations!F65</f>
        <v>401124</v>
      </c>
      <c r="G6" s="448">
        <f>SUM(C6:F6)</f>
        <v>584229</v>
      </c>
      <c r="H6" s="447">
        <f>Calculations!G51+Calculations!G58+Calculations!G65</f>
        <v>783084</v>
      </c>
      <c r="I6" s="447">
        <f>Calculations!I51+Calculations!I58+Calculations!I65</f>
        <v>1651824</v>
      </c>
      <c r="J6" s="447">
        <f>Calculations!J51+Calculations!J58+Calculations!J65</f>
        <v>2999352</v>
      </c>
      <c r="K6" s="447">
        <f>Calculations!K51+Calculations!K58+Calculations!K65</f>
        <v>4406040</v>
      </c>
      <c r="L6" s="448">
        <f>SUM(H6:K6)</f>
        <v>9840300</v>
      </c>
      <c r="M6" s="447">
        <f>Calculations!L51+Calculations!L58+Calculations!L65</f>
        <v>5906802</v>
      </c>
      <c r="N6" s="447">
        <f>Calculations!N51+Calculations!N58+Calculations!N65</f>
        <v>7725612</v>
      </c>
      <c r="O6" s="447">
        <f>Calculations!O51+Calculations!O58+Calculations!O65</f>
        <v>9889431</v>
      </c>
      <c r="P6" s="447">
        <f>Calculations!P51+Calculations!P58+Calculations!P65</f>
        <v>12053250</v>
      </c>
      <c r="Q6" s="448">
        <f>SUM(M6:P6)</f>
        <v>35575095</v>
      </c>
      <c r="R6" s="447">
        <f>Calculations!Q51+Calculations!Q58+Calculations!Q65</f>
        <v>14228901</v>
      </c>
      <c r="S6" s="447">
        <f>Calculations!S51+Calculations!S58+Calculations!S65</f>
        <v>16607946</v>
      </c>
      <c r="T6" s="447">
        <f>Calculations!T51+Calculations!T58+Calculations!T65</f>
        <v>19212303</v>
      </c>
      <c r="U6" s="447">
        <f>Calculations!U51+Calculations!U58+Calculations!U65</f>
        <v>21816660</v>
      </c>
      <c r="V6" s="448">
        <f>SUM(R6:U6)</f>
        <v>71865810</v>
      </c>
      <c r="W6" s="447">
        <f>Calculations!V51+Calculations!V58+Calculations!V65</f>
        <v>24456513</v>
      </c>
      <c r="X6" s="447">
        <f>Calculations!X51+Calculations!X58+Calculations!X65</f>
        <v>27221436</v>
      </c>
      <c r="Y6" s="447">
        <f>Calculations!Y51+Calculations!Y58+Calculations!Y65</f>
        <v>30084933</v>
      </c>
      <c r="Z6" s="447">
        <f>Calculations!Z51+Calculations!Z58+Calculations!Z65</f>
        <v>32948430</v>
      </c>
      <c r="AA6" s="448">
        <f>SUM(W6:Z6)</f>
        <v>114711312</v>
      </c>
      <c r="AB6" s="449">
        <f t="shared" si="0"/>
        <v>232576746</v>
      </c>
    </row>
    <row r="7" spans="1:29" x14ac:dyDescent="0.2">
      <c r="A7" s="801" t="s">
        <v>493</v>
      </c>
      <c r="B7" s="802"/>
      <c r="C7" s="446"/>
      <c r="D7" s="447">
        <f>-(C5/2)</f>
        <v>-22500</v>
      </c>
      <c r="E7" s="447">
        <f>-((C5+D5)/2)</f>
        <v>-90000</v>
      </c>
      <c r="F7" s="447">
        <f>-((D5+E5)/2)</f>
        <v>-175500</v>
      </c>
      <c r="G7" s="448">
        <f>SUM(C7:F7)</f>
        <v>-288000</v>
      </c>
      <c r="H7" s="447">
        <f>-((E5+F5)/2)</f>
        <v>-270000</v>
      </c>
      <c r="I7" s="447">
        <f>-((F5+H5)/2)</f>
        <v>-630000</v>
      </c>
      <c r="J7" s="447">
        <f>-((H5+I5)/2)</f>
        <v>-936000</v>
      </c>
      <c r="K7" s="447">
        <f>-((I5+J5)/2)</f>
        <v>-981000</v>
      </c>
      <c r="L7" s="448">
        <f>SUM(H7:K7)</f>
        <v>-2817000</v>
      </c>
      <c r="M7" s="447">
        <f>-((J5+K5)/2)</f>
        <v>-1044000</v>
      </c>
      <c r="N7" s="447">
        <f>-((K5+M5)/2)</f>
        <v>-1282500</v>
      </c>
      <c r="O7" s="447">
        <f>-((M5+N5)/2)</f>
        <v>-1503000</v>
      </c>
      <c r="P7" s="447">
        <f>-((N5+O5)/2)</f>
        <v>-1503000</v>
      </c>
      <c r="Q7" s="448">
        <f>SUM(M7:P7)</f>
        <v>-5332500</v>
      </c>
      <c r="R7" s="447">
        <f>-((O5+P5)/2)</f>
        <v>-1512000</v>
      </c>
      <c r="S7" s="447">
        <f>-((P5+R5)/2)</f>
        <v>-1665000</v>
      </c>
      <c r="T7" s="447">
        <f>-((R5+S5)/2)</f>
        <v>-1809000</v>
      </c>
      <c r="U7" s="447">
        <f>-((S5+T5)/2)</f>
        <v>-1809000</v>
      </c>
      <c r="V7" s="448">
        <f>SUM(R7:U7)</f>
        <v>-6795000</v>
      </c>
      <c r="W7" s="447">
        <f>-((T5+U5)/2)</f>
        <v>-1836000</v>
      </c>
      <c r="X7" s="447">
        <f>-((U5+W5)/2)</f>
        <v>-1926000</v>
      </c>
      <c r="Y7" s="447">
        <f>-((W5+X5)/2)</f>
        <v>-1989000</v>
      </c>
      <c r="Z7" s="447">
        <f>-((X5+Y5)/2)</f>
        <v>-1989000</v>
      </c>
      <c r="AA7" s="448">
        <f>SUM(W7:Z7)</f>
        <v>-7740000</v>
      </c>
      <c r="AB7" s="449">
        <f t="shared" si="0"/>
        <v>-22972500</v>
      </c>
      <c r="AC7" s="8"/>
    </row>
    <row r="8" spans="1:29" x14ac:dyDescent="0.2">
      <c r="A8" s="801" t="s">
        <v>237</v>
      </c>
      <c r="B8" s="802"/>
      <c r="C8" s="446"/>
      <c r="D8" s="447">
        <f>Calculations!D180</f>
        <v>480000</v>
      </c>
      <c r="E8" s="447">
        <f>Calculations!E180</f>
        <v>1440000</v>
      </c>
      <c r="F8" s="447">
        <f>Calculations!F180</f>
        <v>1440000</v>
      </c>
      <c r="G8" s="448">
        <f>SUM(C8:F8)</f>
        <v>3360000</v>
      </c>
      <c r="H8" s="447">
        <f>Calculations!G180</f>
        <v>1440000</v>
      </c>
      <c r="I8" s="447">
        <f>Calculations!I180</f>
        <v>1410000</v>
      </c>
      <c r="J8" s="447">
        <f>Calculations!J180</f>
        <v>1410000</v>
      </c>
      <c r="K8" s="447">
        <f>Calculations!K180</f>
        <v>1410000</v>
      </c>
      <c r="L8" s="448">
        <f>SUM(H8:K8)</f>
        <v>5670000</v>
      </c>
      <c r="M8" s="447">
        <f>Calculations!L180</f>
        <v>1470000</v>
      </c>
      <c r="N8" s="447">
        <f>Calculations!N180</f>
        <v>1350000</v>
      </c>
      <c r="O8" s="447">
        <f>Calculations!O180</f>
        <v>1350000</v>
      </c>
      <c r="P8" s="447">
        <f>Calculations!P180</f>
        <v>1350000</v>
      </c>
      <c r="Q8" s="448">
        <f>SUM(M8:P8)</f>
        <v>5520000</v>
      </c>
      <c r="R8" s="447">
        <f>Calculations!Q180</f>
        <v>1350000</v>
      </c>
      <c r="S8" s="447">
        <f>Calculations!S180</f>
        <v>600000</v>
      </c>
      <c r="T8" s="447">
        <f>Calculations!T180</f>
        <v>600000</v>
      </c>
      <c r="U8" s="447">
        <f>Calculations!U180</f>
        <v>600000</v>
      </c>
      <c r="V8" s="448">
        <f>SUM(R8:U8)</f>
        <v>3150000</v>
      </c>
      <c r="W8" s="447">
        <f>Calculations!V180</f>
        <v>600000</v>
      </c>
      <c r="X8" s="447">
        <f>Calculations!X180</f>
        <v>0</v>
      </c>
      <c r="Y8" s="447">
        <f>Calculations!Y180</f>
        <v>0</v>
      </c>
      <c r="Z8" s="447">
        <f>Calculations!Z180</f>
        <v>0</v>
      </c>
      <c r="AA8" s="448">
        <f>SUM(W8:Z8)</f>
        <v>600000</v>
      </c>
      <c r="AB8" s="449">
        <f t="shared" si="0"/>
        <v>18300000</v>
      </c>
      <c r="AC8" s="8"/>
    </row>
    <row r="9" spans="1:29" ht="13.2" thickBot="1" x14ac:dyDescent="0.25">
      <c r="A9" s="801" t="s">
        <v>164</v>
      </c>
      <c r="B9" s="802"/>
      <c r="C9" s="446"/>
      <c r="D9" s="447">
        <f>Calculations!D187+Calculations!D194</f>
        <v>0</v>
      </c>
      <c r="E9" s="447">
        <f>Calculations!E187+Calculations!E194</f>
        <v>15600</v>
      </c>
      <c r="F9" s="447">
        <f>Calculations!F187+Calculations!F194</f>
        <v>62400</v>
      </c>
      <c r="G9" s="448">
        <f>SUM(C9:F9)</f>
        <v>78000</v>
      </c>
      <c r="H9" s="447">
        <f>Calculations!G187+Calculations!G194</f>
        <v>109200</v>
      </c>
      <c r="I9" s="447">
        <f>Calculations!I187+Calculations!I194</f>
        <v>156000</v>
      </c>
      <c r="J9" s="447">
        <f>Calculations!J187+Calculations!J194</f>
        <v>201824.99999999997</v>
      </c>
      <c r="K9" s="447">
        <f>Calculations!K187+Calculations!K194</f>
        <v>247650</v>
      </c>
      <c r="L9" s="448">
        <f>SUM(H9:K9)</f>
        <v>714675</v>
      </c>
      <c r="M9" s="447">
        <f>Calculations!L187+Calculations!L194</f>
        <v>293475</v>
      </c>
      <c r="N9" s="447">
        <f>Calculations!N187+Calculations!N194</f>
        <v>341250</v>
      </c>
      <c r="O9" s="447">
        <f>Calculations!O187+Calculations!O194</f>
        <v>385125</v>
      </c>
      <c r="P9" s="447">
        <f>Calculations!P187+Calculations!P194</f>
        <v>429000</v>
      </c>
      <c r="Q9" s="448">
        <f>SUM(M9:P9)</f>
        <v>1448850</v>
      </c>
      <c r="R9" s="447">
        <f>Calculations!Q187+Calculations!Q194</f>
        <v>472875</v>
      </c>
      <c r="S9" s="447">
        <f>Calculations!S187+Calculations!S194</f>
        <v>516750</v>
      </c>
      <c r="T9" s="447">
        <f>Calculations!T187+Calculations!T194</f>
        <v>536250</v>
      </c>
      <c r="U9" s="447">
        <f>Calculations!U187+Calculations!U194</f>
        <v>555750</v>
      </c>
      <c r="V9" s="448">
        <f>SUM(R9:U9)</f>
        <v>2081625</v>
      </c>
      <c r="W9" s="447">
        <f>Calculations!V187+Calculations!V194</f>
        <v>575250</v>
      </c>
      <c r="X9" s="447">
        <f>Calculations!X187+Calculations!X194</f>
        <v>594750</v>
      </c>
      <c r="Y9" s="447">
        <f>Calculations!Y187+Calculations!Y194</f>
        <v>594750</v>
      </c>
      <c r="Z9" s="447">
        <f>Calculations!Z187+Calculations!Z194</f>
        <v>594750</v>
      </c>
      <c r="AA9" s="448">
        <f>SUM(W9:Z9)</f>
        <v>2359500</v>
      </c>
      <c r="AB9" s="449">
        <f t="shared" si="0"/>
        <v>6682650</v>
      </c>
    </row>
    <row r="10" spans="1:29" ht="13.2" thickBot="1" x14ac:dyDescent="0.25">
      <c r="A10" s="805" t="s">
        <v>222</v>
      </c>
      <c r="B10" s="806"/>
      <c r="C10" s="450">
        <f t="shared" ref="C10:AA10" si="1">SUM(C5:C9)</f>
        <v>45000</v>
      </c>
      <c r="D10" s="451">
        <f t="shared" si="1"/>
        <v>622080</v>
      </c>
      <c r="E10" s="451">
        <f t="shared" si="1"/>
        <v>1735125</v>
      </c>
      <c r="F10" s="452">
        <f t="shared" si="1"/>
        <v>2052024</v>
      </c>
      <c r="G10" s="453">
        <f t="shared" si="1"/>
        <v>4454229</v>
      </c>
      <c r="H10" s="450">
        <f t="shared" si="1"/>
        <v>2998284</v>
      </c>
      <c r="I10" s="451">
        <f t="shared" si="1"/>
        <v>3523824</v>
      </c>
      <c r="J10" s="451">
        <f t="shared" si="1"/>
        <v>4701177</v>
      </c>
      <c r="K10" s="452">
        <f t="shared" si="1"/>
        <v>6144690</v>
      </c>
      <c r="L10" s="453">
        <f t="shared" si="1"/>
        <v>17367975</v>
      </c>
      <c r="M10" s="450">
        <f t="shared" si="1"/>
        <v>8129277</v>
      </c>
      <c r="N10" s="451">
        <f t="shared" si="1"/>
        <v>9637362</v>
      </c>
      <c r="O10" s="451">
        <f t="shared" si="1"/>
        <v>11624556</v>
      </c>
      <c r="P10" s="452">
        <f t="shared" si="1"/>
        <v>13850250</v>
      </c>
      <c r="Q10" s="453">
        <f t="shared" si="1"/>
        <v>43241445</v>
      </c>
      <c r="R10" s="450">
        <f t="shared" si="1"/>
        <v>16348776</v>
      </c>
      <c r="S10" s="451">
        <f t="shared" si="1"/>
        <v>17868696</v>
      </c>
      <c r="T10" s="451">
        <f t="shared" si="1"/>
        <v>20348553</v>
      </c>
      <c r="U10" s="452">
        <f t="shared" si="1"/>
        <v>23026410</v>
      </c>
      <c r="V10" s="453">
        <f t="shared" si="1"/>
        <v>77592435</v>
      </c>
      <c r="W10" s="450">
        <f t="shared" si="1"/>
        <v>25784763</v>
      </c>
      <c r="X10" s="451">
        <f t="shared" si="1"/>
        <v>27879186</v>
      </c>
      <c r="Y10" s="451">
        <f t="shared" si="1"/>
        <v>30679683</v>
      </c>
      <c r="Z10" s="452">
        <f t="shared" si="1"/>
        <v>33597180</v>
      </c>
      <c r="AA10" s="453">
        <f t="shared" si="1"/>
        <v>117940812</v>
      </c>
      <c r="AB10" s="454">
        <f t="shared" si="0"/>
        <v>260596896</v>
      </c>
    </row>
    <row r="11" spans="1:29" x14ac:dyDescent="0.2">
      <c r="A11" s="807" t="s">
        <v>483</v>
      </c>
      <c r="B11" s="808"/>
      <c r="C11" s="455"/>
      <c r="D11" s="443">
        <f>Calculations!D79+Calculations!D208</f>
        <v>26484.720000000001</v>
      </c>
      <c r="E11" s="443">
        <f>Calculations!E79+Calculations!E208</f>
        <v>84423.6</v>
      </c>
      <c r="F11" s="443">
        <f>Calculations!F79+Calculations!F208</f>
        <v>103804.416</v>
      </c>
      <c r="G11" s="444">
        <f t="shared" ref="G11:G18" si="2">SUM(C11:F11)</f>
        <v>214712.736</v>
      </c>
      <c r="H11" s="443">
        <f>Calculations!G79+Calculations!G208</f>
        <v>133621.05599999998</v>
      </c>
      <c r="I11" s="443">
        <f>Calculations!I79+Calculations!I208</f>
        <v>201693.21599999999</v>
      </c>
      <c r="J11" s="443">
        <f>Calculations!J79+Calculations!J208</f>
        <v>305057.56799999997</v>
      </c>
      <c r="K11" s="443">
        <f>Calculations!K79+Calculations!K208</f>
        <v>413391.35999999999</v>
      </c>
      <c r="L11" s="444">
        <f t="shared" ref="L11:L18" si="3">SUM(H11:K11)</f>
        <v>1053763.2</v>
      </c>
      <c r="M11" s="443">
        <f>Calculations!L79+Calculations!L208</f>
        <v>531682.36800000002</v>
      </c>
      <c r="N11" s="443">
        <f>Calculations!N79+Calculations!N208</f>
        <v>667311.40799999994</v>
      </c>
      <c r="O11" s="443">
        <f>Calculations!O79+Calculations!O208</f>
        <v>833290.70400000003</v>
      </c>
      <c r="P11" s="443">
        <f>Calculations!P79+Calculations!P208</f>
        <v>999270</v>
      </c>
      <c r="Q11" s="444">
        <f t="shared" ref="Q11:Q18" si="4">SUM(M11:P11)</f>
        <v>3031554.48</v>
      </c>
      <c r="R11" s="443">
        <f>Calculations!Q79+Calculations!Q208</f>
        <v>1166243.1839999999</v>
      </c>
      <c r="S11" s="443">
        <f>Calculations!S79+Calculations!S208</f>
        <v>1312612.4639999997</v>
      </c>
      <c r="T11" s="443">
        <f>Calculations!T79+Calculations!T208</f>
        <v>1512383.9519999996</v>
      </c>
      <c r="U11" s="443">
        <f>Calculations!U79+Calculations!U208</f>
        <v>1712155.44</v>
      </c>
      <c r="V11" s="444">
        <f t="shared" ref="V11:V18" si="5">SUM(R11:U11)</f>
        <v>5703395.0399999991</v>
      </c>
      <c r="W11" s="443">
        <f>Calculations!V79+Calculations!V208</f>
        <v>1914908.5919999997</v>
      </c>
      <c r="X11" s="443">
        <f>Calculations!X79+Calculations!X208</f>
        <v>2097600.6239999998</v>
      </c>
      <c r="Y11" s="443">
        <f>Calculations!Y79+Calculations!Y208</f>
        <v>2317249.8719999995</v>
      </c>
      <c r="Z11" s="443">
        <f>Calculations!Z79+Calculations!Z208</f>
        <v>2536899.1199999996</v>
      </c>
      <c r="AA11" s="444">
        <f t="shared" ref="AA11:AA18" si="6">SUM(W11:Z11)</f>
        <v>8866658.2079999987</v>
      </c>
      <c r="AB11" s="445">
        <f t="shared" si="0"/>
        <v>18870083.663999997</v>
      </c>
    </row>
    <row r="12" spans="1:29" x14ac:dyDescent="0.2">
      <c r="A12" s="809" t="s">
        <v>87</v>
      </c>
      <c r="B12" s="810"/>
      <c r="C12" s="456">
        <f>Calculations!D93+Calculations!D215</f>
        <v>366200</v>
      </c>
      <c r="D12" s="456">
        <f>Calculations!E93+Calculations!E215</f>
        <v>1098600</v>
      </c>
      <c r="E12" s="456">
        <f>Calculations!F93+Calculations!F215</f>
        <v>1138560</v>
      </c>
      <c r="F12" s="456">
        <f>Calculations!G93+Calculations!G215</f>
        <v>1191840</v>
      </c>
      <c r="G12" s="457">
        <f t="shared" si="2"/>
        <v>3795200</v>
      </c>
      <c r="H12" s="456">
        <f>Calculations!I93+Calculations!I215</f>
        <v>1318400</v>
      </c>
      <c r="I12" s="456">
        <f>Calculations!J93+Calculations!J215</f>
        <v>1318400</v>
      </c>
      <c r="J12" s="456">
        <f>Calculations!K93+Calculations!K215</f>
        <v>1358400</v>
      </c>
      <c r="K12" s="456">
        <f>Calculations!L93+Calculations!L215</f>
        <v>1412800</v>
      </c>
      <c r="L12" s="457">
        <f t="shared" si="3"/>
        <v>5408000</v>
      </c>
      <c r="M12" s="456">
        <f>Calculations!N93+Calculations!N215</f>
        <v>1366200</v>
      </c>
      <c r="N12" s="456">
        <f>Calculations!O93+Calculations!O215</f>
        <v>1366200</v>
      </c>
      <c r="O12" s="456">
        <f>Calculations!P93+Calculations!P215</f>
        <v>1366200</v>
      </c>
      <c r="P12" s="456">
        <f>Calculations!Q93+Calculations!Q215</f>
        <v>1373400</v>
      </c>
      <c r="Q12" s="457">
        <f t="shared" si="4"/>
        <v>5472000</v>
      </c>
      <c r="R12" s="456">
        <f>Calculations!S93+Calculations!S215</f>
        <v>1003399.9999999998</v>
      </c>
      <c r="S12" s="456">
        <f>Calculations!T93+Calculations!T215</f>
        <v>1003399.9999999998</v>
      </c>
      <c r="T12" s="456">
        <f>Calculations!U93+Calculations!U215</f>
        <v>1003399.9999999998</v>
      </c>
      <c r="U12" s="456">
        <f>Calculations!V93+Calculations!V215</f>
        <v>1023799.9999999998</v>
      </c>
      <c r="V12" s="457">
        <f t="shared" si="5"/>
        <v>4033999.9999999991</v>
      </c>
      <c r="W12" s="456">
        <f>Calculations!X93+Calculations!X215</f>
        <v>751399.99999999977</v>
      </c>
      <c r="X12" s="456">
        <f>Calculations!Y93+Calculations!Y215</f>
        <v>751399.99999999977</v>
      </c>
      <c r="Y12" s="456">
        <f>Calculations!Z93+Calculations!Z215</f>
        <v>751399.99999999977</v>
      </c>
      <c r="Z12" s="456">
        <f>Calculations!AA93+Calculations!AA215</f>
        <v>771799.99999999977</v>
      </c>
      <c r="AA12" s="457">
        <f t="shared" si="6"/>
        <v>3025999.9999999991</v>
      </c>
      <c r="AB12" s="458">
        <f t="shared" si="0"/>
        <v>21735200</v>
      </c>
    </row>
    <row r="13" spans="1:29" x14ac:dyDescent="0.2">
      <c r="A13" s="809" t="s">
        <v>391</v>
      </c>
      <c r="B13" s="810"/>
      <c r="C13" s="456">
        <f>Calculations!D98+Calculations!D217</f>
        <v>3962.2903405196275</v>
      </c>
      <c r="D13" s="456">
        <f>Calculations!E98+Calculations!E217</f>
        <v>19811.45170259814</v>
      </c>
      <c r="E13" s="456">
        <f>Calculations!F98+Calculations!F217</f>
        <v>50717.316358651238</v>
      </c>
      <c r="F13" s="456">
        <f>Calculations!G98+Calculations!G217</f>
        <v>98264.800444886758</v>
      </c>
      <c r="G13" s="457">
        <f t="shared" si="2"/>
        <v>172755.85884665576</v>
      </c>
      <c r="H13" s="456">
        <f>Calculations!I98+Calculations!I217</f>
        <v>201041.61439465353</v>
      </c>
      <c r="I13" s="456">
        <f>Calculations!J98+Calculations!J217</f>
        <v>349538.26139070443</v>
      </c>
      <c r="J13" s="456">
        <f>Calculations!K98+Calculations!K217</f>
        <v>505174.17026156548</v>
      </c>
      <c r="K13" s="456">
        <f>Calculations!L98+Calculations!L217</f>
        <v>670805.04575716075</v>
      </c>
      <c r="L13" s="457">
        <f t="shared" si="3"/>
        <v>1726559.0918040841</v>
      </c>
      <c r="M13" s="456">
        <f>Calculations!N98+Calculations!N217</f>
        <v>862351.44185831677</v>
      </c>
      <c r="N13" s="456">
        <f>Calculations!O98+Calculations!O217</f>
        <v>1076957.6538151095</v>
      </c>
      <c r="O13" s="456">
        <f>Calculations!P98+Calculations!P217</f>
        <v>1291563.8657719023</v>
      </c>
      <c r="P13" s="456">
        <f>Calculations!Q98+Calculations!Q217</f>
        <v>1507455.1448661608</v>
      </c>
      <c r="Q13" s="457">
        <f t="shared" si="4"/>
        <v>4738328.1063114898</v>
      </c>
      <c r="R13" s="456">
        <f>Calculations!S98+Calculations!S217</f>
        <v>1734055.3167726346</v>
      </c>
      <c r="S13" s="456">
        <f>Calculations!T98+Calculations!T217</f>
        <v>1962154.7336728186</v>
      </c>
      <c r="T13" s="456">
        <f>Calculations!U98+Calculations!U217</f>
        <v>2175197.4472790281</v>
      </c>
      <c r="U13" s="456">
        <f>Calculations!V98+Calculations!V217</f>
        <v>2375239.5650112084</v>
      </c>
      <c r="V13" s="457">
        <f t="shared" si="5"/>
        <v>8246647.0627356898</v>
      </c>
      <c r="W13" s="456">
        <f>Calculations!X98+Calculations!X217</f>
        <v>2532189.0980670345</v>
      </c>
      <c r="X13" s="456">
        <f>Calculations!Y98+Calculations!Y217</f>
        <v>2651914.5197076006</v>
      </c>
      <c r="Y13" s="456">
        <f>Calculations!Z98+Calculations!Z217</f>
        <v>2764500.6794733559</v>
      </c>
      <c r="Z13" s="456">
        <f>Calculations!AA98+Calculations!AA217</f>
        <v>2870732.8961705309</v>
      </c>
      <c r="AA13" s="457">
        <f t="shared" si="6"/>
        <v>10819337.193418521</v>
      </c>
      <c r="AB13" s="458">
        <f t="shared" si="0"/>
        <v>25703627.313116439</v>
      </c>
    </row>
    <row r="14" spans="1:29" x14ac:dyDescent="0.2">
      <c r="A14" s="809" t="s">
        <v>389</v>
      </c>
      <c r="B14" s="810"/>
      <c r="C14" s="456">
        <f>Calculations!D112+Calculations!D231</f>
        <v>25200</v>
      </c>
      <c r="D14" s="456">
        <f>Calculations!E112+Calculations!E231</f>
        <v>75600</v>
      </c>
      <c r="E14" s="456">
        <f>Calculations!F112+Calculations!F231</f>
        <v>86400</v>
      </c>
      <c r="F14" s="456">
        <f>Calculations!G112+Calculations!G231</f>
        <v>100800</v>
      </c>
      <c r="G14" s="457">
        <f t="shared" si="2"/>
        <v>288000</v>
      </c>
      <c r="H14" s="456">
        <f>Calculations!I112+Calculations!I231</f>
        <v>181200</v>
      </c>
      <c r="I14" s="456">
        <f>Calculations!J112+Calculations!J231</f>
        <v>181200</v>
      </c>
      <c r="J14" s="456">
        <f>Calculations!K112+Calculations!K231</f>
        <v>193200</v>
      </c>
      <c r="K14" s="456">
        <f>Calculations!L112+Calculations!L231</f>
        <v>200400</v>
      </c>
      <c r="L14" s="457">
        <f t="shared" si="3"/>
        <v>756000</v>
      </c>
      <c r="M14" s="456">
        <f>Calculations!N112+Calculations!N231</f>
        <v>254400</v>
      </c>
      <c r="N14" s="456">
        <f>Calculations!O112+Calculations!O231</f>
        <v>254400</v>
      </c>
      <c r="O14" s="456">
        <f>Calculations!P112+Calculations!P231</f>
        <v>254400</v>
      </c>
      <c r="P14" s="456">
        <f>Calculations!Q112+Calculations!Q231</f>
        <v>256800</v>
      </c>
      <c r="Q14" s="457">
        <f t="shared" si="4"/>
        <v>1020000</v>
      </c>
      <c r="R14" s="456">
        <f>Calculations!S112+Calculations!S231</f>
        <v>265200</v>
      </c>
      <c r="S14" s="456">
        <f>Calculations!T112+Calculations!T231</f>
        <v>265200</v>
      </c>
      <c r="T14" s="456">
        <f>Calculations!U112+Calculations!U231</f>
        <v>265200</v>
      </c>
      <c r="U14" s="456">
        <f>Calculations!V112+Calculations!V231</f>
        <v>272400</v>
      </c>
      <c r="V14" s="457">
        <f t="shared" si="5"/>
        <v>1068000</v>
      </c>
      <c r="W14" s="456">
        <f>Calculations!X112+Calculations!X231</f>
        <v>265200</v>
      </c>
      <c r="X14" s="456">
        <f>Calculations!Y112+Calculations!Y231</f>
        <v>265200</v>
      </c>
      <c r="Y14" s="456">
        <f>Calculations!Z112+Calculations!Z231</f>
        <v>265200</v>
      </c>
      <c r="Z14" s="456">
        <f>Calculations!AA112+Calculations!AA231</f>
        <v>272400</v>
      </c>
      <c r="AA14" s="457">
        <f t="shared" si="6"/>
        <v>1068000</v>
      </c>
      <c r="AB14" s="458">
        <f t="shared" si="0"/>
        <v>4200000</v>
      </c>
    </row>
    <row r="15" spans="1:29" x14ac:dyDescent="0.2">
      <c r="A15" s="809" t="s">
        <v>94</v>
      </c>
      <c r="B15" s="810"/>
      <c r="C15" s="456">
        <f>Calculations!D119+Calculations!D126+Calculations!D133+Calculations!D238+Calculations!D245</f>
        <v>0</v>
      </c>
      <c r="D15" s="456">
        <f>Calculations!E119+Calculations!E126+Calculations!E133+Calculations!E238+Calculations!E245</f>
        <v>17653.846153846152</v>
      </c>
      <c r="E15" s="456">
        <f>Calculations!F119+Calculations!F126+Calculations!F133+Calculations!F238+Calculations!F245</f>
        <v>70615.38461538461</v>
      </c>
      <c r="F15" s="456">
        <f>Calculations!G119+Calculations!G126+Calculations!G133+Calculations!G238+Calculations!G245</f>
        <v>132923.07692307691</v>
      </c>
      <c r="G15" s="457">
        <f t="shared" si="2"/>
        <v>221192.30769230769</v>
      </c>
      <c r="H15" s="456">
        <f>Calculations!I119+Calculations!I126+Calculations!I133+Calculations!I238+Calculations!I245</f>
        <v>207692.30769230769</v>
      </c>
      <c r="I15" s="456">
        <f>Calculations!J119+Calculations!J126+Calculations!J133+Calculations!J238+Calculations!J245</f>
        <v>352298.07692307688</v>
      </c>
      <c r="J15" s="456">
        <f>Calculations!K119+Calculations!K126+Calculations!K133+Calculations!K238+Calculations!K245</f>
        <v>496903.84615384613</v>
      </c>
      <c r="K15" s="456">
        <f>Calculations!L119+Calculations!L126+Calculations!L133+Calculations!L238+Calculations!L245</f>
        <v>651894.23076923075</v>
      </c>
      <c r="L15" s="457">
        <f t="shared" si="3"/>
        <v>1708788.4615384613</v>
      </c>
      <c r="M15" s="456">
        <f>Calculations!N119+Calculations!N126+Calculations!N133+Calculations!N238+Calculations!N245</f>
        <v>812596.15384615376</v>
      </c>
      <c r="N15" s="456">
        <f>Calculations!O119+Calculations!O126+Calculations!O133+Calculations!O238+Calculations!O245</f>
        <v>1021067.3076923077</v>
      </c>
      <c r="O15" s="456">
        <f>Calculations!P119+Calculations!P126+Calculations!P133+Calculations!P238+Calculations!P245</f>
        <v>1229538.4615384615</v>
      </c>
      <c r="P15" s="456">
        <f>Calculations!Q119+Calculations!Q126+Calculations!Q133+Calculations!Q238+Calculations!Q245</f>
        <v>1438009.6153846153</v>
      </c>
      <c r="Q15" s="457">
        <f t="shared" si="4"/>
        <v>4501211.538461538</v>
      </c>
      <c r="R15" s="456">
        <f>Calculations!S119+Calculations!S126+Calculations!S133+Calculations!S238+Calculations!S245</f>
        <v>1648557.6923076923</v>
      </c>
      <c r="S15" s="456">
        <f>Calculations!T119+Calculations!T126+Calculations!T133+Calculations!T238+Calculations!T245</f>
        <v>1872865.3846153845</v>
      </c>
      <c r="T15" s="456">
        <f>Calculations!U119+Calculations!U126+Calculations!U133+Calculations!U238+Calculations!U245</f>
        <v>2097173.076923077</v>
      </c>
      <c r="U15" s="456">
        <f>Calculations!V119+Calculations!V126+Calculations!V133+Calculations!V238+Calculations!V245</f>
        <v>2321480.769230769</v>
      </c>
      <c r="V15" s="457">
        <f t="shared" si="5"/>
        <v>7940076.923076923</v>
      </c>
      <c r="W15" s="456">
        <f>Calculations!X119+Calculations!X126+Calculations!X133+Calculations!X238+Calculations!X245</f>
        <v>2552019.230769231</v>
      </c>
      <c r="X15" s="456">
        <f>Calculations!Y119+Calculations!Y126+Calculations!Y133+Calculations!Y238+Calculations!Y245</f>
        <v>2781519.230769231</v>
      </c>
      <c r="Y15" s="456">
        <f>Calculations!Z119+Calculations!Z126+Calculations!Z133+Calculations!Z238+Calculations!Z245</f>
        <v>3011019.230769231</v>
      </c>
      <c r="Z15" s="456">
        <f>Calculations!AA119+Calculations!AA126+Calculations!AA133+Calculations!AA238+Calculations!AA245</f>
        <v>3240519.230769231</v>
      </c>
      <c r="AA15" s="457">
        <f t="shared" si="6"/>
        <v>11585076.923076924</v>
      </c>
      <c r="AB15" s="458">
        <f t="shared" si="0"/>
        <v>25956346.153846152</v>
      </c>
    </row>
    <row r="16" spans="1:29" x14ac:dyDescent="0.2">
      <c r="A16" s="801" t="s">
        <v>136</v>
      </c>
      <c r="B16" s="802"/>
      <c r="C16" s="456">
        <f>Calculations!D154+Calculations!D259</f>
        <v>0</v>
      </c>
      <c r="D16" s="456">
        <f>Calculations!E154+Calculations!E259</f>
        <v>0</v>
      </c>
      <c r="E16" s="456">
        <f>Calculations!F154+Calculations!F259</f>
        <v>0</v>
      </c>
      <c r="F16" s="456">
        <f>Calculations!G154+Calculations!G259</f>
        <v>0</v>
      </c>
      <c r="G16" s="457">
        <f t="shared" si="2"/>
        <v>0</v>
      </c>
      <c r="H16" s="456">
        <f>Calculations!I154+Calculations!I259</f>
        <v>0</v>
      </c>
      <c r="I16" s="456">
        <f>Calculations!J154+Calculations!J259</f>
        <v>0</v>
      </c>
      <c r="J16" s="456">
        <f>Calculations!K154+Calculations!K259</f>
        <v>0</v>
      </c>
      <c r="K16" s="456">
        <f>Calculations!L154+Calculations!L259</f>
        <v>0</v>
      </c>
      <c r="L16" s="457">
        <f t="shared" si="3"/>
        <v>0</v>
      </c>
      <c r="M16" s="456">
        <f>Calculations!N154+Calculations!N259</f>
        <v>0</v>
      </c>
      <c r="N16" s="456">
        <f>Calculations!O154+Calculations!O259</f>
        <v>0</v>
      </c>
      <c r="O16" s="456">
        <f>Calculations!P154+Calculations!P259</f>
        <v>0</v>
      </c>
      <c r="P16" s="456">
        <f>Calculations!Q154+Calculations!Q259</f>
        <v>0</v>
      </c>
      <c r="Q16" s="457">
        <f t="shared" si="4"/>
        <v>0</v>
      </c>
      <c r="R16" s="456">
        <f>Calculations!S154+Calculations!S259</f>
        <v>0</v>
      </c>
      <c r="S16" s="456">
        <f>Calculations!T154+Calculations!T259</f>
        <v>0</v>
      </c>
      <c r="T16" s="456">
        <f>Calculations!U154+Calculations!U259</f>
        <v>0</v>
      </c>
      <c r="U16" s="456">
        <f>Calculations!V154+Calculations!V259</f>
        <v>0</v>
      </c>
      <c r="V16" s="457">
        <f t="shared" si="5"/>
        <v>0</v>
      </c>
      <c r="W16" s="456">
        <f>Calculations!X154+Calculations!X259</f>
        <v>0</v>
      </c>
      <c r="X16" s="456">
        <f>Calculations!Y154+Calculations!Y259</f>
        <v>0</v>
      </c>
      <c r="Y16" s="456">
        <f>Calculations!Z154+Calculations!Z259</f>
        <v>0</v>
      </c>
      <c r="Z16" s="456">
        <f>Calculations!AA154+Calculations!AA259</f>
        <v>0</v>
      </c>
      <c r="AA16" s="457">
        <f t="shared" si="6"/>
        <v>0</v>
      </c>
      <c r="AB16" s="458">
        <f t="shared" si="0"/>
        <v>0</v>
      </c>
    </row>
    <row r="17" spans="1:31" x14ac:dyDescent="0.2">
      <c r="A17" s="801" t="s">
        <v>380</v>
      </c>
      <c r="B17" s="802"/>
      <c r="C17" s="456">
        <f>Calculations!D159+Calculations!D264</f>
        <v>444297</v>
      </c>
      <c r="D17" s="456">
        <f>Calculations!E159+Calculations!E264</f>
        <v>444297</v>
      </c>
      <c r="E17" s="456">
        <f>Calculations!F159+Calculations!F264</f>
        <v>444297</v>
      </c>
      <c r="F17" s="456">
        <f>Calculations!G159+Calculations!G264</f>
        <v>444297</v>
      </c>
      <c r="G17" s="457">
        <f t="shared" si="2"/>
        <v>1777188</v>
      </c>
      <c r="H17" s="456">
        <f>Calculations!I159+Calculations!I264</f>
        <v>586129.09750000003</v>
      </c>
      <c r="I17" s="456">
        <f>Calculations!J159+Calculations!J264</f>
        <v>586129.09750000003</v>
      </c>
      <c r="J17" s="456">
        <f>Calculations!K159+Calculations!K264</f>
        <v>586129.09750000003</v>
      </c>
      <c r="K17" s="456">
        <f>Calculations!L159+Calculations!L264</f>
        <v>586129.09750000003</v>
      </c>
      <c r="L17" s="457">
        <f t="shared" si="3"/>
        <v>2344516.39</v>
      </c>
      <c r="M17" s="456">
        <f>Calculations!N159+Calculations!N264</f>
        <v>1088222.9971</v>
      </c>
      <c r="N17" s="456">
        <f>Calculations!O159+Calculations!O264</f>
        <v>1088222.9971</v>
      </c>
      <c r="O17" s="456">
        <f>Calculations!P159+Calculations!P264</f>
        <v>1088222.9971</v>
      </c>
      <c r="P17" s="456">
        <f>Calculations!Q159+Calculations!Q264</f>
        <v>1088222.9971</v>
      </c>
      <c r="Q17" s="457">
        <f t="shared" si="4"/>
        <v>4352891.9884000001</v>
      </c>
      <c r="R17" s="456">
        <f>Calculations!S159+Calculations!S264</f>
        <v>1198898.2218297501</v>
      </c>
      <c r="S17" s="456">
        <f>Calculations!T159+Calculations!T264</f>
        <v>1198898.2218297501</v>
      </c>
      <c r="T17" s="456">
        <f>Calculations!U159+Calculations!U264</f>
        <v>1198898.2218297501</v>
      </c>
      <c r="U17" s="456">
        <f>Calculations!V159+Calculations!V264</f>
        <v>1198898.2218297501</v>
      </c>
      <c r="V17" s="457">
        <f t="shared" si="5"/>
        <v>4795592.8873190004</v>
      </c>
      <c r="W17" s="456">
        <f>Calculations!X159+Calculations!X264-Calculations!X280</f>
        <v>1114449.1311462675</v>
      </c>
      <c r="X17" s="456">
        <f>Calculations!Y159+Calculations!Y264-Calculations!Y280</f>
        <v>1253449.1311462675</v>
      </c>
      <c r="Y17" s="456">
        <f>Calculations!Z159+Calculations!Z264-Calculations!Z280</f>
        <v>1253449.1311462675</v>
      </c>
      <c r="Z17" s="456">
        <f>Calculations!AA159+Calculations!AA264-Calculations!AA280</f>
        <v>1253449.1311462675</v>
      </c>
      <c r="AA17" s="457">
        <f t="shared" si="6"/>
        <v>4874796.5245850701</v>
      </c>
      <c r="AB17" s="458">
        <f t="shared" si="0"/>
        <v>18144985.790304072</v>
      </c>
    </row>
    <row r="18" spans="1:31" ht="13.2" thickBot="1" x14ac:dyDescent="0.25">
      <c r="A18" s="801" t="s">
        <v>86</v>
      </c>
      <c r="B18" s="802"/>
      <c r="C18" s="456">
        <f>Calculations!D280</f>
        <v>0</v>
      </c>
      <c r="D18" s="456">
        <f>Calculations!E280</f>
        <v>0</v>
      </c>
      <c r="E18" s="456">
        <f>Calculations!F280</f>
        <v>1100000</v>
      </c>
      <c r="F18" s="456">
        <f>Calculations!G280</f>
        <v>268500</v>
      </c>
      <c r="G18" s="457">
        <f t="shared" si="2"/>
        <v>1368500</v>
      </c>
      <c r="H18" s="456">
        <f>Calculations!I280</f>
        <v>0</v>
      </c>
      <c r="I18" s="456">
        <f>Calculations!J280</f>
        <v>333000</v>
      </c>
      <c r="J18" s="456">
        <f>Calculations!K280</f>
        <v>0</v>
      </c>
      <c r="K18" s="456">
        <f>Calculations!L280</f>
        <v>0</v>
      </c>
      <c r="L18" s="457">
        <f t="shared" si="3"/>
        <v>333000</v>
      </c>
      <c r="M18" s="456">
        <f>Calculations!N280</f>
        <v>198000</v>
      </c>
      <c r="N18" s="456">
        <f>Calculations!O280</f>
        <v>0</v>
      </c>
      <c r="O18" s="456">
        <f>Calculations!P280</f>
        <v>0</v>
      </c>
      <c r="P18" s="456">
        <f>Calculations!Q280</f>
        <v>0</v>
      </c>
      <c r="Q18" s="457">
        <f t="shared" si="4"/>
        <v>198000</v>
      </c>
      <c r="R18" s="456">
        <f>Calculations!S280</f>
        <v>99000</v>
      </c>
      <c r="S18" s="456">
        <f>Calculations!T280</f>
        <v>0</v>
      </c>
      <c r="T18" s="456">
        <f>Calculations!U280</f>
        <v>0</v>
      </c>
      <c r="U18" s="456">
        <f>Calculations!V280</f>
        <v>0</v>
      </c>
      <c r="V18" s="457">
        <f t="shared" si="5"/>
        <v>99000</v>
      </c>
      <c r="W18" s="456">
        <f>Calculations!X280</f>
        <v>139000</v>
      </c>
      <c r="X18" s="456">
        <f>Calculations!Y280</f>
        <v>0</v>
      </c>
      <c r="Y18" s="456">
        <f>Calculations!Z280</f>
        <v>0</v>
      </c>
      <c r="Z18" s="456">
        <f>Calculations!AA280</f>
        <v>0</v>
      </c>
      <c r="AA18" s="457">
        <f t="shared" si="6"/>
        <v>139000</v>
      </c>
      <c r="AB18" s="458">
        <f t="shared" si="0"/>
        <v>2137500</v>
      </c>
    </row>
    <row r="19" spans="1:31" ht="13.2" thickBot="1" x14ac:dyDescent="0.25">
      <c r="A19" s="796" t="s">
        <v>137</v>
      </c>
      <c r="B19" s="797"/>
      <c r="C19" s="459">
        <f t="shared" ref="C19:AB19" si="7">SUM(C11:C18)</f>
        <v>839659.29034051963</v>
      </c>
      <c r="D19" s="460">
        <f t="shared" si="7"/>
        <v>1682447.0178564445</v>
      </c>
      <c r="E19" s="460">
        <f t="shared" si="7"/>
        <v>2975013.3009740356</v>
      </c>
      <c r="F19" s="461">
        <f t="shared" si="7"/>
        <v>2340429.2933679637</v>
      </c>
      <c r="G19" s="462">
        <f t="shared" si="7"/>
        <v>7837548.9025389636</v>
      </c>
      <c r="H19" s="450">
        <f t="shared" si="7"/>
        <v>2628084.0755869611</v>
      </c>
      <c r="I19" s="451">
        <f t="shared" si="7"/>
        <v>3322258.6518137814</v>
      </c>
      <c r="J19" s="451">
        <f t="shared" si="7"/>
        <v>3444864.6819154117</v>
      </c>
      <c r="K19" s="452">
        <f t="shared" si="7"/>
        <v>3935419.734026392</v>
      </c>
      <c r="L19" s="453">
        <f t="shared" si="7"/>
        <v>13330627.143342547</v>
      </c>
      <c r="M19" s="450">
        <f t="shared" si="7"/>
        <v>5113452.9608044708</v>
      </c>
      <c r="N19" s="451">
        <f t="shared" si="7"/>
        <v>5474159.3666074174</v>
      </c>
      <c r="O19" s="451">
        <f t="shared" si="7"/>
        <v>6063216.0284103639</v>
      </c>
      <c r="P19" s="452">
        <f t="shared" si="7"/>
        <v>6663157.7573507763</v>
      </c>
      <c r="Q19" s="453">
        <f t="shared" si="7"/>
        <v>23313986.113173027</v>
      </c>
      <c r="R19" s="450">
        <f t="shared" si="7"/>
        <v>7115354.4149100762</v>
      </c>
      <c r="S19" s="451">
        <f t="shared" si="7"/>
        <v>7615130.8041179515</v>
      </c>
      <c r="T19" s="451">
        <f t="shared" si="7"/>
        <v>8252252.6980318557</v>
      </c>
      <c r="U19" s="452">
        <f t="shared" si="7"/>
        <v>8903973.9960717279</v>
      </c>
      <c r="V19" s="453">
        <f t="shared" si="7"/>
        <v>31886711.913131617</v>
      </c>
      <c r="W19" s="450">
        <f t="shared" si="7"/>
        <v>9269166.0519825332</v>
      </c>
      <c r="X19" s="451">
        <f t="shared" si="7"/>
        <v>9801083.5056230985</v>
      </c>
      <c r="Y19" s="451">
        <f t="shared" si="7"/>
        <v>10362818.913388852</v>
      </c>
      <c r="Z19" s="452">
        <f t="shared" si="7"/>
        <v>10945800.378086027</v>
      </c>
      <c r="AA19" s="453">
        <f t="shared" si="7"/>
        <v>40378868.84908051</v>
      </c>
      <c r="AB19" s="454">
        <f t="shared" si="7"/>
        <v>116747742.92126665</v>
      </c>
    </row>
    <row r="20" spans="1:31" x14ac:dyDescent="0.2">
      <c r="A20" s="815" t="s">
        <v>308</v>
      </c>
      <c r="B20" s="311" t="s">
        <v>309</v>
      </c>
      <c r="C20" s="463">
        <f t="shared" ref="C20:K20" si="8">C10-C19</f>
        <v>-794659.29034051963</v>
      </c>
      <c r="D20" s="464">
        <f t="shared" si="8"/>
        <v>-1060367.0178564445</v>
      </c>
      <c r="E20" s="464">
        <f t="shared" si="8"/>
        <v>-1239888.3009740356</v>
      </c>
      <c r="F20" s="465">
        <f t="shared" si="8"/>
        <v>-288405.29336796375</v>
      </c>
      <c r="G20" s="798">
        <f>F21</f>
        <v>-2383319.9025389636</v>
      </c>
      <c r="H20" s="463">
        <f t="shared" si="8"/>
        <v>370199.92441303888</v>
      </c>
      <c r="I20" s="464">
        <f t="shared" si="8"/>
        <v>201565.34818621865</v>
      </c>
      <c r="J20" s="464">
        <f t="shared" si="8"/>
        <v>1256312.3180845883</v>
      </c>
      <c r="K20" s="465">
        <f t="shared" si="8"/>
        <v>2209270.265973608</v>
      </c>
      <c r="L20" s="798">
        <f>K21</f>
        <v>1654027.9541184902</v>
      </c>
      <c r="M20" s="455">
        <f>M10-M19</f>
        <v>3015824.0391955292</v>
      </c>
      <c r="N20" s="443">
        <f>N10-N19</f>
        <v>4163202.6333925826</v>
      </c>
      <c r="O20" s="443">
        <f>O10-O19</f>
        <v>5561339.9715896361</v>
      </c>
      <c r="P20" s="466">
        <f>P10-P19</f>
        <v>7187092.2426492237</v>
      </c>
      <c r="Q20" s="803">
        <f>P21</f>
        <v>21581486.84094546</v>
      </c>
      <c r="R20" s="455">
        <f>R10-R19</f>
        <v>9233421.5850899238</v>
      </c>
      <c r="S20" s="443">
        <f>S10-S19</f>
        <v>10253565.195882048</v>
      </c>
      <c r="T20" s="443">
        <f>T10-T19</f>
        <v>12096300.301968144</v>
      </c>
      <c r="U20" s="466">
        <f>U10-U19</f>
        <v>14122436.003928272</v>
      </c>
      <c r="V20" s="803">
        <f>U21</f>
        <v>67287209.927813843</v>
      </c>
      <c r="W20" s="455">
        <f>W10-W19</f>
        <v>16515596.948017467</v>
      </c>
      <c r="X20" s="443">
        <f>X10-X19</f>
        <v>18078102.494376902</v>
      </c>
      <c r="Y20" s="443">
        <f>Y10-Y19</f>
        <v>20316864.086611148</v>
      </c>
      <c r="Z20" s="466">
        <f>Z10-Z19</f>
        <v>22651379.621913973</v>
      </c>
      <c r="AA20" s="803">
        <f>Z21</f>
        <v>144849153.07873333</v>
      </c>
      <c r="AB20" s="467"/>
    </row>
    <row r="21" spans="1:31" ht="13.2" thickBot="1" x14ac:dyDescent="0.25">
      <c r="A21" s="787"/>
      <c r="B21" s="312" t="s">
        <v>331</v>
      </c>
      <c r="C21" s="468">
        <f>Parameters!$J$26+C20</f>
        <v>205340.70965948037</v>
      </c>
      <c r="D21" s="469">
        <f>C21+D20</f>
        <v>-855026.30819696409</v>
      </c>
      <c r="E21" s="469">
        <f>D21+E20</f>
        <v>-2094914.6091709998</v>
      </c>
      <c r="F21" s="470">
        <f>E21+F20</f>
        <v>-2383319.9025389636</v>
      </c>
      <c r="G21" s="799"/>
      <c r="H21" s="468">
        <f>G20+H20</f>
        <v>-2013119.9781259247</v>
      </c>
      <c r="I21" s="469">
        <f>H21+I20</f>
        <v>-1811554.6299397061</v>
      </c>
      <c r="J21" s="469">
        <f>I21+J20</f>
        <v>-555242.31185511779</v>
      </c>
      <c r="K21" s="470">
        <f>J21+K20</f>
        <v>1654027.9541184902</v>
      </c>
      <c r="L21" s="800"/>
      <c r="M21" s="471">
        <f>L20+M20</f>
        <v>4669851.9933140194</v>
      </c>
      <c r="N21" s="472">
        <f>M21+N20</f>
        <v>8833054.6267066021</v>
      </c>
      <c r="O21" s="472">
        <f>N21+O20</f>
        <v>14394394.598296238</v>
      </c>
      <c r="P21" s="473">
        <f>O21+P20</f>
        <v>21581486.84094546</v>
      </c>
      <c r="Q21" s="804"/>
      <c r="R21" s="471">
        <f>Q20+R20</f>
        <v>30814908.426035382</v>
      </c>
      <c r="S21" s="472">
        <f>R21+S20</f>
        <v>41068473.621917427</v>
      </c>
      <c r="T21" s="472">
        <f>S21+T20</f>
        <v>53164773.923885569</v>
      </c>
      <c r="U21" s="473">
        <f>T21+U20</f>
        <v>67287209.927813843</v>
      </c>
      <c r="V21" s="804"/>
      <c r="W21" s="471">
        <f>V20+W20</f>
        <v>83802806.875831306</v>
      </c>
      <c r="X21" s="472">
        <f>W21+X20</f>
        <v>101880909.3702082</v>
      </c>
      <c r="Y21" s="472">
        <f>X21+Y20</f>
        <v>122197773.45681936</v>
      </c>
      <c r="Z21" s="473">
        <f>Y21+Z20</f>
        <v>144849153.07873333</v>
      </c>
      <c r="AA21" s="804"/>
      <c r="AB21" s="467"/>
    </row>
    <row r="22" spans="1:31" ht="13.2" thickBot="1" x14ac:dyDescent="0.25">
      <c r="A22" s="788"/>
      <c r="B22" s="313" t="s">
        <v>250</v>
      </c>
      <c r="C22" s="793">
        <f>MIN(C21:F21)</f>
        <v>-2383319.9025389636</v>
      </c>
      <c r="D22" s="794"/>
      <c r="E22" s="794"/>
      <c r="F22" s="794"/>
      <c r="G22" s="795"/>
      <c r="H22" s="793">
        <f>MIN(H21:K21)</f>
        <v>-2013119.9781259247</v>
      </c>
      <c r="I22" s="794"/>
      <c r="J22" s="794"/>
      <c r="K22" s="794"/>
      <c r="L22" s="795"/>
      <c r="M22" s="793">
        <f>MIN(M21:P21)</f>
        <v>4669851.9933140194</v>
      </c>
      <c r="N22" s="794"/>
      <c r="O22" s="794"/>
      <c r="P22" s="794"/>
      <c r="Q22" s="795"/>
      <c r="R22" s="793">
        <f>MIN(R21:U21)</f>
        <v>30814908.426035382</v>
      </c>
      <c r="S22" s="794"/>
      <c r="T22" s="794"/>
      <c r="U22" s="794"/>
      <c r="V22" s="795"/>
      <c r="W22" s="793">
        <f>MIN(W21:Z21)</f>
        <v>83802806.875831306</v>
      </c>
      <c r="X22" s="794"/>
      <c r="Y22" s="794"/>
      <c r="Z22" s="794"/>
      <c r="AA22" s="795"/>
      <c r="AB22" s="467"/>
    </row>
    <row r="23" spans="1:31" ht="7.95" customHeight="1" thickBot="1" x14ac:dyDescent="0.25">
      <c r="H23" s="261"/>
      <c r="K23" s="266"/>
      <c r="P23" s="266"/>
      <c r="U23" s="266"/>
      <c r="Z23" s="266"/>
    </row>
    <row r="24" spans="1:31" ht="13.05" customHeight="1" x14ac:dyDescent="0.2">
      <c r="A24" s="832" t="s">
        <v>422</v>
      </c>
      <c r="B24" s="833"/>
      <c r="C24" s="834"/>
      <c r="D24" s="834"/>
      <c r="E24" s="834"/>
      <c r="F24" s="834"/>
      <c r="G24" s="835"/>
      <c r="H24" s="261"/>
      <c r="K24" s="266"/>
      <c r="P24" s="266"/>
      <c r="U24" s="266"/>
      <c r="Z24" s="266"/>
    </row>
    <row r="25" spans="1:31" ht="13.05" customHeight="1" thickBot="1" x14ac:dyDescent="0.25">
      <c r="A25" s="836"/>
      <c r="B25" s="837"/>
      <c r="C25" s="838"/>
      <c r="D25" s="838"/>
      <c r="E25" s="838"/>
      <c r="F25" s="838"/>
      <c r="G25" s="839"/>
      <c r="H25" s="261"/>
      <c r="K25" s="266"/>
      <c r="P25" s="266"/>
      <c r="U25" s="266"/>
      <c r="Z25" s="266"/>
    </row>
    <row r="26" spans="1:31" ht="13.05" customHeight="1" x14ac:dyDescent="0.2">
      <c r="A26" s="811" t="s">
        <v>490</v>
      </c>
      <c r="B26" s="812"/>
      <c r="C26" s="772">
        <v>2012</v>
      </c>
      <c r="D26" s="773"/>
      <c r="E26" s="773"/>
      <c r="F26" s="773"/>
      <c r="G26" s="774"/>
      <c r="H26" s="772">
        <v>2013</v>
      </c>
      <c r="I26" s="773"/>
      <c r="J26" s="773"/>
      <c r="K26" s="773"/>
      <c r="L26" s="774"/>
      <c r="M26" s="772">
        <v>2014</v>
      </c>
      <c r="N26" s="773"/>
      <c r="O26" s="773"/>
      <c r="P26" s="773"/>
      <c r="Q26" s="774"/>
      <c r="R26" s="772">
        <v>2015</v>
      </c>
      <c r="S26" s="773"/>
      <c r="T26" s="773"/>
      <c r="U26" s="773"/>
      <c r="V26" s="774"/>
      <c r="W26" s="772">
        <v>2016</v>
      </c>
      <c r="X26" s="773"/>
      <c r="Y26" s="773"/>
      <c r="Z26" s="773"/>
      <c r="AA26" s="774"/>
      <c r="AB26" s="778" t="s">
        <v>378</v>
      </c>
    </row>
    <row r="27" spans="1:31" ht="13.2" thickBot="1" x14ac:dyDescent="0.25">
      <c r="A27" s="813"/>
      <c r="B27" s="814"/>
      <c r="C27" s="192" t="s">
        <v>406</v>
      </c>
      <c r="D27" s="191" t="s">
        <v>407</v>
      </c>
      <c r="E27" s="191" t="s">
        <v>408</v>
      </c>
      <c r="F27" s="191" t="s">
        <v>409</v>
      </c>
      <c r="G27" s="193" t="s">
        <v>139</v>
      </c>
      <c r="H27" s="192" t="s">
        <v>406</v>
      </c>
      <c r="I27" s="191" t="s">
        <v>407</v>
      </c>
      <c r="J27" s="191" t="s">
        <v>408</v>
      </c>
      <c r="K27" s="191" t="s">
        <v>409</v>
      </c>
      <c r="L27" s="193" t="s">
        <v>139</v>
      </c>
      <c r="M27" s="192" t="s">
        <v>406</v>
      </c>
      <c r="N27" s="191" t="s">
        <v>407</v>
      </c>
      <c r="O27" s="191" t="s">
        <v>408</v>
      </c>
      <c r="P27" s="191" t="s">
        <v>409</v>
      </c>
      <c r="Q27" s="193" t="s">
        <v>139</v>
      </c>
      <c r="R27" s="192" t="s">
        <v>406</v>
      </c>
      <c r="S27" s="191" t="s">
        <v>407</v>
      </c>
      <c r="T27" s="191" t="s">
        <v>408</v>
      </c>
      <c r="U27" s="191" t="s">
        <v>409</v>
      </c>
      <c r="V27" s="193" t="s">
        <v>139</v>
      </c>
      <c r="W27" s="192" t="s">
        <v>406</v>
      </c>
      <c r="X27" s="191" t="s">
        <v>407</v>
      </c>
      <c r="Y27" s="191" t="s">
        <v>408</v>
      </c>
      <c r="Z27" s="191" t="s">
        <v>409</v>
      </c>
      <c r="AA27" s="193" t="s">
        <v>139</v>
      </c>
      <c r="AB27" s="779"/>
    </row>
    <row r="28" spans="1:31" x14ac:dyDescent="0.2">
      <c r="A28" s="807" t="s">
        <v>451</v>
      </c>
      <c r="B28" s="808"/>
      <c r="C28" s="443">
        <f>Calculations!D38</f>
        <v>45000</v>
      </c>
      <c r="D28" s="443">
        <f>Calculations!E38</f>
        <v>135000</v>
      </c>
      <c r="E28" s="443">
        <f>Calculations!F38</f>
        <v>135000</v>
      </c>
      <c r="F28" s="443">
        <f>Calculations!G38</f>
        <v>135000</v>
      </c>
      <c r="G28" s="444">
        <f>SUM(C28:F28)</f>
        <v>450000</v>
      </c>
      <c r="H28" s="443">
        <f>Calculations!I38</f>
        <v>450000</v>
      </c>
      <c r="I28" s="443">
        <f>Calculations!J38</f>
        <v>450000</v>
      </c>
      <c r="J28" s="443">
        <f>Calculations!K38</f>
        <v>450000</v>
      </c>
      <c r="K28" s="443">
        <f>Calculations!L38</f>
        <v>450000</v>
      </c>
      <c r="L28" s="444">
        <f>SUM(H28:K28)</f>
        <v>1800000</v>
      </c>
      <c r="M28" s="443">
        <f>Calculations!N38</f>
        <v>585000</v>
      </c>
      <c r="N28" s="443">
        <f>Calculations!O38</f>
        <v>585000</v>
      </c>
      <c r="O28" s="443">
        <f>Calculations!P38</f>
        <v>585000</v>
      </c>
      <c r="P28" s="443">
        <f>Calculations!Q38</f>
        <v>585000</v>
      </c>
      <c r="Q28" s="444">
        <f>SUM(M28:P28)</f>
        <v>2340000</v>
      </c>
      <c r="R28" s="443">
        <f>Calculations!S38</f>
        <v>603000</v>
      </c>
      <c r="S28" s="443">
        <f>Calculations!T38</f>
        <v>603000</v>
      </c>
      <c r="T28" s="443">
        <f>Calculations!U38</f>
        <v>603000</v>
      </c>
      <c r="U28" s="443">
        <f>Calculations!V38</f>
        <v>621000</v>
      </c>
      <c r="V28" s="444">
        <f>SUM(R28:U28)</f>
        <v>2430000</v>
      </c>
      <c r="W28" s="443">
        <f>Calculations!X38</f>
        <v>738000</v>
      </c>
      <c r="X28" s="443">
        <f>Calculations!Y38</f>
        <v>738000</v>
      </c>
      <c r="Y28" s="443">
        <f>Calculations!Z38</f>
        <v>738000</v>
      </c>
      <c r="Z28" s="443">
        <f>Calculations!AA38</f>
        <v>756000</v>
      </c>
      <c r="AA28" s="444">
        <f>SUM(W28:Z28)</f>
        <v>2970000</v>
      </c>
      <c r="AB28" s="445">
        <f t="shared" ref="AB28:AB41" si="9">G28+L28+Q28+V28+AA28</f>
        <v>9990000</v>
      </c>
      <c r="AC28" s="467"/>
      <c r="AD28" s="467"/>
      <c r="AE28" s="467"/>
    </row>
    <row r="29" spans="1:31" x14ac:dyDescent="0.2">
      <c r="A29" s="801" t="s">
        <v>452</v>
      </c>
      <c r="B29" s="802"/>
      <c r="C29" s="446"/>
      <c r="D29" s="447">
        <f>Calculations!D45+Calculations!D52+Calculations!D59</f>
        <v>29580</v>
      </c>
      <c r="E29" s="447">
        <f>Calculations!E45+Calculations!E52+Calculations!E59</f>
        <v>153525</v>
      </c>
      <c r="F29" s="447">
        <f>Calculations!F45+Calculations!F52+Calculations!F59</f>
        <v>347880</v>
      </c>
      <c r="G29" s="448">
        <f>SUM(C29:F29)</f>
        <v>530985</v>
      </c>
      <c r="H29" s="447">
        <f>Calculations!G45+Calculations!G52+Calculations!G59</f>
        <v>542235</v>
      </c>
      <c r="I29" s="447">
        <f>Calculations!I45+Calculations!I52+Calculations!I59</f>
        <v>943650</v>
      </c>
      <c r="J29" s="447">
        <f>Calculations!J45+Calculations!J52+Calculations!J59</f>
        <v>1591500</v>
      </c>
      <c r="K29" s="447">
        <f>Calculations!K45+Calculations!K52+Calculations!K59</f>
        <v>2239350</v>
      </c>
      <c r="L29" s="448">
        <f>SUM(H29:K29)</f>
        <v>5316735</v>
      </c>
      <c r="M29" s="447">
        <f>Calculations!L45+Calculations!L52+Calculations!L59</f>
        <v>2887200</v>
      </c>
      <c r="N29" s="447">
        <f>Calculations!N45+Calculations!N52+Calculations!N59</f>
        <v>3623790</v>
      </c>
      <c r="O29" s="447">
        <f>Calculations!O45+Calculations!O52+Calculations!O59</f>
        <v>4465995</v>
      </c>
      <c r="P29" s="447">
        <f>Calculations!P45+Calculations!P52+Calculations!P59</f>
        <v>5308200</v>
      </c>
      <c r="Q29" s="448">
        <f>SUM(M29:P29)</f>
        <v>16285185</v>
      </c>
      <c r="R29" s="447">
        <f>Calculations!Q45+Calculations!Q52+Calculations!Q59</f>
        <v>6150405</v>
      </c>
      <c r="S29" s="447">
        <f>Calculations!S45+Calculations!S52+Calculations!S59</f>
        <v>7004442</v>
      </c>
      <c r="T29" s="447">
        <f>Calculations!T45+Calculations!T52+Calculations!T59</f>
        <v>7872561</v>
      </c>
      <c r="U29" s="447">
        <f>Calculations!U45+Calculations!U52+Calculations!U59</f>
        <v>8740680</v>
      </c>
      <c r="V29" s="448">
        <f>SUM(R29:U29)</f>
        <v>29768088</v>
      </c>
      <c r="W29" s="447">
        <f>Calculations!V45+Calculations!V52+Calculations!V59</f>
        <v>9620631</v>
      </c>
      <c r="X29" s="447">
        <f>Calculations!X45+Calculations!X52+Calculations!X59</f>
        <v>10591572</v>
      </c>
      <c r="Y29" s="447">
        <f>Calculations!Y45+Calculations!Y52+Calculations!Y59</f>
        <v>11654046</v>
      </c>
      <c r="Z29" s="447">
        <f>Calculations!Z45+Calculations!Z52+Calculations!Z59</f>
        <v>12716520</v>
      </c>
      <c r="AA29" s="448">
        <f>SUM(W29:Z29)</f>
        <v>44582769</v>
      </c>
      <c r="AB29" s="449">
        <f t="shared" si="9"/>
        <v>96483762</v>
      </c>
      <c r="AC29" s="467"/>
      <c r="AD29" s="467"/>
      <c r="AE29" s="467"/>
    </row>
    <row r="30" spans="1:31" x14ac:dyDescent="0.2">
      <c r="A30" s="823" t="s">
        <v>493</v>
      </c>
      <c r="B30" s="824"/>
      <c r="C30" s="446"/>
      <c r="D30" s="447">
        <f>-(C28/2)</f>
        <v>-22500</v>
      </c>
      <c r="E30" s="447">
        <f>-((C28+D28)/2)</f>
        <v>-90000</v>
      </c>
      <c r="F30" s="447">
        <f>-((D28+E28)/2)</f>
        <v>-135000</v>
      </c>
      <c r="G30" s="448">
        <f>SUM(C30:F30)</f>
        <v>-247500</v>
      </c>
      <c r="H30" s="447">
        <f>-((E28+F28)/2)</f>
        <v>-135000</v>
      </c>
      <c r="I30" s="447">
        <f>-((F28+H28)/2)</f>
        <v>-292500</v>
      </c>
      <c r="J30" s="447">
        <f>-((H28+I28)/2)</f>
        <v>-450000</v>
      </c>
      <c r="K30" s="447">
        <f>-((I28+J28)/2)</f>
        <v>-450000</v>
      </c>
      <c r="L30" s="448">
        <f>SUM(H30:K30)</f>
        <v>-1327500</v>
      </c>
      <c r="M30" s="447">
        <f>-((J28+K28)/2)</f>
        <v>-450000</v>
      </c>
      <c r="N30" s="447">
        <f>-((K28+M28)/2)</f>
        <v>-517500</v>
      </c>
      <c r="O30" s="447">
        <f>-((M28+N28)/2)</f>
        <v>-585000</v>
      </c>
      <c r="P30" s="447">
        <f>-((N28+O28)/2)</f>
        <v>-585000</v>
      </c>
      <c r="Q30" s="448">
        <f>SUM(M30:P30)</f>
        <v>-2137500</v>
      </c>
      <c r="R30" s="447">
        <f>-((O28+P28)/2)</f>
        <v>-585000</v>
      </c>
      <c r="S30" s="447">
        <f>-((P28+R28)/2)</f>
        <v>-594000</v>
      </c>
      <c r="T30" s="447">
        <f>-((R28+S28)/2)</f>
        <v>-603000</v>
      </c>
      <c r="U30" s="447">
        <f>-((S28+T28)/2)</f>
        <v>-603000</v>
      </c>
      <c r="V30" s="448">
        <f>SUM(R30:U30)</f>
        <v>-2385000</v>
      </c>
      <c r="W30" s="447">
        <f>-((T28+U28)/2)</f>
        <v>-612000</v>
      </c>
      <c r="X30" s="447">
        <f>-((U28+W28)/2)</f>
        <v>-679500</v>
      </c>
      <c r="Y30" s="447">
        <f>-((W28+X28)/2)</f>
        <v>-738000</v>
      </c>
      <c r="Z30" s="447">
        <f>-((X28+Y28)/2)</f>
        <v>-738000</v>
      </c>
      <c r="AA30" s="448">
        <f>SUM(W30:Z30)</f>
        <v>-2767500</v>
      </c>
      <c r="AB30" s="449">
        <f t="shared" si="9"/>
        <v>-8865000</v>
      </c>
      <c r="AC30" s="467"/>
      <c r="AD30" s="467"/>
      <c r="AE30" s="467"/>
    </row>
    <row r="31" spans="1:31" x14ac:dyDescent="0.2">
      <c r="A31" s="823" t="s">
        <v>237</v>
      </c>
      <c r="B31" s="824"/>
      <c r="C31" s="446"/>
      <c r="D31" s="447">
        <f>Calculations!D174</f>
        <v>480000</v>
      </c>
      <c r="E31" s="447">
        <f>Calculations!E174</f>
        <v>1440000</v>
      </c>
      <c r="F31" s="447">
        <f>Calculations!F174</f>
        <v>1440000</v>
      </c>
      <c r="G31" s="448">
        <f>SUM(C31:F31)</f>
        <v>3360000</v>
      </c>
      <c r="H31" s="447">
        <f>Calculations!G174</f>
        <v>1440000</v>
      </c>
      <c r="I31" s="447">
        <f>Calculations!I174</f>
        <v>1410000</v>
      </c>
      <c r="J31" s="447">
        <f>Calculations!J174</f>
        <v>1410000</v>
      </c>
      <c r="K31" s="447">
        <f>Calculations!K174</f>
        <v>1410000</v>
      </c>
      <c r="L31" s="448">
        <f>SUM(H31:K31)</f>
        <v>5670000</v>
      </c>
      <c r="M31" s="447">
        <f>Calculations!L174</f>
        <v>1470000</v>
      </c>
      <c r="N31" s="447">
        <f>Calculations!N174</f>
        <v>1350000</v>
      </c>
      <c r="O31" s="447">
        <f>Calculations!O174</f>
        <v>1350000</v>
      </c>
      <c r="P31" s="447">
        <f>Calculations!P174</f>
        <v>1350000</v>
      </c>
      <c r="Q31" s="448">
        <f>SUM(M31:P31)</f>
        <v>5520000</v>
      </c>
      <c r="R31" s="447">
        <f>Calculations!Q174</f>
        <v>1350000</v>
      </c>
      <c r="S31" s="447">
        <f>Calculations!S174</f>
        <v>600000</v>
      </c>
      <c r="T31" s="447">
        <f>Calculations!T174</f>
        <v>600000</v>
      </c>
      <c r="U31" s="447">
        <f>Calculations!U174</f>
        <v>600000</v>
      </c>
      <c r="V31" s="448">
        <f>SUM(R31:U31)</f>
        <v>3150000</v>
      </c>
      <c r="W31" s="447">
        <f>Calculations!V174</f>
        <v>600000</v>
      </c>
      <c r="X31" s="447">
        <f>Calculations!X174</f>
        <v>0</v>
      </c>
      <c r="Y31" s="447">
        <f>Calculations!Y174</f>
        <v>0</v>
      </c>
      <c r="Z31" s="447">
        <f>Calculations!Z174</f>
        <v>0</v>
      </c>
      <c r="AA31" s="448">
        <f>SUM(W31:Z31)</f>
        <v>600000</v>
      </c>
      <c r="AB31" s="449">
        <f t="shared" si="9"/>
        <v>18300000</v>
      </c>
      <c r="AC31" s="467"/>
      <c r="AD31" s="467"/>
      <c r="AE31" s="467"/>
    </row>
    <row r="32" spans="1:31" ht="13.2" thickBot="1" x14ac:dyDescent="0.25">
      <c r="A32" s="823" t="s">
        <v>164</v>
      </c>
      <c r="B32" s="824"/>
      <c r="C32" s="446"/>
      <c r="D32" s="447">
        <f>Calculations!D181+Calculations!D188</f>
        <v>0</v>
      </c>
      <c r="E32" s="447">
        <f>Calculations!E181+Calculations!E188</f>
        <v>15600</v>
      </c>
      <c r="F32" s="447">
        <f>Calculations!F181+Calculations!F188</f>
        <v>62400</v>
      </c>
      <c r="G32" s="448">
        <f>SUM(C32:F32)</f>
        <v>78000</v>
      </c>
      <c r="H32" s="447">
        <f>Calculations!G181+Calculations!G188</f>
        <v>109200</v>
      </c>
      <c r="I32" s="447">
        <f>Calculations!I181+Calculations!I188</f>
        <v>156000</v>
      </c>
      <c r="J32" s="447">
        <f>Calculations!J181+Calculations!J188</f>
        <v>201824.99999999997</v>
      </c>
      <c r="K32" s="447">
        <f>Calculations!K181+Calculations!K188</f>
        <v>247650</v>
      </c>
      <c r="L32" s="448">
        <f>SUM(H32:K32)</f>
        <v>714675</v>
      </c>
      <c r="M32" s="447">
        <f>Calculations!L181+Calculations!L188</f>
        <v>293475</v>
      </c>
      <c r="N32" s="447">
        <f>Calculations!N181+Calculations!N188</f>
        <v>341250</v>
      </c>
      <c r="O32" s="447">
        <f>Calculations!O181+Calculations!O188</f>
        <v>385125</v>
      </c>
      <c r="P32" s="447">
        <f>Calculations!P181+Calculations!P188</f>
        <v>429000</v>
      </c>
      <c r="Q32" s="448">
        <f>SUM(M32:P32)</f>
        <v>1448850</v>
      </c>
      <c r="R32" s="447">
        <f>Calculations!Q181+Calculations!Q188</f>
        <v>472875</v>
      </c>
      <c r="S32" s="447">
        <f>Calculations!S181+Calculations!S188</f>
        <v>516750</v>
      </c>
      <c r="T32" s="447">
        <f>Calculations!T181+Calculations!T188</f>
        <v>536250</v>
      </c>
      <c r="U32" s="447">
        <f>Calculations!U181+Calculations!U188</f>
        <v>555750</v>
      </c>
      <c r="V32" s="448">
        <f>SUM(R32:U32)</f>
        <v>2081625</v>
      </c>
      <c r="W32" s="447">
        <f>Calculations!V181+Calculations!V188</f>
        <v>575250</v>
      </c>
      <c r="X32" s="447">
        <f>Calculations!X181+Calculations!X188</f>
        <v>594750</v>
      </c>
      <c r="Y32" s="447">
        <f>Calculations!Y181+Calculations!Y188</f>
        <v>594750</v>
      </c>
      <c r="Z32" s="447">
        <f>Calculations!Z181+Calculations!Z188</f>
        <v>594750</v>
      </c>
      <c r="AA32" s="448">
        <f>SUM(W32:Z32)</f>
        <v>2359500</v>
      </c>
      <c r="AB32" s="449">
        <f t="shared" si="9"/>
        <v>6682650</v>
      </c>
      <c r="AC32" s="467"/>
      <c r="AD32" s="467"/>
      <c r="AE32" s="467"/>
    </row>
    <row r="33" spans="1:31" ht="13.2" thickBot="1" x14ac:dyDescent="0.25">
      <c r="A33" s="825" t="s">
        <v>222</v>
      </c>
      <c r="B33" s="826"/>
      <c r="C33" s="450">
        <f t="shared" ref="C33:AA33" si="10">SUM(C28:C32)</f>
        <v>45000</v>
      </c>
      <c r="D33" s="451">
        <f t="shared" si="10"/>
        <v>622080</v>
      </c>
      <c r="E33" s="451">
        <f t="shared" si="10"/>
        <v>1654125</v>
      </c>
      <c r="F33" s="452">
        <f t="shared" si="10"/>
        <v>1850280</v>
      </c>
      <c r="G33" s="453">
        <f t="shared" si="10"/>
        <v>4171485</v>
      </c>
      <c r="H33" s="450">
        <f t="shared" si="10"/>
        <v>2406435</v>
      </c>
      <c r="I33" s="451">
        <f t="shared" si="10"/>
        <v>2667150</v>
      </c>
      <c r="J33" s="451">
        <f t="shared" si="10"/>
        <v>3203325</v>
      </c>
      <c r="K33" s="452">
        <f t="shared" si="10"/>
        <v>3897000</v>
      </c>
      <c r="L33" s="453">
        <f t="shared" si="10"/>
        <v>12173910</v>
      </c>
      <c r="M33" s="450">
        <f t="shared" si="10"/>
        <v>4785675</v>
      </c>
      <c r="N33" s="451">
        <f t="shared" si="10"/>
        <v>5382540</v>
      </c>
      <c r="O33" s="451">
        <f t="shared" si="10"/>
        <v>6201120</v>
      </c>
      <c r="P33" s="452">
        <f t="shared" si="10"/>
        <v>7087200</v>
      </c>
      <c r="Q33" s="453">
        <f t="shared" si="10"/>
        <v>23456535</v>
      </c>
      <c r="R33" s="450">
        <f t="shared" si="10"/>
        <v>7991280</v>
      </c>
      <c r="S33" s="451">
        <f t="shared" si="10"/>
        <v>8130192</v>
      </c>
      <c r="T33" s="451">
        <f t="shared" si="10"/>
        <v>9008811</v>
      </c>
      <c r="U33" s="452">
        <f t="shared" si="10"/>
        <v>9914430</v>
      </c>
      <c r="V33" s="453">
        <f t="shared" si="10"/>
        <v>35044713</v>
      </c>
      <c r="W33" s="450">
        <f t="shared" si="10"/>
        <v>10921881</v>
      </c>
      <c r="X33" s="451">
        <f t="shared" si="10"/>
        <v>11244822</v>
      </c>
      <c r="Y33" s="451">
        <f t="shared" si="10"/>
        <v>12248796</v>
      </c>
      <c r="Z33" s="452">
        <f t="shared" si="10"/>
        <v>13329270</v>
      </c>
      <c r="AA33" s="453">
        <f t="shared" si="10"/>
        <v>47744769</v>
      </c>
      <c r="AB33" s="454">
        <f t="shared" si="9"/>
        <v>122591412</v>
      </c>
      <c r="AC33" s="467"/>
      <c r="AD33" s="467"/>
      <c r="AE33" s="467"/>
    </row>
    <row r="34" spans="1:31" x14ac:dyDescent="0.2">
      <c r="A34" s="842" t="s">
        <v>483</v>
      </c>
      <c r="B34" s="843"/>
      <c r="C34" s="455"/>
      <c r="D34" s="443">
        <f>Calculations!D73+Calculations!D202</f>
        <v>26484.720000000001</v>
      </c>
      <c r="E34" s="443">
        <f>Calculations!E73+Calculations!E202</f>
        <v>84423.6</v>
      </c>
      <c r="F34" s="443">
        <f>Calculations!F73+Calculations!F202</f>
        <v>99331.92</v>
      </c>
      <c r="G34" s="444">
        <f t="shared" ref="G34:G41" si="11">SUM(C34:F34)</f>
        <v>210240.24</v>
      </c>
      <c r="H34" s="443">
        <f>Calculations!G73+Calculations!G202</f>
        <v>114240.23999999999</v>
      </c>
      <c r="I34" s="443">
        <f>Calculations!I73+Calculations!I202</f>
        <v>145041.59999999998</v>
      </c>
      <c r="J34" s="443">
        <f>Calculations!J73+Calculations!J202</f>
        <v>194736</v>
      </c>
      <c r="K34" s="443">
        <f>Calculations!K73+Calculations!K202</f>
        <v>244430.4</v>
      </c>
      <c r="L34" s="444">
        <f t="shared" ref="L34:L41" si="12">SUM(H34:K34)</f>
        <v>698448.24</v>
      </c>
      <c r="M34" s="443">
        <f>Calculations!L73+Calculations!L202</f>
        <v>297124.79999999993</v>
      </c>
      <c r="N34" s="443">
        <f>Calculations!N73+Calculations!N202</f>
        <v>348273.36</v>
      </c>
      <c r="O34" s="443">
        <f>Calculations!O73+Calculations!O202</f>
        <v>412876.08</v>
      </c>
      <c r="P34" s="443">
        <f>Calculations!P73+Calculations!P202</f>
        <v>477478.8</v>
      </c>
      <c r="Q34" s="444">
        <f t="shared" ref="Q34:Q41" si="13">SUM(M34:P34)</f>
        <v>1535753.04</v>
      </c>
      <c r="R34" s="443">
        <f>Calculations!Q73+Calculations!Q202</f>
        <v>542081.5199999999</v>
      </c>
      <c r="S34" s="443">
        <f>Calculations!S73+Calculations!S202</f>
        <v>570178.12799999991</v>
      </c>
      <c r="T34" s="443">
        <f>Calculations!T73+Calculations!T202</f>
        <v>636768.62399999984</v>
      </c>
      <c r="U34" s="443">
        <f>Calculations!U73+Calculations!U202</f>
        <v>703359.12</v>
      </c>
      <c r="V34" s="444">
        <f t="shared" ref="V34:V41" si="14">SUM(R34:U34)</f>
        <v>2452387.3919999995</v>
      </c>
      <c r="W34" s="443">
        <f>Calculations!V73+Calculations!V202</f>
        <v>770943.50399999984</v>
      </c>
      <c r="X34" s="443">
        <f>Calculations!X73+Calculations!X202</f>
        <v>815982.04799999995</v>
      </c>
      <c r="Y34" s="443">
        <f>Calculations!Y73+Calculations!Y202</f>
        <v>897480.86399999983</v>
      </c>
      <c r="Z34" s="443">
        <f>Calculations!Z73+Calculations!Z202</f>
        <v>978979.67999999982</v>
      </c>
      <c r="AA34" s="444">
        <f t="shared" ref="AA34:AA41" si="15">SUM(W34:Z34)</f>
        <v>3463386.095999999</v>
      </c>
      <c r="AB34" s="445">
        <f t="shared" si="9"/>
        <v>8360215.0079999985</v>
      </c>
      <c r="AC34" s="467"/>
      <c r="AD34" s="467"/>
      <c r="AE34" s="467"/>
    </row>
    <row r="35" spans="1:31" x14ac:dyDescent="0.2">
      <c r="A35" s="821" t="s">
        <v>87</v>
      </c>
      <c r="B35" s="822"/>
      <c r="C35" s="456">
        <f>Calculations!D89+Calculations!D209</f>
        <v>366200</v>
      </c>
      <c r="D35" s="456">
        <f>Calculations!E89+Calculations!E209</f>
        <v>1098600</v>
      </c>
      <c r="E35" s="456">
        <f>Calculations!F89+Calculations!F209</f>
        <v>1098600</v>
      </c>
      <c r="F35" s="456">
        <f>Calculations!G89+Calculations!G209</f>
        <v>1098600</v>
      </c>
      <c r="G35" s="457">
        <f t="shared" si="11"/>
        <v>3662000</v>
      </c>
      <c r="H35" s="456">
        <f>Calculations!I89+Calculations!I209</f>
        <v>1102400</v>
      </c>
      <c r="I35" s="456">
        <f>Calculations!J89+Calculations!J209</f>
        <v>1102400</v>
      </c>
      <c r="J35" s="456">
        <f>Calculations!K89+Calculations!K209</f>
        <v>1102400</v>
      </c>
      <c r="K35" s="456">
        <f>Calculations!L89+Calculations!L209</f>
        <v>1140800</v>
      </c>
      <c r="L35" s="457">
        <f t="shared" si="12"/>
        <v>4448000</v>
      </c>
      <c r="M35" s="456">
        <f>Calculations!N89+Calculations!N209</f>
        <v>999000</v>
      </c>
      <c r="N35" s="456">
        <f>Calculations!O89+Calculations!O209</f>
        <v>999000</v>
      </c>
      <c r="O35" s="456">
        <f>Calculations!P89+Calculations!P209</f>
        <v>999000</v>
      </c>
      <c r="P35" s="456">
        <f>Calculations!Q89+Calculations!Q209</f>
        <v>999000</v>
      </c>
      <c r="Q35" s="457">
        <f t="shared" si="13"/>
        <v>3996000</v>
      </c>
      <c r="R35" s="456">
        <f>Calculations!S89+Calculations!S209</f>
        <v>547800</v>
      </c>
      <c r="S35" s="456">
        <f>Calculations!T89+Calculations!T209</f>
        <v>547800</v>
      </c>
      <c r="T35" s="456">
        <f>Calculations!U89+Calculations!U209</f>
        <v>547800</v>
      </c>
      <c r="U35" s="456">
        <f>Calculations!V89+Calculations!V209</f>
        <v>554600</v>
      </c>
      <c r="V35" s="457">
        <f t="shared" si="14"/>
        <v>2198000</v>
      </c>
      <c r="W35" s="456">
        <f>Calculations!X89+Calculations!X209</f>
        <v>278799.99999999994</v>
      </c>
      <c r="X35" s="456">
        <f>Calculations!Y89+Calculations!Y209</f>
        <v>278799.99999999994</v>
      </c>
      <c r="Y35" s="456">
        <f>Calculations!Z89+Calculations!Z209</f>
        <v>278799.99999999994</v>
      </c>
      <c r="Z35" s="456">
        <f>Calculations!AA89+Calculations!AA209</f>
        <v>285599.99999999994</v>
      </c>
      <c r="AA35" s="457">
        <f t="shared" si="15"/>
        <v>1121999.9999999998</v>
      </c>
      <c r="AB35" s="458">
        <f t="shared" si="9"/>
        <v>15426000</v>
      </c>
      <c r="AC35" s="467"/>
      <c r="AD35" s="467"/>
      <c r="AE35" s="467"/>
    </row>
    <row r="36" spans="1:31" x14ac:dyDescent="0.2">
      <c r="A36" s="821" t="s">
        <v>391</v>
      </c>
      <c r="B36" s="822"/>
      <c r="C36" s="456">
        <f>Calculations!D94+Calculations!D217</f>
        <v>3962.2903405196275</v>
      </c>
      <c r="D36" s="456">
        <f>Calculations!E94+Calculations!E217</f>
        <v>19811.45170259814</v>
      </c>
      <c r="E36" s="456">
        <f>Calculations!F94+Calculations!F217</f>
        <v>43585.193745715907</v>
      </c>
      <c r="F36" s="456">
        <f>Calculations!G94+Calculations!G217</f>
        <v>67358.935788833667</v>
      </c>
      <c r="G36" s="457">
        <f t="shared" si="11"/>
        <v>134717.87157766736</v>
      </c>
      <c r="H36" s="456">
        <f>Calculations!I94+Calculations!I217</f>
        <v>114942.11618444326</v>
      </c>
      <c r="I36" s="456">
        <f>Calculations!J94+Calculations!J217</f>
        <v>186334.73493254464</v>
      </c>
      <c r="J36" s="456">
        <f>Calculations!K94+Calculations!K217</f>
        <v>257727.35368064605</v>
      </c>
      <c r="K36" s="456">
        <f>Calculations!L94+Calculations!L217</f>
        <v>329119.97242874745</v>
      </c>
      <c r="L36" s="457">
        <f t="shared" si="12"/>
        <v>888124.17722638138</v>
      </c>
      <c r="M36" s="456">
        <f>Calculations!N94+Calculations!N217</f>
        <v>406580.9637704374</v>
      </c>
      <c r="N36" s="456">
        <f>Calculations!O94+Calculations!O217</f>
        <v>490110.32770571607</v>
      </c>
      <c r="O36" s="456">
        <f>Calculations!P94+Calculations!P217</f>
        <v>573639.69164099474</v>
      </c>
      <c r="P36" s="456">
        <f>Calculations!Q94+Calculations!Q217</f>
        <v>657169.05557627324</v>
      </c>
      <c r="Q36" s="457">
        <f t="shared" si="13"/>
        <v>2127500.0386934215</v>
      </c>
      <c r="R36" s="456">
        <f>Calculations!S94+Calculations!S217</f>
        <v>735629.54358043673</v>
      </c>
      <c r="S36" s="456">
        <f>Calculations!T94+Calculations!T217</f>
        <v>801096.57497244573</v>
      </c>
      <c r="T36" s="456">
        <f>Calculations!U94+Calculations!U217</f>
        <v>858639.02568341547</v>
      </c>
      <c r="U36" s="456">
        <f>Calculations!V94+Calculations!V217</f>
        <v>917395.1509131029</v>
      </c>
      <c r="V36" s="457">
        <f t="shared" si="14"/>
        <v>3312760.2951494008</v>
      </c>
      <c r="W36" s="456">
        <f>Calculations!X94+Calculations!X217</f>
        <v>961444.39668068138</v>
      </c>
      <c r="X36" s="456">
        <f>Calculations!Y94+Calculations!Y217</f>
        <v>989573.08846743323</v>
      </c>
      <c r="Y36" s="456">
        <f>Calculations!Z94+Calculations!Z217</f>
        <v>1017701.7802541851</v>
      </c>
      <c r="Z36" s="456">
        <f>Calculations!AA94+Calculations!AA217</f>
        <v>1047044.1465596549</v>
      </c>
      <c r="AA36" s="457">
        <f t="shared" si="15"/>
        <v>4015763.4119619546</v>
      </c>
      <c r="AB36" s="458">
        <f t="shared" si="9"/>
        <v>10478865.794608826</v>
      </c>
      <c r="AC36" s="467"/>
      <c r="AD36" s="467"/>
      <c r="AE36" s="467"/>
    </row>
    <row r="37" spans="1:31" x14ac:dyDescent="0.2">
      <c r="A37" s="821" t="s">
        <v>389</v>
      </c>
      <c r="B37" s="822"/>
      <c r="C37" s="456">
        <f>Calculations!D106+Calculations!D225</f>
        <v>25200</v>
      </c>
      <c r="D37" s="456">
        <f>Calculations!E106+Calculations!E225</f>
        <v>75600</v>
      </c>
      <c r="E37" s="456">
        <f>Calculations!F106+Calculations!F225</f>
        <v>75600</v>
      </c>
      <c r="F37" s="456">
        <f>Calculations!G106+Calculations!G225</f>
        <v>75600</v>
      </c>
      <c r="G37" s="457">
        <f t="shared" si="11"/>
        <v>252000</v>
      </c>
      <c r="H37" s="456">
        <f>Calculations!I106+Calculations!I225</f>
        <v>116400</v>
      </c>
      <c r="I37" s="456">
        <f>Calculations!J106+Calculations!J225</f>
        <v>116400</v>
      </c>
      <c r="J37" s="456">
        <f>Calculations!K106+Calculations!K225</f>
        <v>116400</v>
      </c>
      <c r="K37" s="456">
        <f>Calculations!L106+Calculations!L225</f>
        <v>118800</v>
      </c>
      <c r="L37" s="457">
        <f t="shared" si="12"/>
        <v>468000</v>
      </c>
      <c r="M37" s="456">
        <f>Calculations!N106+Calculations!N225</f>
        <v>132000</v>
      </c>
      <c r="N37" s="456">
        <f>Calculations!O106+Calculations!O225</f>
        <v>132000</v>
      </c>
      <c r="O37" s="456">
        <f>Calculations!P106+Calculations!P225</f>
        <v>132000</v>
      </c>
      <c r="P37" s="456">
        <f>Calculations!Q106+Calculations!Q225</f>
        <v>132000</v>
      </c>
      <c r="Q37" s="457">
        <f t="shared" si="13"/>
        <v>528000</v>
      </c>
      <c r="R37" s="456">
        <f>Calculations!S106+Calculations!S225</f>
        <v>104400</v>
      </c>
      <c r="S37" s="456">
        <f>Calculations!T106+Calculations!T225</f>
        <v>104400</v>
      </c>
      <c r="T37" s="456">
        <f>Calculations!U106+Calculations!U225</f>
        <v>104400</v>
      </c>
      <c r="U37" s="456">
        <f>Calculations!V106+Calculations!V225</f>
        <v>106800</v>
      </c>
      <c r="V37" s="457">
        <f t="shared" si="14"/>
        <v>420000</v>
      </c>
      <c r="W37" s="456">
        <f>Calculations!X106+Calculations!X225</f>
        <v>98400</v>
      </c>
      <c r="X37" s="456">
        <f>Calculations!Y106+Calculations!Y225</f>
        <v>98400</v>
      </c>
      <c r="Y37" s="456">
        <f>Calculations!Z106+Calculations!Z225</f>
        <v>98400</v>
      </c>
      <c r="Z37" s="456">
        <f>Calculations!AA106+Calculations!AA225</f>
        <v>100800</v>
      </c>
      <c r="AA37" s="457">
        <f t="shared" si="15"/>
        <v>396000</v>
      </c>
      <c r="AB37" s="458">
        <f t="shared" si="9"/>
        <v>2064000</v>
      </c>
      <c r="AC37" s="467"/>
      <c r="AD37" s="467"/>
      <c r="AE37" s="467"/>
    </row>
    <row r="38" spans="1:31" x14ac:dyDescent="0.2">
      <c r="A38" s="821" t="s">
        <v>94</v>
      </c>
      <c r="B38" s="822"/>
      <c r="C38" s="456">
        <f>Calculations!D113+Calculations!D120+Calculations!D127+Calculations!D232+Calculations!D239</f>
        <v>0</v>
      </c>
      <c r="D38" s="456">
        <f>Calculations!E113+Calculations!E120+Calculations!E127+Calculations!E232+Calculations!E239</f>
        <v>17653.846153846152</v>
      </c>
      <c r="E38" s="456">
        <f>Calculations!F113+Calculations!F120+Calculations!F127+Calculations!F232+Calculations!F239</f>
        <v>70615.38461538461</v>
      </c>
      <c r="F38" s="456">
        <f>Calculations!G113+Calculations!G120+Calculations!G127+Calculations!G232+Calculations!G239</f>
        <v>123576.92307692306</v>
      </c>
      <c r="G38" s="457">
        <f t="shared" si="11"/>
        <v>211846.15384615381</v>
      </c>
      <c r="H38" s="456">
        <f>Calculations!I113+Calculations!I120+Calculations!I127+Calculations!I232+Calculations!I239</f>
        <v>176538.46153846153</v>
      </c>
      <c r="I38" s="456">
        <f>Calculations!J113+Calculations!J120+Calculations!J127+Calculations!J232+Calculations!J239</f>
        <v>265067.30769230769</v>
      </c>
      <c r="J38" s="456">
        <f>Calculations!K113+Calculations!K120+Calculations!K127+Calculations!K232+Calculations!K239</f>
        <v>353596.15384615381</v>
      </c>
      <c r="K38" s="456">
        <f>Calculations!L113+Calculations!L120+Calculations!L127+Calculations!L232+Calculations!L239</f>
        <v>442125</v>
      </c>
      <c r="L38" s="457">
        <f t="shared" si="12"/>
        <v>1237326.923076923</v>
      </c>
      <c r="M38" s="456">
        <f>Calculations!N113+Calculations!N120+Calculations!N127+Calculations!N232+Calculations!N239</f>
        <v>532211.5384615385</v>
      </c>
      <c r="N38" s="456">
        <f>Calculations!O113+Calculations!O120+Calculations!O127+Calculations!O232+Calculations!O239</f>
        <v>634759.61538461538</v>
      </c>
      <c r="O38" s="456">
        <f>Calculations!P113+Calculations!P120+Calculations!P127+Calculations!P232+Calculations!P239</f>
        <v>737307.69230769225</v>
      </c>
      <c r="P38" s="456">
        <f>Calculations!Q113+Calculations!Q120+Calculations!Q127+Calculations!Q232+Calculations!Q239</f>
        <v>839855.76923076925</v>
      </c>
      <c r="Q38" s="457">
        <f t="shared" si="13"/>
        <v>2744134.6153846155</v>
      </c>
      <c r="R38" s="456">
        <f>Calculations!S113+Calculations!S120+Calculations!S127+Calculations!S232+Calculations!S239</f>
        <v>942403.84615384613</v>
      </c>
      <c r="S38" s="456">
        <f>Calculations!T113+Calculations!T120+Calculations!T127+Calculations!T232+Calculations!T239</f>
        <v>1027557.6923076924</v>
      </c>
      <c r="T38" s="456">
        <f>Calculations!U113+Calculations!U120+Calculations!U127+Calculations!U232+Calculations!U239</f>
        <v>1112711.5384615385</v>
      </c>
      <c r="U38" s="456">
        <f>Calculations!V113+Calculations!V120+Calculations!V127+Calculations!V232+Calculations!V239</f>
        <v>1197865.3846153845</v>
      </c>
      <c r="V38" s="457">
        <f t="shared" si="14"/>
        <v>4280538.461538462</v>
      </c>
      <c r="W38" s="456">
        <f>Calculations!X113+Calculations!X120+Calculations!X127+Calculations!X232+Calculations!X239</f>
        <v>1285096.1538461538</v>
      </c>
      <c r="X38" s="456">
        <f>Calculations!Y113+Calculations!Y120+Calculations!Y127+Calculations!Y232+Calculations!Y239</f>
        <v>1370250</v>
      </c>
      <c r="Y38" s="456">
        <f>Calculations!Z113+Calculations!Z120+Calculations!Z127+Calculations!Z232+Calculations!Z239</f>
        <v>1455403.846153846</v>
      </c>
      <c r="Z38" s="456">
        <f>Calculations!AA113+Calculations!AA120+Calculations!AA127+Calculations!AA232+Calculations!AA239</f>
        <v>1540557.6923076923</v>
      </c>
      <c r="AA38" s="457">
        <f t="shared" si="15"/>
        <v>5651307.692307692</v>
      </c>
      <c r="AB38" s="458">
        <f t="shared" si="9"/>
        <v>14125153.846153846</v>
      </c>
      <c r="AC38" s="467"/>
      <c r="AD38" s="467"/>
      <c r="AE38" s="467"/>
    </row>
    <row r="39" spans="1:31" x14ac:dyDescent="0.2">
      <c r="A39" s="823" t="s">
        <v>136</v>
      </c>
      <c r="B39" s="824"/>
      <c r="C39" s="456">
        <f>Calculations!D148+Calculations!D253</f>
        <v>0</v>
      </c>
      <c r="D39" s="456">
        <f>Calculations!E148+Calculations!E253</f>
        <v>0</v>
      </c>
      <c r="E39" s="456">
        <f>Calculations!F148+Calculations!F253</f>
        <v>0</v>
      </c>
      <c r="F39" s="456">
        <f>Calculations!G148+Calculations!G253</f>
        <v>0</v>
      </c>
      <c r="G39" s="457">
        <f t="shared" si="11"/>
        <v>0</v>
      </c>
      <c r="H39" s="456">
        <f>Calculations!I148+Calculations!I253</f>
        <v>0</v>
      </c>
      <c r="I39" s="456">
        <f>Calculations!J148+Calculations!J253</f>
        <v>0</v>
      </c>
      <c r="J39" s="456">
        <f>Calculations!K148+Calculations!K253</f>
        <v>0</v>
      </c>
      <c r="K39" s="456">
        <f>Calculations!L148+Calculations!L253</f>
        <v>0</v>
      </c>
      <c r="L39" s="457">
        <f t="shared" si="12"/>
        <v>0</v>
      </c>
      <c r="M39" s="456">
        <f>Calculations!N148+Calculations!N253</f>
        <v>0</v>
      </c>
      <c r="N39" s="456">
        <f>Calculations!O148+Calculations!O253</f>
        <v>0</v>
      </c>
      <c r="O39" s="456">
        <f>Calculations!P148+Calculations!P253</f>
        <v>0</v>
      </c>
      <c r="P39" s="456">
        <f>Calculations!Q148+Calculations!Q253</f>
        <v>0</v>
      </c>
      <c r="Q39" s="457">
        <f t="shared" si="13"/>
        <v>0</v>
      </c>
      <c r="R39" s="456">
        <f>Calculations!S148+Calculations!S253</f>
        <v>0</v>
      </c>
      <c r="S39" s="456">
        <f>Calculations!T148+Calculations!T253</f>
        <v>0</v>
      </c>
      <c r="T39" s="456">
        <f>Calculations!U148+Calculations!U253</f>
        <v>0</v>
      </c>
      <c r="U39" s="456">
        <f>Calculations!V148+Calculations!V253</f>
        <v>0</v>
      </c>
      <c r="V39" s="457">
        <f t="shared" si="14"/>
        <v>0</v>
      </c>
      <c r="W39" s="456">
        <f>Calculations!X148+Calculations!X253</f>
        <v>0</v>
      </c>
      <c r="X39" s="456">
        <f>Calculations!Y148+Calculations!Y253</f>
        <v>0</v>
      </c>
      <c r="Y39" s="456">
        <f>Calculations!Z148+Calculations!Z253</f>
        <v>0</v>
      </c>
      <c r="Z39" s="456">
        <f>Calculations!AA148+Calculations!AA253</f>
        <v>0</v>
      </c>
      <c r="AA39" s="457">
        <f t="shared" si="15"/>
        <v>0</v>
      </c>
      <c r="AB39" s="458">
        <f t="shared" si="9"/>
        <v>0</v>
      </c>
      <c r="AC39" s="467"/>
      <c r="AD39" s="467"/>
      <c r="AE39" s="467"/>
    </row>
    <row r="40" spans="1:31" x14ac:dyDescent="0.2">
      <c r="A40" s="823" t="s">
        <v>380</v>
      </c>
      <c r="B40" s="824"/>
      <c r="C40" s="456">
        <f>Calculations!D155+Calculations!D260</f>
        <v>242485</v>
      </c>
      <c r="D40" s="456">
        <f>Calculations!E155+Calculations!E260</f>
        <v>242485</v>
      </c>
      <c r="E40" s="456">
        <f>Calculations!F155+Calculations!F260</f>
        <v>242485</v>
      </c>
      <c r="F40" s="456">
        <f>Calculations!G155+Calculations!G260</f>
        <v>242485</v>
      </c>
      <c r="G40" s="457">
        <f t="shared" si="11"/>
        <v>969940</v>
      </c>
      <c r="H40" s="456">
        <f>Calculations!I155+Calculations!I260</f>
        <v>258685</v>
      </c>
      <c r="I40" s="456">
        <f>Calculations!J155+Calculations!J260</f>
        <v>258685</v>
      </c>
      <c r="J40" s="456">
        <f>Calculations!K155+Calculations!K260</f>
        <v>258685</v>
      </c>
      <c r="K40" s="456">
        <f>Calculations!L155+Calculations!L260</f>
        <v>258685</v>
      </c>
      <c r="L40" s="457">
        <f t="shared" si="12"/>
        <v>1034740</v>
      </c>
      <c r="M40" s="456">
        <f>Calculations!N155+Calculations!N260</f>
        <v>264179.55</v>
      </c>
      <c r="N40" s="456">
        <f>Calculations!O155+Calculations!O260</f>
        <v>264179.55</v>
      </c>
      <c r="O40" s="456">
        <f>Calculations!P155+Calculations!P260</f>
        <v>264179.55</v>
      </c>
      <c r="P40" s="456">
        <f>Calculations!Q155+Calculations!Q260</f>
        <v>264179.55</v>
      </c>
      <c r="Q40" s="457">
        <f t="shared" si="13"/>
        <v>1056718.2</v>
      </c>
      <c r="R40" s="456">
        <f>Calculations!S155+Calculations!S260</f>
        <v>276242.44650000014</v>
      </c>
      <c r="S40" s="456">
        <f>Calculations!T155+Calculations!T260</f>
        <v>276242.44650000014</v>
      </c>
      <c r="T40" s="456">
        <f>Calculations!U155+Calculations!U260</f>
        <v>276242.44650000014</v>
      </c>
      <c r="U40" s="456">
        <f>Calculations!V155+Calculations!V260</f>
        <v>276242.44650000014</v>
      </c>
      <c r="V40" s="457">
        <f t="shared" si="14"/>
        <v>1104969.7860000005</v>
      </c>
      <c r="W40" s="456">
        <f>Calculations!X155+Calculations!X260</f>
        <v>284529.71989500005</v>
      </c>
      <c r="X40" s="456">
        <f>Calculations!Y155+Calculations!Y260</f>
        <v>284529.71989500005</v>
      </c>
      <c r="Y40" s="456">
        <f>Calculations!Z155+Calculations!Z260</f>
        <v>284529.71989500005</v>
      </c>
      <c r="Z40" s="456">
        <f>Calculations!AA155+Calculations!AA260</f>
        <v>284529.71989500005</v>
      </c>
      <c r="AA40" s="457">
        <f t="shared" si="15"/>
        <v>1138118.8795800002</v>
      </c>
      <c r="AB40" s="458">
        <f t="shared" si="9"/>
        <v>5304486.8655800009</v>
      </c>
      <c r="AC40" s="467"/>
      <c r="AD40" s="467"/>
      <c r="AE40" s="467"/>
    </row>
    <row r="41" spans="1:31" ht="13.2" thickBot="1" x14ac:dyDescent="0.25">
      <c r="A41" s="823" t="s">
        <v>86</v>
      </c>
      <c r="B41" s="824"/>
      <c r="C41" s="456">
        <f>Calculations!D276</f>
        <v>0</v>
      </c>
      <c r="D41" s="456">
        <f>Calculations!E276</f>
        <v>0</v>
      </c>
      <c r="E41" s="456">
        <f>Calculations!F276</f>
        <v>1100000</v>
      </c>
      <c r="F41" s="456">
        <f>Calculations!G276</f>
        <v>0</v>
      </c>
      <c r="G41" s="457">
        <f t="shared" si="11"/>
        <v>1100000</v>
      </c>
      <c r="H41" s="456">
        <f>Calculations!I276</f>
        <v>0</v>
      </c>
      <c r="I41" s="456">
        <f>Calculations!J276</f>
        <v>190000</v>
      </c>
      <c r="J41" s="456">
        <f>Calculations!K276</f>
        <v>0</v>
      </c>
      <c r="K41" s="456">
        <f>Calculations!L276</f>
        <v>0</v>
      </c>
      <c r="L41" s="457">
        <f t="shared" si="12"/>
        <v>190000</v>
      </c>
      <c r="M41" s="456">
        <f>Calculations!N276</f>
        <v>0</v>
      </c>
      <c r="N41" s="456">
        <f>Calculations!O276</f>
        <v>0</v>
      </c>
      <c r="O41" s="456">
        <f>Calculations!P276</f>
        <v>0</v>
      </c>
      <c r="P41" s="456">
        <f>Calculations!Q276</f>
        <v>0</v>
      </c>
      <c r="Q41" s="457">
        <f t="shared" si="13"/>
        <v>0</v>
      </c>
      <c r="R41" s="456">
        <f>Calculations!S276</f>
        <v>0</v>
      </c>
      <c r="S41" s="456">
        <f>Calculations!T276</f>
        <v>0</v>
      </c>
      <c r="T41" s="456">
        <f>Calculations!U276</f>
        <v>0</v>
      </c>
      <c r="U41" s="456">
        <f>Calculations!V276</f>
        <v>0</v>
      </c>
      <c r="V41" s="457">
        <f t="shared" si="14"/>
        <v>0</v>
      </c>
      <c r="W41" s="456">
        <f>Calculations!X276</f>
        <v>0</v>
      </c>
      <c r="X41" s="456">
        <f>Calculations!Y276</f>
        <v>0</v>
      </c>
      <c r="Y41" s="456">
        <f>Calculations!Z276</f>
        <v>0</v>
      </c>
      <c r="Z41" s="456">
        <f>Calculations!AA276</f>
        <v>0</v>
      </c>
      <c r="AA41" s="457">
        <f t="shared" si="15"/>
        <v>0</v>
      </c>
      <c r="AB41" s="458">
        <f t="shared" si="9"/>
        <v>1290000</v>
      </c>
      <c r="AC41" s="467"/>
      <c r="AD41" s="467"/>
      <c r="AE41" s="467"/>
    </row>
    <row r="42" spans="1:31" ht="13.2" thickBot="1" x14ac:dyDescent="0.25">
      <c r="A42" s="827" t="s">
        <v>137</v>
      </c>
      <c r="B42" s="828"/>
      <c r="C42" s="459">
        <f t="shared" ref="C42:AB42" si="16">SUM(C34:C41)</f>
        <v>637847.29034051963</v>
      </c>
      <c r="D42" s="460">
        <f t="shared" si="16"/>
        <v>1480635.0178564445</v>
      </c>
      <c r="E42" s="460">
        <f t="shared" si="16"/>
        <v>2715309.1783611006</v>
      </c>
      <c r="F42" s="461">
        <f t="shared" si="16"/>
        <v>1706952.7788657567</v>
      </c>
      <c r="G42" s="462">
        <f t="shared" si="16"/>
        <v>6540744.2654238213</v>
      </c>
      <c r="H42" s="450">
        <f t="shared" si="16"/>
        <v>1883205.8177229047</v>
      </c>
      <c r="I42" s="451">
        <f t="shared" si="16"/>
        <v>2263928.6426248522</v>
      </c>
      <c r="J42" s="451">
        <f t="shared" si="16"/>
        <v>2283544.5075268</v>
      </c>
      <c r="K42" s="452">
        <f t="shared" si="16"/>
        <v>2533960.3724287474</v>
      </c>
      <c r="L42" s="453">
        <f t="shared" si="16"/>
        <v>8964639.3403033055</v>
      </c>
      <c r="M42" s="450">
        <f t="shared" si="16"/>
        <v>2631096.8522319756</v>
      </c>
      <c r="N42" s="451">
        <f t="shared" si="16"/>
        <v>2868322.853090331</v>
      </c>
      <c r="O42" s="451">
        <f t="shared" si="16"/>
        <v>3119003.0139486864</v>
      </c>
      <c r="P42" s="452">
        <f t="shared" si="16"/>
        <v>3369683.1748070419</v>
      </c>
      <c r="Q42" s="453">
        <f t="shared" si="16"/>
        <v>11988105.894078037</v>
      </c>
      <c r="R42" s="450">
        <f t="shared" si="16"/>
        <v>3148557.3562342827</v>
      </c>
      <c r="S42" s="451">
        <f t="shared" si="16"/>
        <v>3327274.8417801382</v>
      </c>
      <c r="T42" s="451">
        <f t="shared" si="16"/>
        <v>3536561.634644954</v>
      </c>
      <c r="U42" s="452">
        <f t="shared" si="16"/>
        <v>3756262.1020284877</v>
      </c>
      <c r="V42" s="453">
        <f t="shared" si="16"/>
        <v>13768655.934687862</v>
      </c>
      <c r="W42" s="450">
        <f t="shared" si="16"/>
        <v>3679213.7744218349</v>
      </c>
      <c r="X42" s="451">
        <f t="shared" si="16"/>
        <v>3837534.8563624332</v>
      </c>
      <c r="Y42" s="451">
        <f t="shared" si="16"/>
        <v>4032316.2103030309</v>
      </c>
      <c r="Z42" s="452">
        <f t="shared" si="16"/>
        <v>4237511.2387623461</v>
      </c>
      <c r="AA42" s="453">
        <f t="shared" si="16"/>
        <v>15786576.079849645</v>
      </c>
      <c r="AB42" s="454">
        <f t="shared" si="16"/>
        <v>57048721.514342673</v>
      </c>
      <c r="AC42" s="467"/>
      <c r="AD42" s="467"/>
      <c r="AE42" s="467"/>
    </row>
    <row r="43" spans="1:31" x14ac:dyDescent="0.2">
      <c r="A43" s="803" t="s">
        <v>308</v>
      </c>
      <c r="B43" s="474" t="s">
        <v>309</v>
      </c>
      <c r="C43" s="463">
        <f t="shared" ref="C43:K43" si="17">C33-C42</f>
        <v>-592847.29034051963</v>
      </c>
      <c r="D43" s="464">
        <f t="shared" si="17"/>
        <v>-858555.01785644446</v>
      </c>
      <c r="E43" s="464">
        <f t="shared" si="17"/>
        <v>-1061184.1783611006</v>
      </c>
      <c r="F43" s="465">
        <f t="shared" si="17"/>
        <v>143327.2211342433</v>
      </c>
      <c r="G43" s="798">
        <f>F44</f>
        <v>-1369259.2654238215</v>
      </c>
      <c r="H43" s="463">
        <f t="shared" si="17"/>
        <v>523229.18227709527</v>
      </c>
      <c r="I43" s="464">
        <f t="shared" si="17"/>
        <v>403221.35737514775</v>
      </c>
      <c r="J43" s="464">
        <f t="shared" si="17"/>
        <v>919780.49247319996</v>
      </c>
      <c r="K43" s="465">
        <f t="shared" si="17"/>
        <v>1363039.6275712526</v>
      </c>
      <c r="L43" s="798">
        <f>K44</f>
        <v>1840011.3942728741</v>
      </c>
      <c r="M43" s="455">
        <f>M33-M42</f>
        <v>2154578.1477680244</v>
      </c>
      <c r="N43" s="443">
        <f>N33-N42</f>
        <v>2514217.146909669</v>
      </c>
      <c r="O43" s="443">
        <f>O33-O42</f>
        <v>3082116.9860513136</v>
      </c>
      <c r="P43" s="466">
        <f>P33-P42</f>
        <v>3717516.8251929581</v>
      </c>
      <c r="Q43" s="803">
        <f>P44</f>
        <v>13308440.50019484</v>
      </c>
      <c r="R43" s="455">
        <f>R33-R42</f>
        <v>4842722.6437657177</v>
      </c>
      <c r="S43" s="443">
        <f>S33-S42</f>
        <v>4802917.1582198618</v>
      </c>
      <c r="T43" s="443">
        <f>T33-T42</f>
        <v>5472249.3653550465</v>
      </c>
      <c r="U43" s="466">
        <f>U33-U42</f>
        <v>6158167.8979715127</v>
      </c>
      <c r="V43" s="803">
        <f>U44</f>
        <v>34584497.56550698</v>
      </c>
      <c r="W43" s="455">
        <f>W33-W42</f>
        <v>7242667.2255781647</v>
      </c>
      <c r="X43" s="443">
        <f>X33-X42</f>
        <v>7407287.1436375668</v>
      </c>
      <c r="Y43" s="443">
        <f>Y33-Y42</f>
        <v>8216479.7896969691</v>
      </c>
      <c r="Z43" s="466">
        <f>Z33-Z42</f>
        <v>9091758.7612376548</v>
      </c>
      <c r="AA43" s="803">
        <f>Z44</f>
        <v>66542690.485657334</v>
      </c>
      <c r="AB43" s="467"/>
      <c r="AC43" s="467"/>
      <c r="AD43" s="467"/>
      <c r="AE43" s="467"/>
    </row>
    <row r="44" spans="1:31" ht="13.2" thickBot="1" x14ac:dyDescent="0.25">
      <c r="A44" s="840"/>
      <c r="B44" s="475" t="s">
        <v>331</v>
      </c>
      <c r="C44" s="468">
        <f>Parameters!$J$24+C43</f>
        <v>407152.70965948037</v>
      </c>
      <c r="D44" s="469">
        <f>C44+D43</f>
        <v>-451402.30819696409</v>
      </c>
      <c r="E44" s="469">
        <f>D44+E43</f>
        <v>-1512586.4865580648</v>
      </c>
      <c r="F44" s="470">
        <f>E44+F43</f>
        <v>-1369259.2654238215</v>
      </c>
      <c r="G44" s="799"/>
      <c r="H44" s="468">
        <f>G43+H43</f>
        <v>-846030.08314672625</v>
      </c>
      <c r="I44" s="469">
        <f>H44+I43</f>
        <v>-442808.72577157849</v>
      </c>
      <c r="J44" s="469">
        <f>I44+J43</f>
        <v>476971.76670162147</v>
      </c>
      <c r="K44" s="470">
        <f>J44+K43</f>
        <v>1840011.3942728741</v>
      </c>
      <c r="L44" s="800"/>
      <c r="M44" s="471">
        <f>L43+M43</f>
        <v>3994589.5420408985</v>
      </c>
      <c r="N44" s="472">
        <f>M44+N43</f>
        <v>6508806.6889505675</v>
      </c>
      <c r="O44" s="472">
        <f>N44+O43</f>
        <v>9590923.675001882</v>
      </c>
      <c r="P44" s="473">
        <f>O44+P43</f>
        <v>13308440.50019484</v>
      </c>
      <c r="Q44" s="804"/>
      <c r="R44" s="471">
        <f>Q43+R43</f>
        <v>18151163.143960558</v>
      </c>
      <c r="S44" s="472">
        <f>R44+S43</f>
        <v>22954080.302180421</v>
      </c>
      <c r="T44" s="472">
        <f>S44+T43</f>
        <v>28426329.667535469</v>
      </c>
      <c r="U44" s="473">
        <f>T44+U43</f>
        <v>34584497.56550698</v>
      </c>
      <c r="V44" s="804"/>
      <c r="W44" s="471">
        <f>V43+W43</f>
        <v>41827164.791085146</v>
      </c>
      <c r="X44" s="472">
        <f>W44+X43</f>
        <v>49234451.934722714</v>
      </c>
      <c r="Y44" s="472">
        <f>X44+Y43</f>
        <v>57450931.724419683</v>
      </c>
      <c r="Z44" s="473">
        <f>Y44+Z43</f>
        <v>66542690.485657334</v>
      </c>
      <c r="AA44" s="804"/>
      <c r="AB44" s="467"/>
      <c r="AC44" s="467"/>
      <c r="AD44" s="467"/>
      <c r="AE44" s="467"/>
    </row>
    <row r="45" spans="1:31" ht="13.2" thickBot="1" x14ac:dyDescent="0.25">
      <c r="A45" s="841"/>
      <c r="B45" s="476" t="s">
        <v>250</v>
      </c>
      <c r="C45" s="793">
        <f>MIN(C44:F44)</f>
        <v>-1512586.4865580648</v>
      </c>
      <c r="D45" s="794"/>
      <c r="E45" s="794"/>
      <c r="F45" s="794"/>
      <c r="G45" s="795"/>
      <c r="H45" s="793">
        <f>MIN(H44:K44)</f>
        <v>-846030.08314672625</v>
      </c>
      <c r="I45" s="794"/>
      <c r="J45" s="794"/>
      <c r="K45" s="794"/>
      <c r="L45" s="795"/>
      <c r="M45" s="793">
        <f>MIN(M44:P44)</f>
        <v>3994589.5420408985</v>
      </c>
      <c r="N45" s="794"/>
      <c r="O45" s="794"/>
      <c r="P45" s="794"/>
      <c r="Q45" s="795"/>
      <c r="R45" s="793">
        <f>MIN(R44:U44)</f>
        <v>18151163.143960558</v>
      </c>
      <c r="S45" s="794"/>
      <c r="T45" s="794"/>
      <c r="U45" s="794"/>
      <c r="V45" s="795"/>
      <c r="W45" s="793">
        <f>MIN(W44:Z44)</f>
        <v>41827164.791085146</v>
      </c>
      <c r="X45" s="794"/>
      <c r="Y45" s="794"/>
      <c r="Z45" s="794"/>
      <c r="AA45" s="795"/>
      <c r="AB45" s="467"/>
      <c r="AC45" s="467"/>
      <c r="AD45" s="467"/>
      <c r="AE45" s="467"/>
    </row>
    <row r="46" spans="1:31" ht="10.95" customHeight="1" thickBot="1" x14ac:dyDescent="0.25"/>
    <row r="47" spans="1:31" ht="13.05" customHeight="1" x14ac:dyDescent="0.2">
      <c r="A47" s="852" t="s">
        <v>423</v>
      </c>
      <c r="B47" s="853"/>
      <c r="C47" s="854"/>
      <c r="D47" s="854"/>
      <c r="E47" s="854"/>
      <c r="F47" s="854"/>
      <c r="G47" s="855"/>
      <c r="H47" s="261"/>
      <c r="K47" s="266"/>
      <c r="P47" s="266"/>
      <c r="U47" s="266"/>
      <c r="Z47" s="266"/>
    </row>
    <row r="48" spans="1:31" ht="13.05" customHeight="1" thickBot="1" x14ac:dyDescent="0.25">
      <c r="A48" s="856"/>
      <c r="B48" s="857"/>
      <c r="C48" s="858"/>
      <c r="D48" s="858"/>
      <c r="E48" s="858"/>
      <c r="F48" s="858"/>
      <c r="G48" s="859"/>
      <c r="H48" s="261"/>
      <c r="K48" s="266"/>
      <c r="P48" s="266"/>
      <c r="U48" s="266"/>
      <c r="Z48" s="266"/>
    </row>
    <row r="49" spans="1:29" ht="13.05" customHeight="1" x14ac:dyDescent="0.2">
      <c r="A49" s="811" t="s">
        <v>490</v>
      </c>
      <c r="B49" s="812"/>
      <c r="C49" s="772">
        <v>2012</v>
      </c>
      <c r="D49" s="773"/>
      <c r="E49" s="773"/>
      <c r="F49" s="773"/>
      <c r="G49" s="774"/>
      <c r="H49" s="772">
        <v>2013</v>
      </c>
      <c r="I49" s="773"/>
      <c r="J49" s="773"/>
      <c r="K49" s="773"/>
      <c r="L49" s="774"/>
      <c r="M49" s="772">
        <v>2014</v>
      </c>
      <c r="N49" s="773"/>
      <c r="O49" s="773"/>
      <c r="P49" s="773"/>
      <c r="Q49" s="774"/>
      <c r="R49" s="772">
        <v>2015</v>
      </c>
      <c r="S49" s="773"/>
      <c r="T49" s="773"/>
      <c r="U49" s="773"/>
      <c r="V49" s="774"/>
      <c r="W49" s="772">
        <v>2016</v>
      </c>
      <c r="X49" s="773"/>
      <c r="Y49" s="773"/>
      <c r="Z49" s="773"/>
      <c r="AA49" s="774"/>
      <c r="AB49" s="778" t="s">
        <v>378</v>
      </c>
    </row>
    <row r="50" spans="1:29" ht="13.2" thickBot="1" x14ac:dyDescent="0.25">
      <c r="A50" s="813"/>
      <c r="B50" s="814"/>
      <c r="C50" s="192" t="s">
        <v>406</v>
      </c>
      <c r="D50" s="191" t="s">
        <v>407</v>
      </c>
      <c r="E50" s="191" t="s">
        <v>408</v>
      </c>
      <c r="F50" s="191" t="s">
        <v>409</v>
      </c>
      <c r="G50" s="193" t="s">
        <v>139</v>
      </c>
      <c r="H50" s="192" t="s">
        <v>406</v>
      </c>
      <c r="I50" s="191" t="s">
        <v>407</v>
      </c>
      <c r="J50" s="191" t="s">
        <v>408</v>
      </c>
      <c r="K50" s="191" t="s">
        <v>409</v>
      </c>
      <c r="L50" s="193" t="s">
        <v>139</v>
      </c>
      <c r="M50" s="192" t="s">
        <v>406</v>
      </c>
      <c r="N50" s="191" t="s">
        <v>407</v>
      </c>
      <c r="O50" s="191" t="s">
        <v>408</v>
      </c>
      <c r="P50" s="191" t="s">
        <v>409</v>
      </c>
      <c r="Q50" s="193" t="s">
        <v>139</v>
      </c>
      <c r="R50" s="192" t="s">
        <v>406</v>
      </c>
      <c r="S50" s="191" t="s">
        <v>407</v>
      </c>
      <c r="T50" s="191" t="s">
        <v>408</v>
      </c>
      <c r="U50" s="191" t="s">
        <v>409</v>
      </c>
      <c r="V50" s="193" t="s">
        <v>139</v>
      </c>
      <c r="W50" s="192" t="s">
        <v>406</v>
      </c>
      <c r="X50" s="191" t="s">
        <v>407</v>
      </c>
      <c r="Y50" s="191" t="s">
        <v>408</v>
      </c>
      <c r="Z50" s="191" t="s">
        <v>409</v>
      </c>
      <c r="AA50" s="193" t="s">
        <v>139</v>
      </c>
      <c r="AB50" s="779"/>
    </row>
    <row r="51" spans="1:29" x14ac:dyDescent="0.2">
      <c r="A51" s="807" t="s">
        <v>451</v>
      </c>
      <c r="B51" s="808"/>
      <c r="C51" s="443">
        <f>Calculations!D43</f>
        <v>0</v>
      </c>
      <c r="D51" s="443">
        <f>Calculations!E43</f>
        <v>0</v>
      </c>
      <c r="E51" s="443">
        <f>Calculations!F43</f>
        <v>81000</v>
      </c>
      <c r="F51" s="443">
        <f>Calculations!G43</f>
        <v>189000</v>
      </c>
      <c r="G51" s="444">
        <f>SUM(C51:F51)</f>
        <v>270000</v>
      </c>
      <c r="H51" s="443">
        <f>Calculations!I43</f>
        <v>486000</v>
      </c>
      <c r="I51" s="443">
        <f>Calculations!J43</f>
        <v>486000</v>
      </c>
      <c r="J51" s="443">
        <f>Calculations!K43</f>
        <v>576000</v>
      </c>
      <c r="K51" s="443">
        <f>Calculations!L43</f>
        <v>612000</v>
      </c>
      <c r="L51" s="444">
        <f>SUM(H51:K51)</f>
        <v>2160000</v>
      </c>
      <c r="M51" s="443">
        <f>Calculations!N43</f>
        <v>918000</v>
      </c>
      <c r="N51" s="443">
        <f>Calculations!O43</f>
        <v>918000</v>
      </c>
      <c r="O51" s="443">
        <f>Calculations!P43</f>
        <v>918000</v>
      </c>
      <c r="P51" s="443">
        <f>Calculations!Q43</f>
        <v>936000</v>
      </c>
      <c r="Q51" s="444">
        <f>SUM(M51:P51)</f>
        <v>3690000</v>
      </c>
      <c r="R51" s="443">
        <f>Calculations!S43</f>
        <v>1206000</v>
      </c>
      <c r="S51" s="443">
        <f>Calculations!T43</f>
        <v>1206000</v>
      </c>
      <c r="T51" s="443">
        <f>Calculations!U43</f>
        <v>1206000</v>
      </c>
      <c r="U51" s="443">
        <f>Calculations!V43</f>
        <v>1242000</v>
      </c>
      <c r="V51" s="444">
        <f>SUM(R51:U51)</f>
        <v>4860000</v>
      </c>
      <c r="W51" s="443">
        <f>Calculations!X43</f>
        <v>1251000</v>
      </c>
      <c r="X51" s="443">
        <f>Calculations!Y43</f>
        <v>1251000</v>
      </c>
      <c r="Y51" s="443">
        <f>Calculations!Z43</f>
        <v>1251000</v>
      </c>
      <c r="Z51" s="443">
        <f>Calculations!AA43</f>
        <v>1287000</v>
      </c>
      <c r="AA51" s="444">
        <f>SUM(W51:Z51)</f>
        <v>5040000</v>
      </c>
      <c r="AB51" s="445">
        <f t="shared" ref="AB51:AB64" si="18">G51+L51+Q51+V51+AA51</f>
        <v>16020000</v>
      </c>
    </row>
    <row r="52" spans="1:29" x14ac:dyDescent="0.2">
      <c r="A52" s="801" t="s">
        <v>452</v>
      </c>
      <c r="B52" s="802"/>
      <c r="C52" s="446"/>
      <c r="D52" s="447">
        <f>Calculations!D50+Calculations!D57+Calculations!D64</f>
        <v>0</v>
      </c>
      <c r="E52" s="447">
        <f>Calculations!E50+Calculations!E57+Calculations!E64</f>
        <v>0</v>
      </c>
      <c r="F52" s="447">
        <f>Calculations!F50+Calculations!F57+Calculations!F64</f>
        <v>53244</v>
      </c>
      <c r="G52" s="448">
        <f>SUM(C52:F52)</f>
        <v>53244</v>
      </c>
      <c r="H52" s="447">
        <f>Calculations!G50+Calculations!G57+Calculations!G64</f>
        <v>240849</v>
      </c>
      <c r="I52" s="447">
        <f>Calculations!I50+Calculations!I57+Calculations!I64</f>
        <v>708174</v>
      </c>
      <c r="J52" s="447">
        <f>Calculations!J50+Calculations!J57+Calculations!J64</f>
        <v>1407852</v>
      </c>
      <c r="K52" s="447">
        <f>Calculations!K50+Calculations!K57+Calculations!K64</f>
        <v>2166690</v>
      </c>
      <c r="L52" s="448">
        <f>SUM(H52:K52)</f>
        <v>4523565</v>
      </c>
      <c r="M52" s="447">
        <f>Calculations!L50+Calculations!L57+Calculations!L64</f>
        <v>3019602</v>
      </c>
      <c r="N52" s="447">
        <f>Calculations!N50+Calculations!N57+Calculations!N64</f>
        <v>4101822</v>
      </c>
      <c r="O52" s="447">
        <f>Calculations!O50+Calculations!O57+Calculations!O64</f>
        <v>5423436</v>
      </c>
      <c r="P52" s="447">
        <f>Calculations!P50+Calculations!P57+Calculations!P64</f>
        <v>6745050</v>
      </c>
      <c r="Q52" s="448">
        <f>SUM(M52:P52)</f>
        <v>19289910</v>
      </c>
      <c r="R52" s="447">
        <f>Calculations!Q50+Calculations!Q57+Calculations!Q64</f>
        <v>8078496</v>
      </c>
      <c r="S52" s="447">
        <f>Calculations!S50+Calculations!S57+Calculations!S64</f>
        <v>9603504</v>
      </c>
      <c r="T52" s="447">
        <f>Calculations!T50+Calculations!T57+Calculations!T64</f>
        <v>11339742</v>
      </c>
      <c r="U52" s="447">
        <f>Calculations!U50+Calculations!U57+Calculations!U64</f>
        <v>13075980</v>
      </c>
      <c r="V52" s="448">
        <f>SUM(R52:U52)</f>
        <v>42097722</v>
      </c>
      <c r="W52" s="447">
        <f>Calculations!V50+Calculations!V57+Calculations!V64</f>
        <v>14835882</v>
      </c>
      <c r="X52" s="447">
        <f>Calculations!X50+Calculations!X57+Calculations!X64</f>
        <v>16629864</v>
      </c>
      <c r="Y52" s="447">
        <f>Calculations!Y50+Calculations!Y57+Calculations!Y64</f>
        <v>18430887</v>
      </c>
      <c r="Z52" s="447">
        <f>Calculations!Z50+Calculations!Z57+Calculations!Z64</f>
        <v>20231910</v>
      </c>
      <c r="AA52" s="448">
        <f>SUM(W52:Z52)</f>
        <v>70128543</v>
      </c>
      <c r="AB52" s="449">
        <f t="shared" si="18"/>
        <v>136092984</v>
      </c>
    </row>
    <row r="53" spans="1:29" x14ac:dyDescent="0.2">
      <c r="A53" s="801" t="s">
        <v>493</v>
      </c>
      <c r="B53" s="802"/>
      <c r="C53" s="446"/>
      <c r="D53" s="447">
        <f>-(C51/2)</f>
        <v>0</v>
      </c>
      <c r="E53" s="447">
        <f>-((C51+D51)/2)</f>
        <v>0</v>
      </c>
      <c r="F53" s="447">
        <f>-((D51+E51)/2)</f>
        <v>-40500</v>
      </c>
      <c r="G53" s="448">
        <f>SUM(C53:F53)</f>
        <v>-40500</v>
      </c>
      <c r="H53" s="447">
        <f>-((E51+F51)/2)</f>
        <v>-135000</v>
      </c>
      <c r="I53" s="447">
        <f>-((F51+H51)/2)</f>
        <v>-337500</v>
      </c>
      <c r="J53" s="447">
        <f>-((H51+I51)/2)</f>
        <v>-486000</v>
      </c>
      <c r="K53" s="447">
        <f>-((I51+J51)/2)</f>
        <v>-531000</v>
      </c>
      <c r="L53" s="448">
        <f>SUM(H53:K53)</f>
        <v>-1489500</v>
      </c>
      <c r="M53" s="447">
        <f>-((J51+K51)/2)</f>
        <v>-594000</v>
      </c>
      <c r="N53" s="447">
        <f>-((K51+M51)/2)</f>
        <v>-765000</v>
      </c>
      <c r="O53" s="447">
        <f>-((M51+N51)/2)</f>
        <v>-918000</v>
      </c>
      <c r="P53" s="447">
        <f>-((N51+O51)/2)</f>
        <v>-918000</v>
      </c>
      <c r="Q53" s="448">
        <f>SUM(M53:P53)</f>
        <v>-3195000</v>
      </c>
      <c r="R53" s="447">
        <f>-((O51+P51)/2)</f>
        <v>-927000</v>
      </c>
      <c r="S53" s="447">
        <f>-((P51+R51)/2)</f>
        <v>-1071000</v>
      </c>
      <c r="T53" s="447">
        <f>-((R51+S51)/2)</f>
        <v>-1206000</v>
      </c>
      <c r="U53" s="447">
        <f>-((S51+T51)/2)</f>
        <v>-1206000</v>
      </c>
      <c r="V53" s="448">
        <f>SUM(R53:U53)</f>
        <v>-4410000</v>
      </c>
      <c r="W53" s="447">
        <f>-((T51+U51)/2)</f>
        <v>-1224000</v>
      </c>
      <c r="X53" s="447">
        <f>-((U51+W51)/2)</f>
        <v>-1246500</v>
      </c>
      <c r="Y53" s="447">
        <f>-((W51+X51)/2)</f>
        <v>-1251000</v>
      </c>
      <c r="Z53" s="447">
        <f>-((X51+Y51)/2)</f>
        <v>-1251000</v>
      </c>
      <c r="AA53" s="448">
        <f>SUM(W53:Z53)</f>
        <v>-4972500</v>
      </c>
      <c r="AB53" s="449">
        <f t="shared" si="18"/>
        <v>-14107500</v>
      </c>
      <c r="AC53" s="8"/>
    </row>
    <row r="54" spans="1:29" x14ac:dyDescent="0.2">
      <c r="A54" s="801" t="s">
        <v>237</v>
      </c>
      <c r="B54" s="802"/>
      <c r="C54" s="446"/>
      <c r="D54" s="447">
        <f>Calculations!D179</f>
        <v>0</v>
      </c>
      <c r="E54" s="447">
        <f>Calculations!E179</f>
        <v>0</v>
      </c>
      <c r="F54" s="447">
        <f>Calculations!F179</f>
        <v>0</v>
      </c>
      <c r="G54" s="448">
        <f>SUM(C54:F54)</f>
        <v>0</v>
      </c>
      <c r="H54" s="447">
        <f>Calculations!G179</f>
        <v>0</v>
      </c>
      <c r="I54" s="447">
        <f>Calculations!I179</f>
        <v>0</v>
      </c>
      <c r="J54" s="447">
        <f>Calculations!J179</f>
        <v>0</v>
      </c>
      <c r="K54" s="447">
        <f>Calculations!K179</f>
        <v>0</v>
      </c>
      <c r="L54" s="448">
        <f>SUM(H54:K54)</f>
        <v>0</v>
      </c>
      <c r="M54" s="447">
        <f>Calculations!L179</f>
        <v>0</v>
      </c>
      <c r="N54" s="447">
        <f>Calculations!N179</f>
        <v>0</v>
      </c>
      <c r="O54" s="447">
        <f>Calculations!O179</f>
        <v>0</v>
      </c>
      <c r="P54" s="447">
        <f>Calculations!P179</f>
        <v>0</v>
      </c>
      <c r="Q54" s="448">
        <f>SUM(M54:P54)</f>
        <v>0</v>
      </c>
      <c r="R54" s="447">
        <f>Calculations!Q179</f>
        <v>0</v>
      </c>
      <c r="S54" s="447">
        <f>Calculations!S179</f>
        <v>0</v>
      </c>
      <c r="T54" s="447">
        <f>Calculations!T179</f>
        <v>0</v>
      </c>
      <c r="U54" s="447">
        <f>Calculations!U179</f>
        <v>0</v>
      </c>
      <c r="V54" s="448">
        <f>SUM(R54:U54)</f>
        <v>0</v>
      </c>
      <c r="W54" s="447">
        <f>Calculations!V179</f>
        <v>0</v>
      </c>
      <c r="X54" s="447">
        <f>Calculations!X179</f>
        <v>0</v>
      </c>
      <c r="Y54" s="447">
        <f>Calculations!Y179</f>
        <v>0</v>
      </c>
      <c r="Z54" s="447">
        <f>Calculations!Z179</f>
        <v>0</v>
      </c>
      <c r="AA54" s="448">
        <f>SUM(W54:Z54)</f>
        <v>0</v>
      </c>
      <c r="AB54" s="449">
        <f t="shared" si="18"/>
        <v>0</v>
      </c>
      <c r="AC54" s="8"/>
    </row>
    <row r="55" spans="1:29" ht="13.2" thickBot="1" x14ac:dyDescent="0.25">
      <c r="A55" s="801" t="s">
        <v>164</v>
      </c>
      <c r="B55" s="802"/>
      <c r="C55" s="446"/>
      <c r="D55" s="447">
        <f>(Calculations!D186+Calculations!D193)</f>
        <v>0</v>
      </c>
      <c r="E55" s="447">
        <f>(Calculations!E186+Calculations!E193)</f>
        <v>0</v>
      </c>
      <c r="F55" s="447">
        <f>(Calculations!F186+Calculations!F193)</f>
        <v>0</v>
      </c>
      <c r="G55" s="448">
        <f>SUM(C55:F55)</f>
        <v>0</v>
      </c>
      <c r="H55" s="447">
        <f>(Calculations!G186+Calculations!G193)</f>
        <v>0</v>
      </c>
      <c r="I55" s="447">
        <f>(Calculations!I186+Calculations!I193)</f>
        <v>0</v>
      </c>
      <c r="J55" s="447">
        <f>(Calculations!J186+Calculations!J193)</f>
        <v>0</v>
      </c>
      <c r="K55" s="447">
        <f>(Calculations!K186+Calculations!K193)</f>
        <v>0</v>
      </c>
      <c r="L55" s="448">
        <f>SUM(H55:K55)</f>
        <v>0</v>
      </c>
      <c r="M55" s="447">
        <f>(Calculations!L186+Calculations!L193)</f>
        <v>0</v>
      </c>
      <c r="N55" s="447">
        <f>(Calculations!N186+Calculations!N193)</f>
        <v>0</v>
      </c>
      <c r="O55" s="447">
        <f>(Calculations!O186+Calculations!O193)</f>
        <v>0</v>
      </c>
      <c r="P55" s="447">
        <f>(Calculations!P186+Calculations!P193)</f>
        <v>0</v>
      </c>
      <c r="Q55" s="448">
        <f>SUM(M55:P55)</f>
        <v>0</v>
      </c>
      <c r="R55" s="447">
        <f>(Calculations!Q186+Calculations!Q193)</f>
        <v>0</v>
      </c>
      <c r="S55" s="447">
        <f>(Calculations!S186+Calculations!S193)</f>
        <v>0</v>
      </c>
      <c r="T55" s="447">
        <f>(Calculations!T186+Calculations!T193)</f>
        <v>0</v>
      </c>
      <c r="U55" s="447">
        <f>(Calculations!U186+Calculations!U193)</f>
        <v>0</v>
      </c>
      <c r="V55" s="448">
        <f>SUM(R55:U55)</f>
        <v>0</v>
      </c>
      <c r="W55" s="447">
        <f>(Calculations!V186+Calculations!V193)</f>
        <v>0</v>
      </c>
      <c r="X55" s="447">
        <f>(Calculations!X186+Calculations!X193)</f>
        <v>0</v>
      </c>
      <c r="Y55" s="447">
        <f>(Calculations!Y186+Calculations!Y193)</f>
        <v>0</v>
      </c>
      <c r="Z55" s="447">
        <f>(Calculations!Z186+Calculations!Z193)</f>
        <v>0</v>
      </c>
      <c r="AA55" s="448">
        <f>SUM(W55:Z55)</f>
        <v>0</v>
      </c>
      <c r="AB55" s="449">
        <f t="shared" si="18"/>
        <v>0</v>
      </c>
    </row>
    <row r="56" spans="1:29" ht="13.2" thickBot="1" x14ac:dyDescent="0.25">
      <c r="A56" s="805" t="s">
        <v>222</v>
      </c>
      <c r="B56" s="806"/>
      <c r="C56" s="450">
        <f t="shared" ref="C56:AA56" si="19">SUM(C51:C55)</f>
        <v>0</v>
      </c>
      <c r="D56" s="451">
        <f t="shared" si="19"/>
        <v>0</v>
      </c>
      <c r="E56" s="451">
        <f t="shared" si="19"/>
        <v>81000</v>
      </c>
      <c r="F56" s="452">
        <f t="shared" si="19"/>
        <v>201744</v>
      </c>
      <c r="G56" s="453">
        <f t="shared" si="19"/>
        <v>282744</v>
      </c>
      <c r="H56" s="450">
        <f t="shared" si="19"/>
        <v>591849</v>
      </c>
      <c r="I56" s="451">
        <f t="shared" si="19"/>
        <v>856674</v>
      </c>
      <c r="J56" s="451">
        <f t="shared" si="19"/>
        <v>1497852</v>
      </c>
      <c r="K56" s="452">
        <f t="shared" si="19"/>
        <v>2247690</v>
      </c>
      <c r="L56" s="453">
        <f t="shared" si="19"/>
        <v>5194065</v>
      </c>
      <c r="M56" s="450">
        <f t="shared" si="19"/>
        <v>3343602</v>
      </c>
      <c r="N56" s="451">
        <f t="shared" si="19"/>
        <v>4254822</v>
      </c>
      <c r="O56" s="451">
        <f t="shared" si="19"/>
        <v>5423436</v>
      </c>
      <c r="P56" s="452">
        <f t="shared" si="19"/>
        <v>6763050</v>
      </c>
      <c r="Q56" s="453">
        <f t="shared" si="19"/>
        <v>19784910</v>
      </c>
      <c r="R56" s="450">
        <f t="shared" si="19"/>
        <v>8357496</v>
      </c>
      <c r="S56" s="451">
        <f t="shared" si="19"/>
        <v>9738504</v>
      </c>
      <c r="T56" s="451">
        <f t="shared" si="19"/>
        <v>11339742</v>
      </c>
      <c r="U56" s="452">
        <f t="shared" si="19"/>
        <v>13111980</v>
      </c>
      <c r="V56" s="453">
        <f t="shared" si="19"/>
        <v>42547722</v>
      </c>
      <c r="W56" s="450">
        <f t="shared" si="19"/>
        <v>14862882</v>
      </c>
      <c r="X56" s="451">
        <f t="shared" si="19"/>
        <v>16634364</v>
      </c>
      <c r="Y56" s="451">
        <f t="shared" si="19"/>
        <v>18430887</v>
      </c>
      <c r="Z56" s="452">
        <f t="shared" si="19"/>
        <v>20267910</v>
      </c>
      <c r="AA56" s="453">
        <f t="shared" si="19"/>
        <v>70196043</v>
      </c>
      <c r="AB56" s="454">
        <f t="shared" si="18"/>
        <v>138005484</v>
      </c>
    </row>
    <row r="57" spans="1:29" x14ac:dyDescent="0.2">
      <c r="A57" s="807" t="s">
        <v>483</v>
      </c>
      <c r="B57" s="808"/>
      <c r="C57" s="455"/>
      <c r="D57" s="443">
        <f>Calculations!D78+Calculations!D207</f>
        <v>0</v>
      </c>
      <c r="E57" s="443">
        <f>Calculations!E78+Calculations!E207</f>
        <v>0</v>
      </c>
      <c r="F57" s="443">
        <f>Calculations!F78+Calculations!F207</f>
        <v>4472.4959999999992</v>
      </c>
      <c r="G57" s="444">
        <f t="shared" ref="G57:G64" si="20">SUM(C57:F57)</f>
        <v>4472.4959999999992</v>
      </c>
      <c r="H57" s="443">
        <f>Calculations!G78+Calculations!G207</f>
        <v>19380.815999999999</v>
      </c>
      <c r="I57" s="443">
        <f>Calculations!I78+Calculations!I207</f>
        <v>56651.615999999987</v>
      </c>
      <c r="J57" s="443">
        <f>Calculations!J78+Calculations!J207</f>
        <v>110321.568</v>
      </c>
      <c r="K57" s="443">
        <f>Calculations!K78+Calculations!K207</f>
        <v>168960.96</v>
      </c>
      <c r="L57" s="444">
        <f t="shared" ref="L57:L64" si="21">SUM(H57:K57)</f>
        <v>355314.95999999996</v>
      </c>
      <c r="M57" s="443">
        <f>Calculations!L78+Calculations!L207</f>
        <v>234557.568</v>
      </c>
      <c r="N57" s="443">
        <f>Calculations!N78+Calculations!N207</f>
        <v>319038.04799999995</v>
      </c>
      <c r="O57" s="443">
        <f>Calculations!O78+Calculations!O207</f>
        <v>420414.62400000001</v>
      </c>
      <c r="P57" s="443">
        <f>Calculations!P78+Calculations!P207</f>
        <v>521791.19999999995</v>
      </c>
      <c r="Q57" s="444">
        <f t="shared" ref="Q57:Q64" si="22">SUM(M57:P57)</f>
        <v>1495801.44</v>
      </c>
      <c r="R57" s="443">
        <f>Calculations!Q78+Calculations!Q207</f>
        <v>624161.66399999999</v>
      </c>
      <c r="S57" s="443">
        <f>Calculations!S78+Calculations!S207</f>
        <v>742434.33599999989</v>
      </c>
      <c r="T57" s="443">
        <f>Calculations!T78+Calculations!T207</f>
        <v>875615.32799999986</v>
      </c>
      <c r="U57" s="443">
        <f>Calculations!U78+Calculations!U207</f>
        <v>1008796.3199999998</v>
      </c>
      <c r="V57" s="444">
        <f t="shared" ref="V57:V64" si="23">SUM(R57:U57)</f>
        <v>3251007.6479999996</v>
      </c>
      <c r="W57" s="443">
        <f>Calculations!V78+Calculations!V207</f>
        <v>1143965.088</v>
      </c>
      <c r="X57" s="443">
        <f>Calculations!X78+Calculations!X207</f>
        <v>1281618.5759999999</v>
      </c>
      <c r="Y57" s="443">
        <f>Calculations!Y78+Calculations!Y207</f>
        <v>1419769.0079999997</v>
      </c>
      <c r="Z57" s="443">
        <f>Calculations!Z78+Calculations!Z207</f>
        <v>1557919.44</v>
      </c>
      <c r="AA57" s="444">
        <f t="shared" ref="AA57:AA64" si="24">SUM(W57:Z57)</f>
        <v>5403272.1119999997</v>
      </c>
      <c r="AB57" s="445">
        <f t="shared" si="18"/>
        <v>10509868.655999999</v>
      </c>
    </row>
    <row r="58" spans="1:29" x14ac:dyDescent="0.2">
      <c r="A58" s="809" t="s">
        <v>87</v>
      </c>
      <c r="B58" s="810"/>
      <c r="C58" s="456">
        <f>Calculations!D92+Calculations!D214</f>
        <v>0</v>
      </c>
      <c r="D58" s="456">
        <f>Calculations!E92+Calculations!E214</f>
        <v>0</v>
      </c>
      <c r="E58" s="456">
        <f>Calculations!F92+Calculations!F214</f>
        <v>39959.999999999993</v>
      </c>
      <c r="F58" s="456">
        <f>Calculations!G92+Calculations!G214</f>
        <v>93239.999999999985</v>
      </c>
      <c r="G58" s="457">
        <f t="shared" si="20"/>
        <v>133199.99999999997</v>
      </c>
      <c r="H58" s="456">
        <f>Calculations!I92+Calculations!I214</f>
        <v>215999.99999999994</v>
      </c>
      <c r="I58" s="456">
        <f>Calculations!J92+Calculations!J214</f>
        <v>215999.99999999994</v>
      </c>
      <c r="J58" s="456">
        <f>Calculations!K92+Calculations!K214</f>
        <v>255999.99999999994</v>
      </c>
      <c r="K58" s="456">
        <f>Calculations!L92+Calculations!L214</f>
        <v>271999.99999999994</v>
      </c>
      <c r="L58" s="457">
        <f t="shared" si="21"/>
        <v>959999.99999999977</v>
      </c>
      <c r="M58" s="456">
        <f>Calculations!N92+Calculations!N214</f>
        <v>367199.99999999994</v>
      </c>
      <c r="N58" s="456">
        <f>Calculations!O92+Calculations!O214</f>
        <v>367199.99999999994</v>
      </c>
      <c r="O58" s="456">
        <f>Calculations!P92+Calculations!P214</f>
        <v>367199.99999999994</v>
      </c>
      <c r="P58" s="456">
        <f>Calculations!Q92+Calculations!Q214</f>
        <v>374399.99999999994</v>
      </c>
      <c r="Q58" s="457">
        <f t="shared" si="22"/>
        <v>1475999.9999999998</v>
      </c>
      <c r="R58" s="456">
        <f>Calculations!S92+Calculations!S214</f>
        <v>455599.99999999988</v>
      </c>
      <c r="S58" s="456">
        <f>Calculations!T92+Calculations!T214</f>
        <v>455599.99999999988</v>
      </c>
      <c r="T58" s="456">
        <f>Calculations!U92+Calculations!U214</f>
        <v>455599.99999999988</v>
      </c>
      <c r="U58" s="456">
        <f>Calculations!V92+Calculations!V214</f>
        <v>469199.99999999988</v>
      </c>
      <c r="V58" s="457">
        <f t="shared" si="23"/>
        <v>1835999.9999999995</v>
      </c>
      <c r="W58" s="456">
        <f>Calculations!X92+Calculations!X214</f>
        <v>472599.99999999988</v>
      </c>
      <c r="X58" s="456">
        <f>Calculations!Y92+Calculations!Y214</f>
        <v>472599.99999999988</v>
      </c>
      <c r="Y58" s="456">
        <f>Calculations!Z92+Calculations!Z214</f>
        <v>472599.99999999988</v>
      </c>
      <c r="Z58" s="456">
        <f>Calculations!AA92+Calculations!AA214</f>
        <v>486199.99999999988</v>
      </c>
      <c r="AA58" s="457">
        <f t="shared" si="24"/>
        <v>1903999.9999999995</v>
      </c>
      <c r="AB58" s="458">
        <f t="shared" si="18"/>
        <v>6309199.9999999981</v>
      </c>
    </row>
    <row r="59" spans="1:29" x14ac:dyDescent="0.2">
      <c r="A59" s="809" t="s">
        <v>391</v>
      </c>
      <c r="B59" s="810"/>
      <c r="C59" s="456">
        <f>Calculations!D97+Calculations!D217</f>
        <v>0</v>
      </c>
      <c r="D59" s="456">
        <f>Calculations!E97+Calculations!E217</f>
        <v>0</v>
      </c>
      <c r="E59" s="456">
        <f>Calculations!F97+Calculations!F217</f>
        <v>7132.122612935329</v>
      </c>
      <c r="F59" s="456">
        <f>Calculations!G97+Calculations!G217</f>
        <v>30905.864656053091</v>
      </c>
      <c r="G59" s="457">
        <f t="shared" si="20"/>
        <v>38037.987268988421</v>
      </c>
      <c r="H59" s="456">
        <f>Calculations!I97+Calculations!I217</f>
        <v>86099.498210210266</v>
      </c>
      <c r="I59" s="456">
        <f>Calculations!J97+Calculations!J217</f>
        <v>163203.52645815976</v>
      </c>
      <c r="J59" s="456">
        <f>Calculations!K97+Calculations!K217</f>
        <v>247446.8165809194</v>
      </c>
      <c r="K59" s="456">
        <f>Calculations!L97+Calculations!L217</f>
        <v>341685.07332841324</v>
      </c>
      <c r="L59" s="457">
        <f t="shared" si="21"/>
        <v>838434.91457770276</v>
      </c>
      <c r="M59" s="456">
        <f>Calculations!N97+Calculations!N217</f>
        <v>455770.47808787931</v>
      </c>
      <c r="N59" s="456">
        <f>Calculations!O97+Calculations!O217</f>
        <v>586847.3261093935</v>
      </c>
      <c r="O59" s="456">
        <f>Calculations!P97+Calculations!P217</f>
        <v>717924.17413090763</v>
      </c>
      <c r="P59" s="456">
        <f>Calculations!Q97+Calculations!Q217</f>
        <v>850286.08928988758</v>
      </c>
      <c r="Q59" s="457">
        <f t="shared" si="22"/>
        <v>2610828.0676180683</v>
      </c>
      <c r="R59" s="456">
        <f>Calculations!S97+Calculations!S217</f>
        <v>998425.77319219802</v>
      </c>
      <c r="S59" s="456">
        <f>Calculations!T97+Calculations!T217</f>
        <v>1161058.158700373</v>
      </c>
      <c r="T59" s="456">
        <f>Calculations!U97+Calculations!U217</f>
        <v>1316558.4215956128</v>
      </c>
      <c r="U59" s="456">
        <f>Calculations!V97+Calculations!V217</f>
        <v>1457844.4140981054</v>
      </c>
      <c r="V59" s="457">
        <f t="shared" si="23"/>
        <v>4933886.767586289</v>
      </c>
      <c r="W59" s="456">
        <f>Calculations!X97+Calculations!X217</f>
        <v>1570744.7013863532</v>
      </c>
      <c r="X59" s="456">
        <f>Calculations!Y97+Calculations!Y217</f>
        <v>1662341.4312401675</v>
      </c>
      <c r="Y59" s="456">
        <f>Calculations!Z97+Calculations!Z217</f>
        <v>1746798.8992191709</v>
      </c>
      <c r="Z59" s="456">
        <f>Calculations!AA97+Calculations!AA217</f>
        <v>1823688.749610876</v>
      </c>
      <c r="AA59" s="457">
        <f t="shared" si="24"/>
        <v>6803573.7814565673</v>
      </c>
      <c r="AB59" s="458">
        <f t="shared" si="18"/>
        <v>15224761.518507615</v>
      </c>
    </row>
    <row r="60" spans="1:29" x14ac:dyDescent="0.2">
      <c r="A60" s="809" t="s">
        <v>389</v>
      </c>
      <c r="B60" s="810"/>
      <c r="C60" s="456">
        <f>Calculations!D111+Calculations!D230</f>
        <v>0</v>
      </c>
      <c r="D60" s="456">
        <f>Calculations!E111+Calculations!E230</f>
        <v>0</v>
      </c>
      <c r="E60" s="456">
        <f>Calculations!F111+Calculations!F230</f>
        <v>10800</v>
      </c>
      <c r="F60" s="456">
        <f>Calculations!G111+Calculations!G230</f>
        <v>25200</v>
      </c>
      <c r="G60" s="457">
        <f t="shared" si="20"/>
        <v>36000</v>
      </c>
      <c r="H60" s="456">
        <f>Calculations!I111+Calculations!I230</f>
        <v>64800</v>
      </c>
      <c r="I60" s="456">
        <f>Calculations!J111+Calculations!J230</f>
        <v>64800</v>
      </c>
      <c r="J60" s="456">
        <f>Calculations!K111+Calculations!K230</f>
        <v>76800</v>
      </c>
      <c r="K60" s="456">
        <f>Calculations!L111+Calculations!L230</f>
        <v>81600</v>
      </c>
      <c r="L60" s="457">
        <f t="shared" si="21"/>
        <v>288000</v>
      </c>
      <c r="M60" s="456">
        <f>Calculations!N111+Calculations!N230</f>
        <v>122400</v>
      </c>
      <c r="N60" s="456">
        <f>Calculations!O111+Calculations!O230</f>
        <v>122400</v>
      </c>
      <c r="O60" s="456">
        <f>Calculations!P111+Calculations!P230</f>
        <v>122400</v>
      </c>
      <c r="P60" s="456">
        <f>Calculations!Q111+Calculations!Q230</f>
        <v>124800</v>
      </c>
      <c r="Q60" s="457">
        <f t="shared" si="22"/>
        <v>492000</v>
      </c>
      <c r="R60" s="456">
        <f>Calculations!S111+Calculations!S230</f>
        <v>160800</v>
      </c>
      <c r="S60" s="456">
        <f>Calculations!T111+Calculations!T230</f>
        <v>160800</v>
      </c>
      <c r="T60" s="456">
        <f>Calculations!U111+Calculations!U230</f>
        <v>160800</v>
      </c>
      <c r="U60" s="456">
        <f>Calculations!V111+Calculations!V230</f>
        <v>165600</v>
      </c>
      <c r="V60" s="457">
        <f t="shared" si="23"/>
        <v>648000</v>
      </c>
      <c r="W60" s="456">
        <f>Calculations!X111+Calculations!X230</f>
        <v>166800</v>
      </c>
      <c r="X60" s="456">
        <f>Calculations!Y111+Calculations!Y230</f>
        <v>166800</v>
      </c>
      <c r="Y60" s="456">
        <f>Calculations!Z111+Calculations!Z230</f>
        <v>166800</v>
      </c>
      <c r="Z60" s="456">
        <f>Calculations!AA111+Calculations!AA230</f>
        <v>171600</v>
      </c>
      <c r="AA60" s="457">
        <f t="shared" si="24"/>
        <v>672000</v>
      </c>
      <c r="AB60" s="458">
        <f t="shared" si="18"/>
        <v>2136000</v>
      </c>
    </row>
    <row r="61" spans="1:29" x14ac:dyDescent="0.2">
      <c r="A61" s="809" t="s">
        <v>94</v>
      </c>
      <c r="B61" s="810"/>
      <c r="C61" s="456">
        <f>Calculations!D118+Calculations!D125+Calculations!D132+Calculations!D237+Calculations!D244</f>
        <v>0</v>
      </c>
      <c r="D61" s="456">
        <f>Calculations!E118+Calculations!E125+Calculations!E132+Calculations!E237+Calculations!E244</f>
        <v>0</v>
      </c>
      <c r="E61" s="456">
        <f>Calculations!F118+Calculations!F125+Calculations!F132+Calculations!F237+Calculations!F244</f>
        <v>0</v>
      </c>
      <c r="F61" s="456">
        <f>Calculations!G118+Calculations!G125+Calculations!G132+Calculations!G237+Calculations!G244</f>
        <v>9346.1538461538457</v>
      </c>
      <c r="G61" s="457">
        <f t="shared" si="20"/>
        <v>9346.1538461538457</v>
      </c>
      <c r="H61" s="456">
        <f>Calculations!I118+Calculations!I125+Calculations!I132+Calculations!I237+Calculations!I244</f>
        <v>31153.846153846156</v>
      </c>
      <c r="I61" s="456">
        <f>Calculations!J118+Calculations!J125+Calculations!J132+Calculations!J237+Calculations!J244</f>
        <v>87230.76923076922</v>
      </c>
      <c r="J61" s="456">
        <f>Calculations!K118+Calculations!K125+Calculations!K132+Calculations!K237+Calculations!K244</f>
        <v>143307.69230769231</v>
      </c>
      <c r="K61" s="456">
        <f>Calculations!L118+Calculations!L125+Calculations!L132+Calculations!L237+Calculations!L244</f>
        <v>209769.23076923075</v>
      </c>
      <c r="L61" s="457">
        <f t="shared" si="21"/>
        <v>471461.53846153844</v>
      </c>
      <c r="M61" s="456">
        <f>Calculations!N118+Calculations!N125+Calculations!N132+Calculations!N237+Calculations!N244</f>
        <v>280384.61538461538</v>
      </c>
      <c r="N61" s="456">
        <f>Calculations!O118+Calculations!O125+Calculations!O132+Calculations!O237+Calculations!O244</f>
        <v>386307.69230769231</v>
      </c>
      <c r="O61" s="456">
        <f>Calculations!P118+Calculations!P125+Calculations!P132+Calculations!P237+Calculations!P244</f>
        <v>492230.76923076925</v>
      </c>
      <c r="P61" s="456">
        <f>Calculations!Q118+Calculations!Q125+Calculations!Q132+Calculations!Q237+Calculations!Q244</f>
        <v>598153.84615384613</v>
      </c>
      <c r="Q61" s="457">
        <f t="shared" si="22"/>
        <v>1757076.923076923</v>
      </c>
      <c r="R61" s="456">
        <f>Calculations!S118+Calculations!S125+Calculations!S132+Calculations!S237+Calculations!S244</f>
        <v>706153.84615384613</v>
      </c>
      <c r="S61" s="456">
        <f>Calculations!T118+Calculations!T125+Calculations!T132+Calculations!T237+Calculations!T244</f>
        <v>845307.69230769225</v>
      </c>
      <c r="T61" s="456">
        <f>Calculations!U118+Calculations!U125+Calculations!U132+Calculations!U237+Calculations!U244</f>
        <v>984461.5384615385</v>
      </c>
      <c r="U61" s="456">
        <f>Calculations!V118+Calculations!V125+Calculations!V132+Calculations!V237+Calculations!V244</f>
        <v>1123615.3846153845</v>
      </c>
      <c r="V61" s="457">
        <f t="shared" si="23"/>
        <v>3659538.4615384615</v>
      </c>
      <c r="W61" s="456">
        <f>Calculations!X118+Calculations!X125+Calculations!X132+Calculations!X237+Calculations!X244</f>
        <v>1266923.076923077</v>
      </c>
      <c r="X61" s="456">
        <f>Calculations!Y118+Calculations!Y125+Calculations!Y132+Calculations!Y237+Calculations!Y244</f>
        <v>1411269.2307692308</v>
      </c>
      <c r="Y61" s="456">
        <f>Calculations!Z118+Calculations!Z125+Calculations!Z132+Calculations!Z237+Calculations!Z244</f>
        <v>1555615.3846153845</v>
      </c>
      <c r="Z61" s="456">
        <f>Calculations!AA118+Calculations!AA125+Calculations!AA132+Calculations!AA237+Calculations!AA244</f>
        <v>1699961.5384615385</v>
      </c>
      <c r="AA61" s="457">
        <f t="shared" si="24"/>
        <v>5933769.2307692301</v>
      </c>
      <c r="AB61" s="458">
        <f t="shared" si="18"/>
        <v>11831192.307692308</v>
      </c>
    </row>
    <row r="62" spans="1:29" x14ac:dyDescent="0.2">
      <c r="A62" s="801" t="s">
        <v>136</v>
      </c>
      <c r="B62" s="802"/>
      <c r="C62" s="456">
        <f>Calculations!D153+Calculations!D258</f>
        <v>0</v>
      </c>
      <c r="D62" s="456">
        <f>Calculations!E153+Calculations!E258</f>
        <v>0</v>
      </c>
      <c r="E62" s="456">
        <f>Calculations!F153+Calculations!F258</f>
        <v>0</v>
      </c>
      <c r="F62" s="456">
        <f>Calculations!G153+Calculations!G258</f>
        <v>0</v>
      </c>
      <c r="G62" s="457">
        <f t="shared" si="20"/>
        <v>0</v>
      </c>
      <c r="H62" s="456">
        <f>Calculations!I153+Calculations!I258</f>
        <v>0</v>
      </c>
      <c r="I62" s="456">
        <f>Calculations!J153+Calculations!J258</f>
        <v>0</v>
      </c>
      <c r="J62" s="456">
        <f>Calculations!K153+Calculations!K258</f>
        <v>0</v>
      </c>
      <c r="K62" s="456">
        <f>Calculations!L153+Calculations!L258</f>
        <v>0</v>
      </c>
      <c r="L62" s="457">
        <f t="shared" si="21"/>
        <v>0</v>
      </c>
      <c r="M62" s="456">
        <f>Calculations!N153+Calculations!N258</f>
        <v>0</v>
      </c>
      <c r="N62" s="456">
        <f>Calculations!O153+Calculations!O258</f>
        <v>0</v>
      </c>
      <c r="O62" s="456">
        <f>Calculations!P153+Calculations!P258</f>
        <v>0</v>
      </c>
      <c r="P62" s="456">
        <f>Calculations!Q153+Calculations!Q258</f>
        <v>0</v>
      </c>
      <c r="Q62" s="457">
        <f t="shared" si="22"/>
        <v>0</v>
      </c>
      <c r="R62" s="456">
        <f>Calculations!S153+Calculations!S258</f>
        <v>0</v>
      </c>
      <c r="S62" s="456">
        <f>Calculations!T153+Calculations!T258</f>
        <v>0</v>
      </c>
      <c r="T62" s="456">
        <f>Calculations!U153+Calculations!U258</f>
        <v>0</v>
      </c>
      <c r="U62" s="456">
        <f>Calculations!V153+Calculations!V258</f>
        <v>0</v>
      </c>
      <c r="V62" s="457">
        <f t="shared" si="23"/>
        <v>0</v>
      </c>
      <c r="W62" s="456">
        <f>Calculations!X153+Calculations!X258</f>
        <v>0</v>
      </c>
      <c r="X62" s="456">
        <f>Calculations!Y153+Calculations!Y258</f>
        <v>0</v>
      </c>
      <c r="Y62" s="456">
        <f>Calculations!Z153+Calculations!Z258</f>
        <v>0</v>
      </c>
      <c r="Z62" s="456">
        <f>Calculations!AA153+Calculations!AA258</f>
        <v>0</v>
      </c>
      <c r="AA62" s="457">
        <f t="shared" si="24"/>
        <v>0</v>
      </c>
      <c r="AB62" s="458">
        <f t="shared" si="18"/>
        <v>0</v>
      </c>
    </row>
    <row r="63" spans="1:29" x14ac:dyDescent="0.2">
      <c r="A63" s="801" t="s">
        <v>380</v>
      </c>
      <c r="B63" s="802"/>
      <c r="C63" s="456">
        <f>Calculations!D158+Calculations!D263</f>
        <v>201812</v>
      </c>
      <c r="D63" s="456">
        <f>Calculations!E158+Calculations!E263</f>
        <v>201812</v>
      </c>
      <c r="E63" s="456">
        <f>Calculations!F158+Calculations!F263</f>
        <v>201812</v>
      </c>
      <c r="F63" s="456">
        <f>Calculations!G158+Calculations!G263</f>
        <v>201812</v>
      </c>
      <c r="G63" s="457">
        <f t="shared" si="20"/>
        <v>807248</v>
      </c>
      <c r="H63" s="456">
        <f>Calculations!I158+Calculations!I263</f>
        <v>327444.09750000003</v>
      </c>
      <c r="I63" s="456">
        <f>Calculations!J158+Calculations!J263</f>
        <v>327444.09750000003</v>
      </c>
      <c r="J63" s="456">
        <f>Calculations!K158+Calculations!K263</f>
        <v>327444.09750000003</v>
      </c>
      <c r="K63" s="456">
        <f>Calculations!L158+Calculations!L263</f>
        <v>327444.09750000003</v>
      </c>
      <c r="L63" s="457">
        <f t="shared" si="21"/>
        <v>1309776.3900000001</v>
      </c>
      <c r="M63" s="456">
        <f>Calculations!N158+Calculations!N263</f>
        <v>824043.44710000011</v>
      </c>
      <c r="N63" s="456">
        <f>Calculations!O158+Calculations!O263</f>
        <v>824043.44710000011</v>
      </c>
      <c r="O63" s="456">
        <f>Calculations!P158+Calculations!P263</f>
        <v>824043.44710000011</v>
      </c>
      <c r="P63" s="456">
        <f>Calculations!Q158+Calculations!Q263</f>
        <v>824043.44710000011</v>
      </c>
      <c r="Q63" s="457">
        <f t="shared" si="22"/>
        <v>3296173.7884000004</v>
      </c>
      <c r="R63" s="456">
        <f>Calculations!S158+Calculations!S263</f>
        <v>922655.77532975015</v>
      </c>
      <c r="S63" s="456">
        <f>Calculations!T158+Calculations!T263</f>
        <v>922655.77532975015</v>
      </c>
      <c r="T63" s="456">
        <f>Calculations!U158+Calculations!U263</f>
        <v>922655.77532975015</v>
      </c>
      <c r="U63" s="456">
        <f>Calculations!V158+Calculations!V263</f>
        <v>922655.77532975015</v>
      </c>
      <c r="V63" s="457">
        <f t="shared" si="23"/>
        <v>3690623.1013190006</v>
      </c>
      <c r="W63" s="456">
        <f>Calculations!X158+Calculations!X263</f>
        <v>968919.41125126742</v>
      </c>
      <c r="X63" s="456">
        <f>Calculations!Y158+Calculations!Y263</f>
        <v>968919.41125126742</v>
      </c>
      <c r="Y63" s="456">
        <f>Calculations!Z158+Calculations!Z263</f>
        <v>968919.41125126742</v>
      </c>
      <c r="Z63" s="456">
        <f>Calculations!AA158+Calculations!AA263</f>
        <v>968919.41125126742</v>
      </c>
      <c r="AA63" s="457">
        <f t="shared" si="24"/>
        <v>3875677.6450050697</v>
      </c>
      <c r="AB63" s="458">
        <f t="shared" si="18"/>
        <v>12979498.92472407</v>
      </c>
    </row>
    <row r="64" spans="1:29" ht="13.2" thickBot="1" x14ac:dyDescent="0.25">
      <c r="A64" s="801" t="s">
        <v>86</v>
      </c>
      <c r="B64" s="802"/>
      <c r="C64" s="456">
        <f>Calculations!D279</f>
        <v>0</v>
      </c>
      <c r="D64" s="456">
        <f>Calculations!E279</f>
        <v>0</v>
      </c>
      <c r="E64" s="456">
        <f>Calculations!F279</f>
        <v>0</v>
      </c>
      <c r="F64" s="456">
        <f>Calculations!G279</f>
        <v>268500</v>
      </c>
      <c r="G64" s="457">
        <f t="shared" si="20"/>
        <v>268500</v>
      </c>
      <c r="H64" s="456">
        <f>Calculations!I279</f>
        <v>0</v>
      </c>
      <c r="I64" s="456">
        <f>Calculations!J279</f>
        <v>143000</v>
      </c>
      <c r="J64" s="456">
        <f>Calculations!K279</f>
        <v>0</v>
      </c>
      <c r="K64" s="456">
        <f>Calculations!L279</f>
        <v>0</v>
      </c>
      <c r="L64" s="457">
        <f t="shared" si="21"/>
        <v>143000</v>
      </c>
      <c r="M64" s="456">
        <f>Calculations!N279</f>
        <v>198000</v>
      </c>
      <c r="N64" s="456">
        <f>Calculations!O279</f>
        <v>0</v>
      </c>
      <c r="O64" s="456">
        <f>Calculations!P279</f>
        <v>0</v>
      </c>
      <c r="P64" s="456">
        <f>Calculations!Q279</f>
        <v>0</v>
      </c>
      <c r="Q64" s="457">
        <f t="shared" si="22"/>
        <v>198000</v>
      </c>
      <c r="R64" s="456">
        <f>Calculations!S279</f>
        <v>99000</v>
      </c>
      <c r="S64" s="456">
        <f>Calculations!T279</f>
        <v>0</v>
      </c>
      <c r="T64" s="456">
        <f>Calculations!U279</f>
        <v>0</v>
      </c>
      <c r="U64" s="456">
        <f>Calculations!V279</f>
        <v>0</v>
      </c>
      <c r="V64" s="457">
        <f t="shared" si="23"/>
        <v>99000</v>
      </c>
      <c r="W64" s="456">
        <f>Calculations!X279</f>
        <v>139000</v>
      </c>
      <c r="X64" s="456">
        <f>Calculations!Y279</f>
        <v>0</v>
      </c>
      <c r="Y64" s="456">
        <f>Calculations!Z279</f>
        <v>0</v>
      </c>
      <c r="Z64" s="456">
        <f>Calculations!AA279</f>
        <v>0</v>
      </c>
      <c r="AA64" s="457">
        <f t="shared" si="24"/>
        <v>139000</v>
      </c>
      <c r="AB64" s="458">
        <f t="shared" si="18"/>
        <v>847500</v>
      </c>
    </row>
    <row r="65" spans="1:28" ht="13.2" thickBot="1" x14ac:dyDescent="0.25">
      <c r="A65" s="796" t="s">
        <v>137</v>
      </c>
      <c r="B65" s="797"/>
      <c r="C65" s="459">
        <f t="shared" ref="C65:AB65" si="25">SUM(C57:C64)</f>
        <v>201812</v>
      </c>
      <c r="D65" s="460">
        <f t="shared" si="25"/>
        <v>201812</v>
      </c>
      <c r="E65" s="460">
        <f t="shared" si="25"/>
        <v>259704.12261293532</v>
      </c>
      <c r="F65" s="461">
        <f t="shared" si="25"/>
        <v>633476.51450220693</v>
      </c>
      <c r="G65" s="462">
        <f t="shared" si="25"/>
        <v>1296804.6371151423</v>
      </c>
      <c r="H65" s="450">
        <f t="shared" si="25"/>
        <v>744878.25786405639</v>
      </c>
      <c r="I65" s="451">
        <f t="shared" si="25"/>
        <v>1058330.0091889291</v>
      </c>
      <c r="J65" s="451">
        <f t="shared" si="25"/>
        <v>1161320.1743886117</v>
      </c>
      <c r="K65" s="452">
        <f t="shared" si="25"/>
        <v>1401459.3615976442</v>
      </c>
      <c r="L65" s="453">
        <f t="shared" si="25"/>
        <v>4365987.8030392416</v>
      </c>
      <c r="M65" s="450">
        <f t="shared" si="25"/>
        <v>2482356.1085724947</v>
      </c>
      <c r="N65" s="451">
        <f t="shared" si="25"/>
        <v>2605836.5135170859</v>
      </c>
      <c r="O65" s="451">
        <f t="shared" si="25"/>
        <v>2944213.0144616771</v>
      </c>
      <c r="P65" s="452">
        <f t="shared" si="25"/>
        <v>3293474.5825437335</v>
      </c>
      <c r="Q65" s="453">
        <f t="shared" si="25"/>
        <v>11325880.219094992</v>
      </c>
      <c r="R65" s="450">
        <f t="shared" si="25"/>
        <v>3966797.0586757939</v>
      </c>
      <c r="S65" s="451">
        <f t="shared" si="25"/>
        <v>4287855.9623378152</v>
      </c>
      <c r="T65" s="451">
        <f t="shared" si="25"/>
        <v>4715691.0633869013</v>
      </c>
      <c r="U65" s="452">
        <f t="shared" si="25"/>
        <v>5147711.8940432398</v>
      </c>
      <c r="V65" s="453">
        <f t="shared" si="25"/>
        <v>18118055.978443753</v>
      </c>
      <c r="W65" s="450">
        <f t="shared" si="25"/>
        <v>5728952.2775606979</v>
      </c>
      <c r="X65" s="451">
        <f t="shared" si="25"/>
        <v>5963548.6492606653</v>
      </c>
      <c r="Y65" s="451">
        <f t="shared" si="25"/>
        <v>6330502.703085823</v>
      </c>
      <c r="Z65" s="452">
        <f t="shared" si="25"/>
        <v>6708289.1393236816</v>
      </c>
      <c r="AA65" s="453">
        <f t="shared" si="25"/>
        <v>24731292.769230865</v>
      </c>
      <c r="AB65" s="454">
        <f t="shared" si="25"/>
        <v>59838021.406923994</v>
      </c>
    </row>
    <row r="66" spans="1:28" x14ac:dyDescent="0.2">
      <c r="A66" s="815" t="s">
        <v>308</v>
      </c>
      <c r="B66" s="311" t="s">
        <v>309</v>
      </c>
      <c r="C66" s="463">
        <f t="shared" ref="C66:K66" si="26">C56-C65</f>
        <v>-201812</v>
      </c>
      <c r="D66" s="464">
        <f t="shared" si="26"/>
        <v>-201812</v>
      </c>
      <c r="E66" s="464">
        <f t="shared" si="26"/>
        <v>-178704.12261293532</v>
      </c>
      <c r="F66" s="465">
        <f t="shared" si="26"/>
        <v>-431732.51450220693</v>
      </c>
      <c r="G66" s="798">
        <f>F67</f>
        <v>-1014060.6371151422</v>
      </c>
      <c r="H66" s="463">
        <f t="shared" si="26"/>
        <v>-153029.25786405639</v>
      </c>
      <c r="I66" s="464">
        <f t="shared" si="26"/>
        <v>-201656.00918892911</v>
      </c>
      <c r="J66" s="464">
        <f t="shared" si="26"/>
        <v>336531.82561138831</v>
      </c>
      <c r="K66" s="465">
        <f t="shared" si="26"/>
        <v>846230.63840235583</v>
      </c>
      <c r="L66" s="798">
        <f>K67</f>
        <v>-185983.44015438342</v>
      </c>
      <c r="M66" s="455">
        <f>M56-M65</f>
        <v>861245.8914275053</v>
      </c>
      <c r="N66" s="443">
        <f>N56-N65</f>
        <v>1648985.4864829141</v>
      </c>
      <c r="O66" s="443">
        <f>O56-O65</f>
        <v>2479222.9855383229</v>
      </c>
      <c r="P66" s="466">
        <f>P56-P65</f>
        <v>3469575.4174562665</v>
      </c>
      <c r="Q66" s="803">
        <f>P67</f>
        <v>8273046.3407506254</v>
      </c>
      <c r="R66" s="455">
        <f>R56-R65</f>
        <v>4390698.9413242061</v>
      </c>
      <c r="S66" s="443">
        <f>S56-S65</f>
        <v>5450648.0376621848</v>
      </c>
      <c r="T66" s="443">
        <f>T56-T65</f>
        <v>6624050.9366130987</v>
      </c>
      <c r="U66" s="466">
        <f>U56-U65</f>
        <v>7964268.1059567602</v>
      </c>
      <c r="V66" s="803">
        <f>U67</f>
        <v>32702712.362306874</v>
      </c>
      <c r="W66" s="455">
        <f>W56-W65</f>
        <v>9133929.7224393021</v>
      </c>
      <c r="X66" s="443">
        <f>X56-X65</f>
        <v>10670815.350739334</v>
      </c>
      <c r="Y66" s="443">
        <f>Y56-Y65</f>
        <v>12100384.296914177</v>
      </c>
      <c r="Z66" s="466">
        <f>Z56-Z65</f>
        <v>13559620.860676318</v>
      </c>
      <c r="AA66" s="803">
        <f>Z67</f>
        <v>78167462.593076006</v>
      </c>
      <c r="AB66" s="467"/>
    </row>
    <row r="67" spans="1:28" ht="13.2" thickBot="1" x14ac:dyDescent="0.25">
      <c r="A67" s="787"/>
      <c r="B67" s="312" t="s">
        <v>331</v>
      </c>
      <c r="C67" s="468">
        <f>Parameters!$J$25+C66</f>
        <v>-201812</v>
      </c>
      <c r="D67" s="469">
        <f>C67+D66</f>
        <v>-403624</v>
      </c>
      <c r="E67" s="469">
        <f>D67+E66</f>
        <v>-582328.12261293526</v>
      </c>
      <c r="F67" s="470">
        <f>E67+F66</f>
        <v>-1014060.6371151422</v>
      </c>
      <c r="G67" s="799"/>
      <c r="H67" s="468">
        <f>G66+H66</f>
        <v>-1167089.8949791985</v>
      </c>
      <c r="I67" s="469">
        <f>H67+I66</f>
        <v>-1368745.9041681276</v>
      </c>
      <c r="J67" s="469">
        <f>I67+J66</f>
        <v>-1032214.0785567393</v>
      </c>
      <c r="K67" s="470">
        <f>J67+K66</f>
        <v>-185983.44015438342</v>
      </c>
      <c r="L67" s="800"/>
      <c r="M67" s="471">
        <f>L66+M66</f>
        <v>675262.45127312187</v>
      </c>
      <c r="N67" s="472">
        <f>M67+N66</f>
        <v>2324247.9377560359</v>
      </c>
      <c r="O67" s="472">
        <f>N67+O66</f>
        <v>4803470.9232943589</v>
      </c>
      <c r="P67" s="473">
        <f>O67+P66</f>
        <v>8273046.3407506254</v>
      </c>
      <c r="Q67" s="804"/>
      <c r="R67" s="471">
        <f>Q66+R66</f>
        <v>12663745.282074831</v>
      </c>
      <c r="S67" s="472">
        <f>R67+S66</f>
        <v>18114393.319737017</v>
      </c>
      <c r="T67" s="472">
        <f>S67+T66</f>
        <v>24738444.256350115</v>
      </c>
      <c r="U67" s="473">
        <f>T67+U66</f>
        <v>32702712.362306874</v>
      </c>
      <c r="V67" s="804"/>
      <c r="W67" s="471">
        <f>V66+W66</f>
        <v>41836642.084746175</v>
      </c>
      <c r="X67" s="472">
        <f>W67+X66</f>
        <v>52507457.435485512</v>
      </c>
      <c r="Y67" s="472">
        <f>X67+Y66</f>
        <v>64607841.732399687</v>
      </c>
      <c r="Z67" s="473">
        <f>Y67+Z66</f>
        <v>78167462.593076006</v>
      </c>
      <c r="AA67" s="804"/>
      <c r="AB67" s="467"/>
    </row>
    <row r="68" spans="1:28" ht="13.2" thickBot="1" x14ac:dyDescent="0.25">
      <c r="A68" s="788"/>
      <c r="B68" s="313" t="s">
        <v>250</v>
      </c>
      <c r="C68" s="793">
        <f>MIN(C67:F67)</f>
        <v>-1014060.6371151422</v>
      </c>
      <c r="D68" s="794"/>
      <c r="E68" s="794"/>
      <c r="F68" s="794"/>
      <c r="G68" s="795"/>
      <c r="H68" s="793">
        <f>MIN(H67:K67)</f>
        <v>-1368745.9041681276</v>
      </c>
      <c r="I68" s="794"/>
      <c r="J68" s="794"/>
      <c r="K68" s="794"/>
      <c r="L68" s="795"/>
      <c r="M68" s="793">
        <f>MIN(M67:P67)</f>
        <v>675262.45127312187</v>
      </c>
      <c r="N68" s="794"/>
      <c r="O68" s="794"/>
      <c r="P68" s="794"/>
      <c r="Q68" s="795"/>
      <c r="R68" s="793">
        <f>MIN(R67:U67)</f>
        <v>12663745.282074831</v>
      </c>
      <c r="S68" s="794"/>
      <c r="T68" s="794"/>
      <c r="U68" s="794"/>
      <c r="V68" s="795"/>
      <c r="W68" s="793">
        <f>MIN(W67:Z67)</f>
        <v>41836642.084746175</v>
      </c>
      <c r="X68" s="794"/>
      <c r="Y68" s="794"/>
      <c r="Z68" s="794"/>
      <c r="AA68" s="795"/>
      <c r="AB68" s="467"/>
    </row>
    <row r="69" spans="1:28" ht="7.95" customHeight="1" x14ac:dyDescent="0.2">
      <c r="H69" s="261"/>
      <c r="K69" s="266"/>
      <c r="P69" s="266"/>
      <c r="U69" s="266"/>
      <c r="Z69" s="266"/>
    </row>
    <row r="92" spans="1:28" ht="7.95" customHeight="1" thickBot="1" x14ac:dyDescent="0.25">
      <c r="H92" s="261"/>
      <c r="K92" s="266"/>
      <c r="P92" s="266"/>
      <c r="U92" s="266"/>
      <c r="Z92" s="266"/>
    </row>
    <row r="93" spans="1:28" ht="13.05" customHeight="1" x14ac:dyDescent="0.2">
      <c r="A93" s="811" t="s">
        <v>186</v>
      </c>
      <c r="B93" s="812"/>
      <c r="C93" s="772">
        <v>2012</v>
      </c>
      <c r="D93" s="773"/>
      <c r="E93" s="773"/>
      <c r="F93" s="773"/>
      <c r="G93" s="774"/>
      <c r="H93" s="772">
        <v>2013</v>
      </c>
      <c r="I93" s="773"/>
      <c r="J93" s="773"/>
      <c r="K93" s="773"/>
      <c r="L93" s="774"/>
      <c r="M93" s="772">
        <v>2014</v>
      </c>
      <c r="N93" s="773"/>
      <c r="O93" s="773"/>
      <c r="P93" s="773"/>
      <c r="Q93" s="774"/>
      <c r="R93" s="772">
        <v>2015</v>
      </c>
      <c r="S93" s="773"/>
      <c r="T93" s="773"/>
      <c r="U93" s="773"/>
      <c r="V93" s="774"/>
      <c r="W93" s="772">
        <v>2016</v>
      </c>
      <c r="X93" s="773"/>
      <c r="Y93" s="773"/>
      <c r="Z93" s="773"/>
      <c r="AA93" s="774"/>
      <c r="AB93" s="778" t="s">
        <v>378</v>
      </c>
    </row>
    <row r="94" spans="1:28" ht="13.2" thickBot="1" x14ac:dyDescent="0.25">
      <c r="A94" s="813"/>
      <c r="B94" s="814"/>
      <c r="C94" s="192" t="s">
        <v>406</v>
      </c>
      <c r="D94" s="191" t="s">
        <v>407</v>
      </c>
      <c r="E94" s="191" t="s">
        <v>408</v>
      </c>
      <c r="F94" s="191" t="s">
        <v>409</v>
      </c>
      <c r="G94" s="193" t="s">
        <v>139</v>
      </c>
      <c r="H94" s="192" t="s">
        <v>406</v>
      </c>
      <c r="I94" s="191" t="s">
        <v>407</v>
      </c>
      <c r="J94" s="191" t="s">
        <v>408</v>
      </c>
      <c r="K94" s="191" t="s">
        <v>409</v>
      </c>
      <c r="L94" s="193" t="s">
        <v>139</v>
      </c>
      <c r="M94" s="192" t="s">
        <v>406</v>
      </c>
      <c r="N94" s="191" t="s">
        <v>407</v>
      </c>
      <c r="O94" s="191" t="s">
        <v>408</v>
      </c>
      <c r="P94" s="191" t="s">
        <v>409</v>
      </c>
      <c r="Q94" s="193" t="s">
        <v>139</v>
      </c>
      <c r="R94" s="192" t="s">
        <v>406</v>
      </c>
      <c r="S94" s="191" t="s">
        <v>407</v>
      </c>
      <c r="T94" s="191" t="s">
        <v>408</v>
      </c>
      <c r="U94" s="191" t="s">
        <v>409</v>
      </c>
      <c r="V94" s="193" t="s">
        <v>139</v>
      </c>
      <c r="W94" s="192" t="s">
        <v>406</v>
      </c>
      <c r="X94" s="191" t="s">
        <v>407</v>
      </c>
      <c r="Y94" s="191" t="s">
        <v>408</v>
      </c>
      <c r="Z94" s="191" t="s">
        <v>409</v>
      </c>
      <c r="AA94" s="193" t="s">
        <v>139</v>
      </c>
      <c r="AB94" s="779"/>
    </row>
    <row r="95" spans="1:28" x14ac:dyDescent="0.2">
      <c r="A95" s="807" t="s">
        <v>333</v>
      </c>
      <c r="B95" s="808"/>
      <c r="C95" s="314">
        <f>C5/Parameters!$J$21</f>
        <v>34615.384615384617</v>
      </c>
      <c r="D95" s="315">
        <f>D5/Parameters!$J$21</f>
        <v>103846.15384615384</v>
      </c>
      <c r="E95" s="315">
        <f>E5/Parameters!$J$21</f>
        <v>166153.84615384616</v>
      </c>
      <c r="F95" s="315">
        <f>F5/Parameters!$J$21</f>
        <v>249230.76923076922</v>
      </c>
      <c r="G95" s="316">
        <f>SUM(C95:F95)</f>
        <v>553846.15384615387</v>
      </c>
      <c r="H95" s="314">
        <f>H5/Parameters!$K$21</f>
        <v>720000</v>
      </c>
      <c r="I95" s="315">
        <f>I5/Parameters!$K$21</f>
        <v>720000</v>
      </c>
      <c r="J95" s="315">
        <f>J5/Parameters!$K$21</f>
        <v>789230.76923076925</v>
      </c>
      <c r="K95" s="315">
        <f>K5/Parameters!$K$21</f>
        <v>816923.07692307688</v>
      </c>
      <c r="L95" s="316">
        <f>SUM(H95:K95)</f>
        <v>3046153.846153846</v>
      </c>
      <c r="M95" s="314">
        <f>M5/Parameters!$L$21</f>
        <v>1156153.846153846</v>
      </c>
      <c r="N95" s="315">
        <f>N5/Parameters!$L$21</f>
        <v>1156153.846153846</v>
      </c>
      <c r="O95" s="315">
        <f>O5/Parameters!$L$21</f>
        <v>1156153.846153846</v>
      </c>
      <c r="P95" s="315">
        <f>P5/Parameters!$L$21</f>
        <v>1170000</v>
      </c>
      <c r="Q95" s="316">
        <f>SUM(M95:P95)</f>
        <v>4638461.538461538</v>
      </c>
      <c r="R95" s="314">
        <f>R5/Parameters!$M$21</f>
        <v>1391538.4615384615</v>
      </c>
      <c r="S95" s="315">
        <f>S5/Parameters!$M$21</f>
        <v>1391538.4615384615</v>
      </c>
      <c r="T95" s="315">
        <f>T5/Parameters!$M$21</f>
        <v>1391538.4615384615</v>
      </c>
      <c r="U95" s="315">
        <f>U5/Parameters!$M$21</f>
        <v>1433076.923076923</v>
      </c>
      <c r="V95" s="316">
        <f>SUM(R95:U95)</f>
        <v>5607692.307692308</v>
      </c>
      <c r="W95" s="314">
        <f>W5/Parameters!$N$21</f>
        <v>1530000</v>
      </c>
      <c r="X95" s="315">
        <f>X5/Parameters!$N$21</f>
        <v>1530000</v>
      </c>
      <c r="Y95" s="315">
        <f>Y5/Parameters!$N$21</f>
        <v>1530000</v>
      </c>
      <c r="Z95" s="315">
        <f>Z5/Parameters!$N$21</f>
        <v>1571538.4615384615</v>
      </c>
      <c r="AA95" s="316">
        <f>SUM(W95:Z95)</f>
        <v>6161538.461538462</v>
      </c>
      <c r="AB95" s="317">
        <f t="shared" ref="AB95:AB109" si="27">G95+L95+Q95+V95+AA95</f>
        <v>20007692.307692308</v>
      </c>
    </row>
    <row r="96" spans="1:28" x14ac:dyDescent="0.2">
      <c r="A96" s="801" t="s">
        <v>352</v>
      </c>
      <c r="B96" s="802"/>
      <c r="C96" s="318">
        <f>C6/Parameters!$J$21</f>
        <v>0</v>
      </c>
      <c r="D96" s="319">
        <f>D6/Parameters!$J$21</f>
        <v>22753.846153846152</v>
      </c>
      <c r="E96" s="319">
        <f>E6/Parameters!$J$21</f>
        <v>118096.15384615384</v>
      </c>
      <c r="F96" s="319">
        <f>F6/Parameters!$J$21</f>
        <v>308556.92307692306</v>
      </c>
      <c r="G96" s="320">
        <f>SUM(C96:F96)</f>
        <v>449406.92307692306</v>
      </c>
      <c r="H96" s="318">
        <f>H6/Parameters!$K$21</f>
        <v>602372.30769230763</v>
      </c>
      <c r="I96" s="319">
        <f>I6/Parameters!$K$21</f>
        <v>1270633.846153846</v>
      </c>
      <c r="J96" s="319">
        <f>J6/Parameters!$K$21</f>
        <v>2307193.846153846</v>
      </c>
      <c r="K96" s="319">
        <f>K6/Parameters!$K$21</f>
        <v>3389261.5384615385</v>
      </c>
      <c r="L96" s="320">
        <f>SUM(H96:K96)</f>
        <v>7569461.538461538</v>
      </c>
      <c r="M96" s="318">
        <f>M6/Parameters!$L$21</f>
        <v>4543693.846153846</v>
      </c>
      <c r="N96" s="319">
        <f>N6/Parameters!$L$21</f>
        <v>5942778.461538461</v>
      </c>
      <c r="O96" s="319">
        <f>O6/Parameters!$L$21</f>
        <v>7607254.615384615</v>
      </c>
      <c r="P96" s="319">
        <f>P6/Parameters!$L$21</f>
        <v>9271730.7692307681</v>
      </c>
      <c r="Q96" s="320">
        <f>SUM(M96:P96)</f>
        <v>27365457.692307692</v>
      </c>
      <c r="R96" s="318">
        <f>R6/Parameters!$M$21</f>
        <v>10945308.461538462</v>
      </c>
      <c r="S96" s="319">
        <f>S6/Parameters!$M$21</f>
        <v>12775343.076923076</v>
      </c>
      <c r="T96" s="319">
        <f>T6/Parameters!$M$21</f>
        <v>14778694.615384614</v>
      </c>
      <c r="U96" s="319">
        <f>U6/Parameters!$M$21</f>
        <v>16782046.153846152</v>
      </c>
      <c r="V96" s="320">
        <f>SUM(R96:U96)</f>
        <v>55281392.307692304</v>
      </c>
      <c r="W96" s="318">
        <f>W6/Parameters!$N$21</f>
        <v>18812702.307692308</v>
      </c>
      <c r="X96" s="319">
        <f>X6/Parameters!$N$21</f>
        <v>20939566.153846152</v>
      </c>
      <c r="Y96" s="319">
        <f>Y6/Parameters!$N$21</f>
        <v>23142256.153846152</v>
      </c>
      <c r="Z96" s="319">
        <f>Z6/Parameters!$N$21</f>
        <v>25344946.153846152</v>
      </c>
      <c r="AA96" s="320">
        <f>SUM(W96:Z96)</f>
        <v>88239470.769230768</v>
      </c>
      <c r="AB96" s="321">
        <f t="shared" si="27"/>
        <v>178905189.23076922</v>
      </c>
    </row>
    <row r="97" spans="1:33" x14ac:dyDescent="0.2">
      <c r="A97" s="801" t="str">
        <f>A7</f>
        <v>Revenues (Upfront MG payback)</v>
      </c>
      <c r="B97" s="802"/>
      <c r="C97" s="318">
        <f>C7/Parameters!$J$21</f>
        <v>0</v>
      </c>
      <c r="D97" s="319">
        <f>D7/Parameters!$J$21</f>
        <v>-17307.692307692309</v>
      </c>
      <c r="E97" s="319">
        <f>E7/Parameters!$J$21</f>
        <v>-69230.769230769234</v>
      </c>
      <c r="F97" s="319">
        <f>F7/Parameters!$J$21</f>
        <v>-135000</v>
      </c>
      <c r="G97" s="320">
        <f>SUM(C97:F97)</f>
        <v>-221538.46153846156</v>
      </c>
      <c r="H97" s="318">
        <f>H7/Parameters!$K$21</f>
        <v>-207692.30769230769</v>
      </c>
      <c r="I97" s="319">
        <f>I7/Parameters!$K$21</f>
        <v>-484615.38461538462</v>
      </c>
      <c r="J97" s="319">
        <f>J7/Parameters!$K$21</f>
        <v>-720000</v>
      </c>
      <c r="K97" s="319">
        <f>K7/Parameters!$K$21</f>
        <v>-754615.38461538462</v>
      </c>
      <c r="L97" s="320">
        <f>SUM(H97:K97)</f>
        <v>-2166923.076923077</v>
      </c>
      <c r="M97" s="318">
        <f>M7/Parameters!$L$21</f>
        <v>-803076.92307692301</v>
      </c>
      <c r="N97" s="319">
        <f>N7/Parameters!$L$21</f>
        <v>-986538.4615384615</v>
      </c>
      <c r="O97" s="319">
        <f>O7/Parameters!$L$21</f>
        <v>-1156153.846153846</v>
      </c>
      <c r="P97" s="319">
        <f>P7/Parameters!$L$21</f>
        <v>-1156153.846153846</v>
      </c>
      <c r="Q97" s="320">
        <f>SUM(M97:P97)</f>
        <v>-4101923.0769230765</v>
      </c>
      <c r="R97" s="318">
        <f>R7/Parameters!$M$21</f>
        <v>-1163076.923076923</v>
      </c>
      <c r="S97" s="319">
        <f>S7/Parameters!$M$21</f>
        <v>-1280769.2307692308</v>
      </c>
      <c r="T97" s="319">
        <f>T7/Parameters!$M$21</f>
        <v>-1391538.4615384615</v>
      </c>
      <c r="U97" s="319">
        <f>U7/Parameters!$M$21</f>
        <v>-1391538.4615384615</v>
      </c>
      <c r="V97" s="320">
        <f>SUM(R97:U97)</f>
        <v>-5226923.076923077</v>
      </c>
      <c r="W97" s="318">
        <f>W7/Parameters!$N$21</f>
        <v>-1412307.6923076923</v>
      </c>
      <c r="X97" s="319">
        <f>X7/Parameters!$N$21</f>
        <v>-1481538.4615384615</v>
      </c>
      <c r="Y97" s="319">
        <f>Y7/Parameters!$N$21</f>
        <v>-1530000</v>
      </c>
      <c r="Z97" s="319">
        <f>Z7/Parameters!$N$21</f>
        <v>-1530000</v>
      </c>
      <c r="AA97" s="320">
        <f>SUM(W97:Z97)</f>
        <v>-5953846.153846154</v>
      </c>
      <c r="AB97" s="321">
        <f>G97+L97+Q97+V97+AA97</f>
        <v>-17671153.846153848</v>
      </c>
      <c r="AC97" s="338"/>
      <c r="AD97" s="338"/>
      <c r="AE97" s="338"/>
      <c r="AF97" s="338"/>
      <c r="AG97" s="338"/>
    </row>
    <row r="98" spans="1:33" x14ac:dyDescent="0.2">
      <c r="A98" s="801" t="s">
        <v>237</v>
      </c>
      <c r="B98" s="802"/>
      <c r="C98" s="318">
        <f>C8/Parameters!$J$21</f>
        <v>0</v>
      </c>
      <c r="D98" s="319">
        <f>D8/Parameters!$J$21</f>
        <v>369230.76923076919</v>
      </c>
      <c r="E98" s="319">
        <f>E8/Parameters!$J$21</f>
        <v>1107692.3076923077</v>
      </c>
      <c r="F98" s="319">
        <f>F8/Parameters!$J$21</f>
        <v>1107692.3076923077</v>
      </c>
      <c r="G98" s="320">
        <f>SUM(C98:F98)</f>
        <v>2584615.384615385</v>
      </c>
      <c r="H98" s="318">
        <f>H8/Parameters!$K$21</f>
        <v>1107692.3076923077</v>
      </c>
      <c r="I98" s="319">
        <f>I8/Parameters!$K$21</f>
        <v>1084615.3846153845</v>
      </c>
      <c r="J98" s="319">
        <f>J8/Parameters!$K$21</f>
        <v>1084615.3846153845</v>
      </c>
      <c r="K98" s="319">
        <f>K8/Parameters!$K$21</f>
        <v>1084615.3846153845</v>
      </c>
      <c r="L98" s="320">
        <f>SUM(H98:K98)</f>
        <v>4361538.461538461</v>
      </c>
      <c r="M98" s="318">
        <f>M8/Parameters!$L$21</f>
        <v>1130769.2307692308</v>
      </c>
      <c r="N98" s="319">
        <f>N8/Parameters!$L$21</f>
        <v>1038461.5384615384</v>
      </c>
      <c r="O98" s="319">
        <f>O8/Parameters!$L$21</f>
        <v>1038461.5384615384</v>
      </c>
      <c r="P98" s="319">
        <f>P8/Parameters!$L$21</f>
        <v>1038461.5384615384</v>
      </c>
      <c r="Q98" s="320">
        <f>SUM(M98:P98)</f>
        <v>4246153.846153846</v>
      </c>
      <c r="R98" s="318">
        <f>R8/Parameters!$M$21</f>
        <v>1038461.5384615384</v>
      </c>
      <c r="S98" s="319">
        <f>S8/Parameters!$M$21</f>
        <v>461538.4615384615</v>
      </c>
      <c r="T98" s="319">
        <f>T8/Parameters!$M$21</f>
        <v>461538.4615384615</v>
      </c>
      <c r="U98" s="319">
        <f>U8/Parameters!$M$21</f>
        <v>461538.4615384615</v>
      </c>
      <c r="V98" s="320">
        <f>SUM(R98:U98)</f>
        <v>2423076.923076923</v>
      </c>
      <c r="W98" s="318">
        <f>W8/Parameters!$N$21</f>
        <v>461538.4615384615</v>
      </c>
      <c r="X98" s="319">
        <f>X8/Parameters!$N$21</f>
        <v>0</v>
      </c>
      <c r="Y98" s="319">
        <f>Y8/Parameters!$N$21</f>
        <v>0</v>
      </c>
      <c r="Z98" s="319">
        <f>Z8/Parameters!$N$21</f>
        <v>0</v>
      </c>
      <c r="AA98" s="320">
        <f>SUM(W98:Z98)</f>
        <v>461538.4615384615</v>
      </c>
      <c r="AB98" s="321">
        <f t="shared" si="27"/>
        <v>14076923.076923078</v>
      </c>
    </row>
    <row r="99" spans="1:33" ht="13.2" thickBot="1" x14ac:dyDescent="0.25">
      <c r="A99" s="801" t="s">
        <v>164</v>
      </c>
      <c r="B99" s="802"/>
      <c r="C99" s="318">
        <f>C9/Parameters!$J$21</f>
        <v>0</v>
      </c>
      <c r="D99" s="319">
        <f>D9/Parameters!$J$21</f>
        <v>0</v>
      </c>
      <c r="E99" s="319">
        <f>E9/Parameters!$J$21</f>
        <v>12000</v>
      </c>
      <c r="F99" s="319">
        <f>F9/Parameters!$J$21</f>
        <v>48000</v>
      </c>
      <c r="G99" s="320">
        <f>SUM(C99:F99)</f>
        <v>60000</v>
      </c>
      <c r="H99" s="318">
        <f>H9/Parameters!$K$21</f>
        <v>84000</v>
      </c>
      <c r="I99" s="319">
        <f>I9/Parameters!$K$21</f>
        <v>120000</v>
      </c>
      <c r="J99" s="319">
        <f>J9/Parameters!$K$21</f>
        <v>155249.99999999997</v>
      </c>
      <c r="K99" s="319">
        <f>K9/Parameters!$K$21</f>
        <v>190500</v>
      </c>
      <c r="L99" s="320">
        <f>SUM(H99:K99)</f>
        <v>549750</v>
      </c>
      <c r="M99" s="318">
        <f>M9/Parameters!$L$21</f>
        <v>225750</v>
      </c>
      <c r="N99" s="319">
        <f>N9/Parameters!$L$21</f>
        <v>262500</v>
      </c>
      <c r="O99" s="319">
        <f>O9/Parameters!$L$21</f>
        <v>296250</v>
      </c>
      <c r="P99" s="319">
        <f>P9/Parameters!$L$21</f>
        <v>330000</v>
      </c>
      <c r="Q99" s="320">
        <f>SUM(M99:P99)</f>
        <v>1114500</v>
      </c>
      <c r="R99" s="318">
        <f>R9/Parameters!$M$21</f>
        <v>363750</v>
      </c>
      <c r="S99" s="319">
        <f>S9/Parameters!$M$21</f>
        <v>397500</v>
      </c>
      <c r="T99" s="319">
        <f>T9/Parameters!$M$21</f>
        <v>412500</v>
      </c>
      <c r="U99" s="319">
        <f>U9/Parameters!$M$21</f>
        <v>427500</v>
      </c>
      <c r="V99" s="320">
        <f>SUM(R99:U99)</f>
        <v>1601250</v>
      </c>
      <c r="W99" s="318">
        <f>W9/Parameters!$N$21</f>
        <v>442500</v>
      </c>
      <c r="X99" s="319">
        <f>X9/Parameters!$N$21</f>
        <v>457500</v>
      </c>
      <c r="Y99" s="319">
        <f>Y9/Parameters!$N$21</f>
        <v>457500</v>
      </c>
      <c r="Z99" s="319">
        <f>Z9/Parameters!$N$21</f>
        <v>457500</v>
      </c>
      <c r="AA99" s="320">
        <f>SUM(W99:Z99)</f>
        <v>1815000</v>
      </c>
      <c r="AB99" s="321">
        <f t="shared" si="27"/>
        <v>5140500</v>
      </c>
    </row>
    <row r="100" spans="1:33" ht="13.2" thickBot="1" x14ac:dyDescent="0.25">
      <c r="A100" s="805" t="s">
        <v>222</v>
      </c>
      <c r="B100" s="806"/>
      <c r="C100" s="322">
        <f t="shared" ref="C100:AA100" si="28">SUM(C95:C99)</f>
        <v>34615.384615384617</v>
      </c>
      <c r="D100" s="323">
        <f t="shared" si="28"/>
        <v>478523.07692307688</v>
      </c>
      <c r="E100" s="323">
        <f t="shared" si="28"/>
        <v>1334711.5384615385</v>
      </c>
      <c r="F100" s="324">
        <f t="shared" si="28"/>
        <v>1578480</v>
      </c>
      <c r="G100" s="325">
        <f t="shared" si="28"/>
        <v>3426330.0000000005</v>
      </c>
      <c r="H100" s="322">
        <f t="shared" si="28"/>
        <v>2306372.3076923075</v>
      </c>
      <c r="I100" s="323">
        <f t="shared" si="28"/>
        <v>2710633.846153846</v>
      </c>
      <c r="J100" s="323">
        <f t="shared" si="28"/>
        <v>3616289.9999999995</v>
      </c>
      <c r="K100" s="324">
        <f t="shared" si="28"/>
        <v>4726684.615384615</v>
      </c>
      <c r="L100" s="325">
        <f t="shared" si="28"/>
        <v>13359980.769230768</v>
      </c>
      <c r="M100" s="322">
        <f t="shared" si="28"/>
        <v>6253290</v>
      </c>
      <c r="N100" s="323">
        <f t="shared" si="28"/>
        <v>7413355.384615384</v>
      </c>
      <c r="O100" s="323">
        <f t="shared" si="28"/>
        <v>8941966.1538461521</v>
      </c>
      <c r="P100" s="324">
        <f t="shared" si="28"/>
        <v>10654038.46153846</v>
      </c>
      <c r="Q100" s="325">
        <f t="shared" si="28"/>
        <v>33262650</v>
      </c>
      <c r="R100" s="322">
        <f t="shared" si="28"/>
        <v>12575981.538461538</v>
      </c>
      <c r="S100" s="323">
        <f t="shared" si="28"/>
        <v>13745150.76923077</v>
      </c>
      <c r="T100" s="323">
        <f t="shared" si="28"/>
        <v>15652733.076923076</v>
      </c>
      <c r="U100" s="324">
        <f t="shared" si="28"/>
        <v>17712623.076923076</v>
      </c>
      <c r="V100" s="325">
        <f t="shared" si="28"/>
        <v>59686488.461538449</v>
      </c>
      <c r="W100" s="322">
        <f t="shared" si="28"/>
        <v>19834433.076923076</v>
      </c>
      <c r="X100" s="323">
        <f t="shared" si="28"/>
        <v>21445527.692307692</v>
      </c>
      <c r="Y100" s="323">
        <f t="shared" si="28"/>
        <v>23599756.153846152</v>
      </c>
      <c r="Z100" s="324">
        <f t="shared" si="28"/>
        <v>25843984.615384612</v>
      </c>
      <c r="AA100" s="325">
        <f t="shared" si="28"/>
        <v>90723701.538461536</v>
      </c>
      <c r="AB100" s="326">
        <f t="shared" si="27"/>
        <v>200459150.76923075</v>
      </c>
    </row>
    <row r="101" spans="1:33" x14ac:dyDescent="0.2">
      <c r="A101" s="807" t="s">
        <v>483</v>
      </c>
      <c r="B101" s="808"/>
      <c r="C101" s="314">
        <f>C11/Parameters!$J$21</f>
        <v>0</v>
      </c>
      <c r="D101" s="315">
        <f>D11/Parameters!$J$21</f>
        <v>20372.86153846154</v>
      </c>
      <c r="E101" s="315">
        <f>E11/Parameters!$J$21</f>
        <v>64941.230769230773</v>
      </c>
      <c r="F101" s="315">
        <f>F11/Parameters!$J$21</f>
        <v>79849.550769230758</v>
      </c>
      <c r="G101" s="316">
        <f t="shared" ref="G101:G109" si="29">SUM(C101:F101)</f>
        <v>165163.64307692306</v>
      </c>
      <c r="H101" s="314">
        <f>H11/Parameters!$K$21</f>
        <v>102785.42769230767</v>
      </c>
      <c r="I101" s="315">
        <f>I11/Parameters!$K$21</f>
        <v>155148.62769230767</v>
      </c>
      <c r="J101" s="315">
        <f>J11/Parameters!$K$21</f>
        <v>234659.66769230767</v>
      </c>
      <c r="K101" s="315">
        <f>K11/Parameters!$K$21</f>
        <v>317993.35384615383</v>
      </c>
      <c r="L101" s="316">
        <f t="shared" ref="L101:L109" si="30">SUM(H101:K101)</f>
        <v>810587.07692307676</v>
      </c>
      <c r="M101" s="314">
        <f>M11/Parameters!$L$21</f>
        <v>408986.43692307692</v>
      </c>
      <c r="N101" s="315">
        <f>N11/Parameters!$L$21</f>
        <v>513316.4676923076</v>
      </c>
      <c r="O101" s="315">
        <f>O11/Parameters!$L$21</f>
        <v>640992.84923076921</v>
      </c>
      <c r="P101" s="315">
        <f>P11/Parameters!$L$21</f>
        <v>768669.23076923075</v>
      </c>
      <c r="Q101" s="316">
        <f t="shared" ref="Q101:Q109" si="31">SUM(M101:P101)</f>
        <v>2331964.9846153846</v>
      </c>
      <c r="R101" s="314">
        <f>R11/Parameters!$M$21</f>
        <v>897110.14153846144</v>
      </c>
      <c r="S101" s="315">
        <f>S11/Parameters!$M$21</f>
        <v>1009701.8953846151</v>
      </c>
      <c r="T101" s="315">
        <f>T11/Parameters!$M$21</f>
        <v>1163372.2707692303</v>
      </c>
      <c r="U101" s="315">
        <f>U11/Parameters!$M$21</f>
        <v>1317042.6461538461</v>
      </c>
      <c r="V101" s="316">
        <f t="shared" ref="V101:V109" si="32">SUM(R101:U101)</f>
        <v>4387226.9538461529</v>
      </c>
      <c r="W101" s="314">
        <f>W11/Parameters!$N$21</f>
        <v>1473006.6092307689</v>
      </c>
      <c r="X101" s="315">
        <f>X11/Parameters!$N$21</f>
        <v>1613538.9415384613</v>
      </c>
      <c r="Y101" s="315">
        <f>Y11/Parameters!$N$21</f>
        <v>1782499.9015384612</v>
      </c>
      <c r="Z101" s="315">
        <f>Z11/Parameters!$N$21</f>
        <v>1951460.8615384612</v>
      </c>
      <c r="AA101" s="316">
        <f t="shared" ref="AA101:AA109" si="33">SUM(W101:Z101)</f>
        <v>6820506.3138461532</v>
      </c>
      <c r="AB101" s="317">
        <f t="shared" si="27"/>
        <v>14515448.972307689</v>
      </c>
    </row>
    <row r="102" spans="1:33" x14ac:dyDescent="0.2">
      <c r="A102" s="809" t="s">
        <v>87</v>
      </c>
      <c r="B102" s="810"/>
      <c r="C102" s="327">
        <f>C12/Parameters!$J$21</f>
        <v>281692.30769230769</v>
      </c>
      <c r="D102" s="327">
        <f>D12/Parameters!$J$21</f>
        <v>845076.92307692301</v>
      </c>
      <c r="E102" s="327">
        <f>E12/Parameters!$J$21</f>
        <v>875815.38461538462</v>
      </c>
      <c r="F102" s="327">
        <f>F12/Parameters!$J$21</f>
        <v>916800</v>
      </c>
      <c r="G102" s="328">
        <f t="shared" si="29"/>
        <v>2919384.6153846155</v>
      </c>
      <c r="H102" s="327">
        <f>H12/Parameters!$K$21</f>
        <v>1014153.8461538461</v>
      </c>
      <c r="I102" s="327">
        <f>I12/Parameters!$K$21</f>
        <v>1014153.8461538461</v>
      </c>
      <c r="J102" s="327">
        <f>J12/Parameters!$K$21</f>
        <v>1044923.0769230769</v>
      </c>
      <c r="K102" s="327">
        <f>K12/Parameters!$K$21</f>
        <v>1086769.2307692308</v>
      </c>
      <c r="L102" s="328">
        <f t="shared" si="30"/>
        <v>4160000</v>
      </c>
      <c r="M102" s="327">
        <f>M12/Parameters!$L$21</f>
        <v>1050923.076923077</v>
      </c>
      <c r="N102" s="327">
        <f>N12/Parameters!$L$21</f>
        <v>1050923.076923077</v>
      </c>
      <c r="O102" s="327">
        <f>O12/Parameters!$L$21</f>
        <v>1050923.076923077</v>
      </c>
      <c r="P102" s="327">
        <f>P12/Parameters!$L$21</f>
        <v>1056461.5384615385</v>
      </c>
      <c r="Q102" s="328">
        <f t="shared" si="31"/>
        <v>4209230.7692307699</v>
      </c>
      <c r="R102" s="327">
        <f>R12/Parameters!$M$21</f>
        <v>771846.15384615364</v>
      </c>
      <c r="S102" s="327">
        <f>S12/Parameters!$M$21</f>
        <v>771846.15384615364</v>
      </c>
      <c r="T102" s="327">
        <f>T12/Parameters!$M$21</f>
        <v>771846.15384615364</v>
      </c>
      <c r="U102" s="327">
        <f>U12/Parameters!$M$21</f>
        <v>787538.46153846139</v>
      </c>
      <c r="V102" s="328">
        <f t="shared" si="32"/>
        <v>3103076.9230769225</v>
      </c>
      <c r="W102" s="327">
        <f>W12/Parameters!$N$21</f>
        <v>577999.99999999977</v>
      </c>
      <c r="X102" s="327">
        <f>X12/Parameters!$N$21</f>
        <v>577999.99999999977</v>
      </c>
      <c r="Y102" s="327">
        <f>Y12/Parameters!$N$21</f>
        <v>577999.99999999977</v>
      </c>
      <c r="Z102" s="327">
        <f>Z12/Parameters!$N$21</f>
        <v>593692.30769230751</v>
      </c>
      <c r="AA102" s="328">
        <f t="shared" si="33"/>
        <v>2327692.307692307</v>
      </c>
      <c r="AB102" s="329">
        <f t="shared" si="27"/>
        <v>16719384.615384616</v>
      </c>
    </row>
    <row r="103" spans="1:33" x14ac:dyDescent="0.2">
      <c r="A103" s="809" t="s">
        <v>391</v>
      </c>
      <c r="B103" s="810"/>
      <c r="C103" s="327">
        <f>C13/Parameters!$J$21</f>
        <v>3047.9156465535593</v>
      </c>
      <c r="D103" s="327">
        <f>D13/Parameters!$J$21</f>
        <v>15239.578232767799</v>
      </c>
      <c r="E103" s="327">
        <f>E13/Parameters!$J$21</f>
        <v>39013.32027588557</v>
      </c>
      <c r="F103" s="327">
        <f>F13/Parameters!$J$21</f>
        <v>75588.30803452828</v>
      </c>
      <c r="G103" s="328">
        <f t="shared" si="29"/>
        <v>132889.12218973521</v>
      </c>
      <c r="H103" s="327">
        <f>H13/Parameters!$K$21</f>
        <v>154647.39568819501</v>
      </c>
      <c r="I103" s="327">
        <f>I13/Parameters!$K$21</f>
        <v>268875.58568515722</v>
      </c>
      <c r="J103" s="327">
        <f>J13/Parameters!$K$21</f>
        <v>388595.51558581961</v>
      </c>
      <c r="K103" s="327">
        <f>K13/Parameters!$K$21</f>
        <v>516003.8813516621</v>
      </c>
      <c r="L103" s="328">
        <f t="shared" si="30"/>
        <v>1328122.3783108341</v>
      </c>
      <c r="M103" s="327">
        <f>M13/Parameters!$L$21</f>
        <v>663347.262967936</v>
      </c>
      <c r="N103" s="327">
        <f>N13/Parameters!$L$21</f>
        <v>828428.96447316115</v>
      </c>
      <c r="O103" s="327">
        <f>O13/Parameters!$L$21</f>
        <v>993510.6659783863</v>
      </c>
      <c r="P103" s="327">
        <f>P13/Parameters!$L$21</f>
        <v>1159580.8806662776</v>
      </c>
      <c r="Q103" s="328">
        <f t="shared" si="31"/>
        <v>3644867.774085761</v>
      </c>
      <c r="R103" s="327">
        <f>R13/Parameters!$M$21</f>
        <v>1333888.7052097188</v>
      </c>
      <c r="S103" s="327">
        <f>S13/Parameters!$M$21</f>
        <v>1509349.7951329374</v>
      </c>
      <c r="T103" s="327">
        <f>T13/Parameters!$M$21</f>
        <v>1673228.8055992525</v>
      </c>
      <c r="U103" s="327">
        <f>U13/Parameters!$M$21</f>
        <v>1827107.3577009295</v>
      </c>
      <c r="V103" s="328">
        <f t="shared" si="32"/>
        <v>6343574.6636428386</v>
      </c>
      <c r="W103" s="327">
        <f>W13/Parameters!$N$21</f>
        <v>1947837.7677438727</v>
      </c>
      <c r="X103" s="327">
        <f>X13/Parameters!$N$21</f>
        <v>2039934.2459289234</v>
      </c>
      <c r="Y103" s="327">
        <f>Y13/Parameters!$N$21</f>
        <v>2126538.9842102737</v>
      </c>
      <c r="Z103" s="327">
        <f>Z13/Parameters!$N$21</f>
        <v>2208256.0739773316</v>
      </c>
      <c r="AA103" s="328">
        <f t="shared" si="33"/>
        <v>8322567.0718604019</v>
      </c>
      <c r="AB103" s="329">
        <f t="shared" si="27"/>
        <v>19772021.010089573</v>
      </c>
    </row>
    <row r="104" spans="1:33" x14ac:dyDescent="0.2">
      <c r="A104" s="809" t="s">
        <v>389</v>
      </c>
      <c r="B104" s="810"/>
      <c r="C104" s="327">
        <f>C14/Parameters!$J$21</f>
        <v>19384.615384615383</v>
      </c>
      <c r="D104" s="327">
        <f>D14/Parameters!$J$21</f>
        <v>58153.846153846149</v>
      </c>
      <c r="E104" s="327">
        <f>E14/Parameters!$J$21</f>
        <v>66461.538461538454</v>
      </c>
      <c r="F104" s="327">
        <f>F14/Parameters!$J$21</f>
        <v>77538.461538461532</v>
      </c>
      <c r="G104" s="328">
        <f t="shared" si="29"/>
        <v>221538.46153846153</v>
      </c>
      <c r="H104" s="327">
        <f>H14/Parameters!$K$21</f>
        <v>139384.61538461538</v>
      </c>
      <c r="I104" s="327">
        <f>I14/Parameters!$K$21</f>
        <v>139384.61538461538</v>
      </c>
      <c r="J104" s="327">
        <f>J14/Parameters!$K$21</f>
        <v>148615.38461538462</v>
      </c>
      <c r="K104" s="327">
        <f>K14/Parameters!$K$21</f>
        <v>154153.84615384616</v>
      </c>
      <c r="L104" s="328">
        <f t="shared" si="30"/>
        <v>581538.4615384615</v>
      </c>
      <c r="M104" s="327">
        <f>M14/Parameters!$L$21</f>
        <v>195692.30769230769</v>
      </c>
      <c r="N104" s="327">
        <f>N14/Parameters!$L$21</f>
        <v>195692.30769230769</v>
      </c>
      <c r="O104" s="327">
        <f>O14/Parameters!$L$21</f>
        <v>195692.30769230769</v>
      </c>
      <c r="P104" s="327">
        <f>P14/Parameters!$L$21</f>
        <v>197538.46153846153</v>
      </c>
      <c r="Q104" s="328">
        <f t="shared" si="31"/>
        <v>784615.38461538451</v>
      </c>
      <c r="R104" s="327">
        <f>R14/Parameters!$M$21</f>
        <v>204000</v>
      </c>
      <c r="S104" s="327">
        <f>S14/Parameters!$M$21</f>
        <v>204000</v>
      </c>
      <c r="T104" s="327">
        <f>T14/Parameters!$M$21</f>
        <v>204000</v>
      </c>
      <c r="U104" s="327">
        <f>U14/Parameters!$M$21</f>
        <v>209538.46153846153</v>
      </c>
      <c r="V104" s="328">
        <f t="shared" si="32"/>
        <v>821538.4615384615</v>
      </c>
      <c r="W104" s="327">
        <f>W14/Parameters!$N$21</f>
        <v>204000</v>
      </c>
      <c r="X104" s="327">
        <f>X14/Parameters!$N$21</f>
        <v>204000</v>
      </c>
      <c r="Y104" s="327">
        <f>Y14/Parameters!$N$21</f>
        <v>204000</v>
      </c>
      <c r="Z104" s="327">
        <f>Z14/Parameters!$N$21</f>
        <v>209538.46153846153</v>
      </c>
      <c r="AA104" s="328">
        <f t="shared" si="33"/>
        <v>821538.4615384615</v>
      </c>
      <c r="AB104" s="329">
        <f t="shared" si="27"/>
        <v>3230769.2307692305</v>
      </c>
    </row>
    <row r="105" spans="1:33" x14ac:dyDescent="0.2">
      <c r="A105" s="809" t="s">
        <v>94</v>
      </c>
      <c r="B105" s="810"/>
      <c r="C105" s="327">
        <f>C15/Parameters!$J$21</f>
        <v>0</v>
      </c>
      <c r="D105" s="327">
        <f>D15/Parameters!$J$21</f>
        <v>13579.881656804731</v>
      </c>
      <c r="E105" s="327">
        <f>E15/Parameters!$J$21</f>
        <v>54319.526627218926</v>
      </c>
      <c r="F105" s="327">
        <f>F15/Parameters!$J$21</f>
        <v>102248.52071005915</v>
      </c>
      <c r="G105" s="328">
        <f t="shared" si="29"/>
        <v>170147.92899408279</v>
      </c>
      <c r="H105" s="327">
        <f>H15/Parameters!$K$21</f>
        <v>159763.31360946744</v>
      </c>
      <c r="I105" s="327">
        <f>I15/Parameters!$K$21</f>
        <v>270998.52071005915</v>
      </c>
      <c r="J105" s="327">
        <f>J15/Parameters!$K$21</f>
        <v>382233.72781065083</v>
      </c>
      <c r="K105" s="327">
        <f>K15/Parameters!$K$21</f>
        <v>501457.10059171595</v>
      </c>
      <c r="L105" s="328">
        <f t="shared" si="30"/>
        <v>1314452.6627218933</v>
      </c>
      <c r="M105" s="327">
        <f>M15/Parameters!$L$21</f>
        <v>625073.96449704131</v>
      </c>
      <c r="N105" s="327">
        <f>N15/Parameters!$L$21</f>
        <v>785436.39053254435</v>
      </c>
      <c r="O105" s="327">
        <f>O15/Parameters!$L$21</f>
        <v>945798.81656804727</v>
      </c>
      <c r="P105" s="327">
        <f>P15/Parameters!$L$21</f>
        <v>1106161.2426035502</v>
      </c>
      <c r="Q105" s="328">
        <f t="shared" si="31"/>
        <v>3462470.4142011832</v>
      </c>
      <c r="R105" s="327">
        <f>R15/Parameters!$M$21</f>
        <v>1268121.3017751479</v>
      </c>
      <c r="S105" s="327">
        <f>S15/Parameters!$M$21</f>
        <v>1440665.6804733726</v>
      </c>
      <c r="T105" s="327">
        <f>T15/Parameters!$M$21</f>
        <v>1613210.0591715977</v>
      </c>
      <c r="U105" s="327">
        <f>U15/Parameters!$M$21</f>
        <v>1785754.4378698224</v>
      </c>
      <c r="V105" s="328">
        <f t="shared" si="32"/>
        <v>6107751.4792899406</v>
      </c>
      <c r="W105" s="327">
        <f>W15/Parameters!$N$21</f>
        <v>1963091.7159763314</v>
      </c>
      <c r="X105" s="327">
        <f>X15/Parameters!$N$21</f>
        <v>2139630.1775147929</v>
      </c>
      <c r="Y105" s="327">
        <f>Y15/Parameters!$N$21</f>
        <v>2316168.6390532544</v>
      </c>
      <c r="Z105" s="327">
        <f>Z15/Parameters!$N$21</f>
        <v>2492707.1005917159</v>
      </c>
      <c r="AA105" s="328">
        <f t="shared" si="33"/>
        <v>8911597.6331360936</v>
      </c>
      <c r="AB105" s="329">
        <f t="shared" si="27"/>
        <v>19966420.118343193</v>
      </c>
    </row>
    <row r="106" spans="1:33" x14ac:dyDescent="0.2">
      <c r="A106" s="809" t="s">
        <v>177</v>
      </c>
      <c r="B106" s="810"/>
      <c r="C106" s="327" t="e">
        <f>#REF!/Parameters!$J$21</f>
        <v>#REF!</v>
      </c>
      <c r="D106" s="327" t="e">
        <f>#REF!/Parameters!$J$21</f>
        <v>#REF!</v>
      </c>
      <c r="E106" s="327" t="e">
        <f>#REF!/Parameters!$J$21</f>
        <v>#REF!</v>
      </c>
      <c r="F106" s="327" t="e">
        <f>#REF!/Parameters!$J$21</f>
        <v>#REF!</v>
      </c>
      <c r="G106" s="328" t="e">
        <f t="shared" si="29"/>
        <v>#REF!</v>
      </c>
      <c r="H106" s="327" t="e">
        <f>#REF!/Parameters!$K$21</f>
        <v>#REF!</v>
      </c>
      <c r="I106" s="327" t="e">
        <f>#REF!/Parameters!$K$21</f>
        <v>#REF!</v>
      </c>
      <c r="J106" s="327" t="e">
        <f>#REF!/Parameters!$K$21</f>
        <v>#REF!</v>
      </c>
      <c r="K106" s="327" t="e">
        <f>#REF!/Parameters!$K$21</f>
        <v>#REF!</v>
      </c>
      <c r="L106" s="328" t="e">
        <f t="shared" si="30"/>
        <v>#REF!</v>
      </c>
      <c r="M106" s="327" t="e">
        <f>#REF!/Parameters!$L$21</f>
        <v>#REF!</v>
      </c>
      <c r="N106" s="327" t="e">
        <f>#REF!/Parameters!$L$21</f>
        <v>#REF!</v>
      </c>
      <c r="O106" s="327" t="e">
        <f>#REF!/Parameters!$L$21</f>
        <v>#REF!</v>
      </c>
      <c r="P106" s="327" t="e">
        <f>#REF!/Parameters!$L$21</f>
        <v>#REF!</v>
      </c>
      <c r="Q106" s="328" t="e">
        <f t="shared" si="31"/>
        <v>#REF!</v>
      </c>
      <c r="R106" s="327" t="e">
        <f>#REF!/Parameters!$M$21</f>
        <v>#REF!</v>
      </c>
      <c r="S106" s="327" t="e">
        <f>#REF!/Parameters!$M$21</f>
        <v>#REF!</v>
      </c>
      <c r="T106" s="327" t="e">
        <f>#REF!/Parameters!$M$21</f>
        <v>#REF!</v>
      </c>
      <c r="U106" s="327" t="e">
        <f>#REF!/Parameters!$M$21</f>
        <v>#REF!</v>
      </c>
      <c r="V106" s="328" t="e">
        <f t="shared" si="32"/>
        <v>#REF!</v>
      </c>
      <c r="W106" s="327" t="e">
        <f>#REF!/Parameters!$N$21</f>
        <v>#REF!</v>
      </c>
      <c r="X106" s="327" t="e">
        <f>#REF!/Parameters!$N$21</f>
        <v>#REF!</v>
      </c>
      <c r="Y106" s="327" t="e">
        <f>#REF!/Parameters!$N$21</f>
        <v>#REF!</v>
      </c>
      <c r="Z106" s="327" t="e">
        <f>#REF!/Parameters!$N$21</f>
        <v>#REF!</v>
      </c>
      <c r="AA106" s="328" t="e">
        <f t="shared" si="33"/>
        <v>#REF!</v>
      </c>
      <c r="AB106" s="329" t="e">
        <f t="shared" si="27"/>
        <v>#REF!</v>
      </c>
    </row>
    <row r="107" spans="1:33" x14ac:dyDescent="0.2">
      <c r="A107" s="801" t="s">
        <v>136</v>
      </c>
      <c r="B107" s="802"/>
      <c r="C107" s="327">
        <f>C16/Parameters!$J$21</f>
        <v>0</v>
      </c>
      <c r="D107" s="327">
        <f>D16/Parameters!$J$21</f>
        <v>0</v>
      </c>
      <c r="E107" s="327">
        <f>E16/Parameters!$J$21</f>
        <v>0</v>
      </c>
      <c r="F107" s="327">
        <f>F16/Parameters!$J$21</f>
        <v>0</v>
      </c>
      <c r="G107" s="328">
        <f t="shared" si="29"/>
        <v>0</v>
      </c>
      <c r="H107" s="327">
        <f>H16/Parameters!$K$21</f>
        <v>0</v>
      </c>
      <c r="I107" s="327">
        <f>I16/Parameters!$K$21</f>
        <v>0</v>
      </c>
      <c r="J107" s="327">
        <f>J16/Parameters!$K$21</f>
        <v>0</v>
      </c>
      <c r="K107" s="327">
        <f>K16/Parameters!$K$21</f>
        <v>0</v>
      </c>
      <c r="L107" s="328">
        <f t="shared" si="30"/>
        <v>0</v>
      </c>
      <c r="M107" s="327">
        <f>M16/Parameters!$L$21</f>
        <v>0</v>
      </c>
      <c r="N107" s="327">
        <f>N16/Parameters!$L$21</f>
        <v>0</v>
      </c>
      <c r="O107" s="327">
        <f>O16/Parameters!$L$21</f>
        <v>0</v>
      </c>
      <c r="P107" s="327">
        <f>P16/Parameters!$L$21</f>
        <v>0</v>
      </c>
      <c r="Q107" s="328">
        <f t="shared" si="31"/>
        <v>0</v>
      </c>
      <c r="R107" s="327">
        <f>R16/Parameters!$M$21</f>
        <v>0</v>
      </c>
      <c r="S107" s="327">
        <f>S16/Parameters!$M$21</f>
        <v>0</v>
      </c>
      <c r="T107" s="327">
        <f>T16/Parameters!$M$21</f>
        <v>0</v>
      </c>
      <c r="U107" s="327">
        <f>U16/Parameters!$M$21</f>
        <v>0</v>
      </c>
      <c r="V107" s="328">
        <f t="shared" si="32"/>
        <v>0</v>
      </c>
      <c r="W107" s="327">
        <f>W16/Parameters!$N$21</f>
        <v>0</v>
      </c>
      <c r="X107" s="327">
        <f>X16/Parameters!$N$21</f>
        <v>0</v>
      </c>
      <c r="Y107" s="327">
        <f>Y16/Parameters!$N$21</f>
        <v>0</v>
      </c>
      <c r="Z107" s="327">
        <f>Z16/Parameters!$N$21</f>
        <v>0</v>
      </c>
      <c r="AA107" s="328">
        <f t="shared" si="33"/>
        <v>0</v>
      </c>
      <c r="AB107" s="329">
        <f t="shared" si="27"/>
        <v>0</v>
      </c>
    </row>
    <row r="108" spans="1:33" x14ac:dyDescent="0.2">
      <c r="A108" s="801" t="s">
        <v>380</v>
      </c>
      <c r="B108" s="802"/>
      <c r="C108" s="327">
        <f>C17/Parameters!$J$21</f>
        <v>341766.92307692306</v>
      </c>
      <c r="D108" s="327">
        <f>D17/Parameters!$J$21</f>
        <v>341766.92307692306</v>
      </c>
      <c r="E108" s="327">
        <f>E17/Parameters!$J$21</f>
        <v>341766.92307692306</v>
      </c>
      <c r="F108" s="327">
        <f>F17/Parameters!$J$21</f>
        <v>341766.92307692306</v>
      </c>
      <c r="G108" s="328">
        <f t="shared" si="29"/>
        <v>1367067.6923076923</v>
      </c>
      <c r="H108" s="327">
        <f>H17/Parameters!$K$21</f>
        <v>450868.53653846157</v>
      </c>
      <c r="I108" s="327">
        <f>I17/Parameters!$K$21</f>
        <v>450868.53653846157</v>
      </c>
      <c r="J108" s="327">
        <f>J17/Parameters!$K$21</f>
        <v>450868.53653846157</v>
      </c>
      <c r="K108" s="327">
        <f>K17/Parameters!$K$21</f>
        <v>450868.53653846157</v>
      </c>
      <c r="L108" s="328">
        <f t="shared" si="30"/>
        <v>1803474.1461538463</v>
      </c>
      <c r="M108" s="327">
        <f>M17/Parameters!$L$21</f>
        <v>837094.61315384612</v>
      </c>
      <c r="N108" s="327">
        <f>N17/Parameters!$L$21</f>
        <v>837094.61315384612</v>
      </c>
      <c r="O108" s="327">
        <f>O17/Parameters!$L$21</f>
        <v>837094.61315384612</v>
      </c>
      <c r="P108" s="327">
        <f>P17/Parameters!$L$21</f>
        <v>837094.61315384612</v>
      </c>
      <c r="Q108" s="328">
        <f t="shared" si="31"/>
        <v>3348378.4526153845</v>
      </c>
      <c r="R108" s="327">
        <f>R17/Parameters!$M$21</f>
        <v>922229.40140750003</v>
      </c>
      <c r="S108" s="327">
        <f>S17/Parameters!$M$21</f>
        <v>922229.40140750003</v>
      </c>
      <c r="T108" s="327">
        <f>T17/Parameters!$M$21</f>
        <v>922229.40140750003</v>
      </c>
      <c r="U108" s="327">
        <f>U17/Parameters!$M$21</f>
        <v>922229.40140750003</v>
      </c>
      <c r="V108" s="328">
        <f t="shared" si="32"/>
        <v>3688917.6056300001</v>
      </c>
      <c r="W108" s="327">
        <f>W17/Parameters!$N$21</f>
        <v>857268.5624202058</v>
      </c>
      <c r="X108" s="327">
        <f>X17/Parameters!$N$21</f>
        <v>964191.63934328267</v>
      </c>
      <c r="Y108" s="327">
        <f>Y17/Parameters!$N$21</f>
        <v>964191.63934328267</v>
      </c>
      <c r="Z108" s="327">
        <f>Z17/Parameters!$N$21</f>
        <v>964191.63934328267</v>
      </c>
      <c r="AA108" s="328">
        <f t="shared" si="33"/>
        <v>3749843.4804500537</v>
      </c>
      <c r="AB108" s="329">
        <f t="shared" si="27"/>
        <v>13957681.377156977</v>
      </c>
    </row>
    <row r="109" spans="1:33" ht="13.2" thickBot="1" x14ac:dyDescent="0.25">
      <c r="A109" s="801" t="s">
        <v>86</v>
      </c>
      <c r="B109" s="802"/>
      <c r="C109" s="327">
        <f>C18/Parameters!$J$21</f>
        <v>0</v>
      </c>
      <c r="D109" s="327">
        <f>D18/Parameters!$J$21</f>
        <v>0</v>
      </c>
      <c r="E109" s="327">
        <f>E18/Parameters!$J$21</f>
        <v>846153.84615384613</v>
      </c>
      <c r="F109" s="327">
        <f>F18/Parameters!$J$21</f>
        <v>206538.46153846153</v>
      </c>
      <c r="G109" s="328">
        <f t="shared" si="29"/>
        <v>1052692.3076923077</v>
      </c>
      <c r="H109" s="327">
        <f>H18/Parameters!$K$21</f>
        <v>0</v>
      </c>
      <c r="I109" s="327">
        <f>I18/Parameters!$K$21</f>
        <v>256153.84615384616</v>
      </c>
      <c r="J109" s="327">
        <f>J18/Parameters!$K$21</f>
        <v>0</v>
      </c>
      <c r="K109" s="327">
        <f>K18/Parameters!$K$21</f>
        <v>0</v>
      </c>
      <c r="L109" s="328">
        <f t="shared" si="30"/>
        <v>256153.84615384616</v>
      </c>
      <c r="M109" s="327">
        <f>M18/Parameters!$L$21</f>
        <v>152307.69230769231</v>
      </c>
      <c r="N109" s="327">
        <f>N18/Parameters!$L$21</f>
        <v>0</v>
      </c>
      <c r="O109" s="327">
        <f>O18/Parameters!$L$21</f>
        <v>0</v>
      </c>
      <c r="P109" s="327">
        <f>P18/Parameters!$L$21</f>
        <v>0</v>
      </c>
      <c r="Q109" s="328">
        <f t="shared" si="31"/>
        <v>152307.69230769231</v>
      </c>
      <c r="R109" s="327">
        <f>R18/Parameters!$M$21</f>
        <v>76153.846153846156</v>
      </c>
      <c r="S109" s="327">
        <f>S18/Parameters!$M$21</f>
        <v>0</v>
      </c>
      <c r="T109" s="327">
        <f>T18/Parameters!$M$21</f>
        <v>0</v>
      </c>
      <c r="U109" s="327">
        <f>U18/Parameters!$M$21</f>
        <v>0</v>
      </c>
      <c r="V109" s="328">
        <f t="shared" si="32"/>
        <v>76153.846153846156</v>
      </c>
      <c r="W109" s="327">
        <f>W18/Parameters!$N$21</f>
        <v>106923.07692307692</v>
      </c>
      <c r="X109" s="327">
        <f>X18/Parameters!$N$21</f>
        <v>0</v>
      </c>
      <c r="Y109" s="327">
        <f>Y18/Parameters!$N$21</f>
        <v>0</v>
      </c>
      <c r="Z109" s="327">
        <f>Z18/Parameters!$N$21</f>
        <v>0</v>
      </c>
      <c r="AA109" s="328">
        <f t="shared" si="33"/>
        <v>106923.07692307692</v>
      </c>
      <c r="AB109" s="329">
        <f t="shared" si="27"/>
        <v>1644230.7692307695</v>
      </c>
    </row>
    <row r="110" spans="1:33" ht="13.2" thickBot="1" x14ac:dyDescent="0.25">
      <c r="A110" s="796" t="s">
        <v>137</v>
      </c>
      <c r="B110" s="797"/>
      <c r="C110" s="330" t="e">
        <f t="shared" ref="C110:AB110" si="34">SUM(C101:C109)</f>
        <v>#REF!</v>
      </c>
      <c r="D110" s="331" t="e">
        <f t="shared" si="34"/>
        <v>#REF!</v>
      </c>
      <c r="E110" s="331" t="e">
        <f t="shared" si="34"/>
        <v>#REF!</v>
      </c>
      <c r="F110" s="332" t="e">
        <f t="shared" si="34"/>
        <v>#REF!</v>
      </c>
      <c r="G110" s="333" t="e">
        <f t="shared" si="34"/>
        <v>#REF!</v>
      </c>
      <c r="H110" s="322" t="e">
        <f t="shared" si="34"/>
        <v>#REF!</v>
      </c>
      <c r="I110" s="323" t="e">
        <f t="shared" si="34"/>
        <v>#REF!</v>
      </c>
      <c r="J110" s="323" t="e">
        <f t="shared" si="34"/>
        <v>#REF!</v>
      </c>
      <c r="K110" s="324" t="e">
        <f t="shared" si="34"/>
        <v>#REF!</v>
      </c>
      <c r="L110" s="325" t="e">
        <f t="shared" si="34"/>
        <v>#REF!</v>
      </c>
      <c r="M110" s="322" t="e">
        <f t="shared" si="34"/>
        <v>#REF!</v>
      </c>
      <c r="N110" s="323" t="e">
        <f t="shared" si="34"/>
        <v>#REF!</v>
      </c>
      <c r="O110" s="323" t="e">
        <f t="shared" si="34"/>
        <v>#REF!</v>
      </c>
      <c r="P110" s="324" t="e">
        <f t="shared" si="34"/>
        <v>#REF!</v>
      </c>
      <c r="Q110" s="325" t="e">
        <f t="shared" si="34"/>
        <v>#REF!</v>
      </c>
      <c r="R110" s="322" t="e">
        <f t="shared" si="34"/>
        <v>#REF!</v>
      </c>
      <c r="S110" s="323" t="e">
        <f t="shared" si="34"/>
        <v>#REF!</v>
      </c>
      <c r="T110" s="323" t="e">
        <f t="shared" si="34"/>
        <v>#REF!</v>
      </c>
      <c r="U110" s="324" t="e">
        <f t="shared" si="34"/>
        <v>#REF!</v>
      </c>
      <c r="V110" s="325" t="e">
        <f t="shared" si="34"/>
        <v>#REF!</v>
      </c>
      <c r="W110" s="322" t="e">
        <f t="shared" si="34"/>
        <v>#REF!</v>
      </c>
      <c r="X110" s="323" t="e">
        <f t="shared" si="34"/>
        <v>#REF!</v>
      </c>
      <c r="Y110" s="323" t="e">
        <f t="shared" si="34"/>
        <v>#REF!</v>
      </c>
      <c r="Z110" s="324" t="e">
        <f t="shared" si="34"/>
        <v>#REF!</v>
      </c>
      <c r="AA110" s="325" t="e">
        <f t="shared" si="34"/>
        <v>#REF!</v>
      </c>
      <c r="AB110" s="326" t="e">
        <f t="shared" si="34"/>
        <v>#REF!</v>
      </c>
    </row>
    <row r="111" spans="1:33" x14ac:dyDescent="0.2">
      <c r="A111" s="815" t="s">
        <v>308</v>
      </c>
      <c r="B111" s="311" t="s">
        <v>309</v>
      </c>
      <c r="C111" s="334" t="e">
        <f t="shared" ref="C111:K111" si="35">C100-C110</f>
        <v>#REF!</v>
      </c>
      <c r="D111" s="335" t="e">
        <f t="shared" si="35"/>
        <v>#REF!</v>
      </c>
      <c r="E111" s="335" t="e">
        <f t="shared" si="35"/>
        <v>#REF!</v>
      </c>
      <c r="F111" s="336" t="e">
        <f t="shared" si="35"/>
        <v>#REF!</v>
      </c>
      <c r="G111" s="829" t="e">
        <f t="shared" si="35"/>
        <v>#REF!</v>
      </c>
      <c r="H111" s="334" t="e">
        <f t="shared" si="35"/>
        <v>#REF!</v>
      </c>
      <c r="I111" s="335" t="e">
        <f t="shared" si="35"/>
        <v>#REF!</v>
      </c>
      <c r="J111" s="335" t="e">
        <f t="shared" si="35"/>
        <v>#REF!</v>
      </c>
      <c r="K111" s="336" t="e">
        <f t="shared" si="35"/>
        <v>#REF!</v>
      </c>
      <c r="L111" s="829" t="e">
        <f>K112</f>
        <v>#REF!</v>
      </c>
      <c r="M111" s="314" t="e">
        <f>M100-M110</f>
        <v>#REF!</v>
      </c>
      <c r="N111" s="315" t="e">
        <f>N100-N110</f>
        <v>#REF!</v>
      </c>
      <c r="O111" s="315" t="e">
        <f>O100-O110</f>
        <v>#REF!</v>
      </c>
      <c r="P111" s="337" t="e">
        <f>P100-P110</f>
        <v>#REF!</v>
      </c>
      <c r="Q111" s="819" t="e">
        <f>P112</f>
        <v>#REF!</v>
      </c>
      <c r="R111" s="314" t="e">
        <f>R100-R110</f>
        <v>#REF!</v>
      </c>
      <c r="S111" s="315" t="e">
        <f>S100-S110</f>
        <v>#REF!</v>
      </c>
      <c r="T111" s="315" t="e">
        <f>T100-T110</f>
        <v>#REF!</v>
      </c>
      <c r="U111" s="337" t="e">
        <f>U100-U110</f>
        <v>#REF!</v>
      </c>
      <c r="V111" s="819" t="e">
        <f>U112</f>
        <v>#REF!</v>
      </c>
      <c r="W111" s="314" t="e">
        <f>W100-W110</f>
        <v>#REF!</v>
      </c>
      <c r="X111" s="315" t="e">
        <f>X100-X110</f>
        <v>#REF!</v>
      </c>
      <c r="Y111" s="315" t="e">
        <f>Y100-Y110</f>
        <v>#REF!</v>
      </c>
      <c r="Z111" s="337" t="e">
        <f>Z100-Z110</f>
        <v>#REF!</v>
      </c>
      <c r="AA111" s="819" t="e">
        <f>Z112</f>
        <v>#REF!</v>
      </c>
      <c r="AB111" s="338"/>
    </row>
    <row r="112" spans="1:33" ht="13.2" thickBot="1" x14ac:dyDescent="0.25">
      <c r="A112" s="787"/>
      <c r="B112" s="312" t="s">
        <v>331</v>
      </c>
      <c r="C112" s="339" t="e">
        <f>C111</f>
        <v>#REF!</v>
      </c>
      <c r="D112" s="340" t="e">
        <f>C112+D111</f>
        <v>#REF!</v>
      </c>
      <c r="E112" s="340" t="e">
        <f>D112+E111</f>
        <v>#REF!</v>
      </c>
      <c r="F112" s="341" t="e">
        <f>E112+F111</f>
        <v>#REF!</v>
      </c>
      <c r="G112" s="830"/>
      <c r="H112" s="339" t="e">
        <f>G111+H111</f>
        <v>#REF!</v>
      </c>
      <c r="I112" s="340" t="e">
        <f>H112+I111</f>
        <v>#REF!</v>
      </c>
      <c r="J112" s="340" t="e">
        <f>I112+J111</f>
        <v>#REF!</v>
      </c>
      <c r="K112" s="341" t="e">
        <f>J112+K111</f>
        <v>#REF!</v>
      </c>
      <c r="L112" s="831"/>
      <c r="M112" s="342" t="e">
        <f>L111+M111</f>
        <v>#REF!</v>
      </c>
      <c r="N112" s="343" t="e">
        <f>M112+N111</f>
        <v>#REF!</v>
      </c>
      <c r="O112" s="343" t="e">
        <f>N112+O111</f>
        <v>#REF!</v>
      </c>
      <c r="P112" s="344" t="e">
        <f>O112+P111</f>
        <v>#REF!</v>
      </c>
      <c r="Q112" s="820"/>
      <c r="R112" s="342" t="e">
        <f>Q111+R111</f>
        <v>#REF!</v>
      </c>
      <c r="S112" s="343" t="e">
        <f>R112+S111</f>
        <v>#REF!</v>
      </c>
      <c r="T112" s="343" t="e">
        <f>S112+T111</f>
        <v>#REF!</v>
      </c>
      <c r="U112" s="344" t="e">
        <f>T112+U111</f>
        <v>#REF!</v>
      </c>
      <c r="V112" s="820"/>
      <c r="W112" s="342" t="e">
        <f>V111+W111</f>
        <v>#REF!</v>
      </c>
      <c r="X112" s="343" t="e">
        <f>W112+X111</f>
        <v>#REF!</v>
      </c>
      <c r="Y112" s="343" t="e">
        <f>X112+Y111</f>
        <v>#REF!</v>
      </c>
      <c r="Z112" s="344" t="e">
        <f>Y112+Z111</f>
        <v>#REF!</v>
      </c>
      <c r="AA112" s="820"/>
      <c r="AB112" s="338"/>
    </row>
    <row r="113" spans="1:33" ht="13.2" thickBot="1" x14ac:dyDescent="0.25">
      <c r="A113" s="788"/>
      <c r="B113" s="313" t="s">
        <v>250</v>
      </c>
      <c r="C113" s="816" t="e">
        <f>MIN(C112:F112)</f>
        <v>#REF!</v>
      </c>
      <c r="D113" s="817"/>
      <c r="E113" s="817"/>
      <c r="F113" s="817"/>
      <c r="G113" s="818"/>
      <c r="H113" s="816" t="e">
        <f>MIN(H112:K112)</f>
        <v>#REF!</v>
      </c>
      <c r="I113" s="817"/>
      <c r="J113" s="817"/>
      <c r="K113" s="817"/>
      <c r="L113" s="818"/>
      <c r="M113" s="816" t="e">
        <f>MIN(M112:P112)</f>
        <v>#REF!</v>
      </c>
      <c r="N113" s="817"/>
      <c r="O113" s="817"/>
      <c r="P113" s="817"/>
      <c r="Q113" s="818"/>
      <c r="R113" s="816" t="e">
        <f>MIN(R112:U112)</f>
        <v>#REF!</v>
      </c>
      <c r="S113" s="817"/>
      <c r="T113" s="817"/>
      <c r="U113" s="817"/>
      <c r="V113" s="818"/>
      <c r="W113" s="816" t="e">
        <f>MIN(W112:Z112)</f>
        <v>#REF!</v>
      </c>
      <c r="X113" s="817"/>
      <c r="Y113" s="817"/>
      <c r="Z113" s="817"/>
      <c r="AA113" s="818"/>
      <c r="AB113" s="338"/>
    </row>
    <row r="116" spans="1:33" ht="7.95" customHeight="1" thickBot="1" x14ac:dyDescent="0.25">
      <c r="H116" s="261"/>
      <c r="K116" s="266"/>
      <c r="P116" s="266"/>
      <c r="U116" s="266"/>
      <c r="Z116" s="266"/>
    </row>
    <row r="117" spans="1:33" ht="13.05" customHeight="1" x14ac:dyDescent="0.2">
      <c r="A117" s="811" t="s">
        <v>186</v>
      </c>
      <c r="B117" s="812"/>
      <c r="C117" s="772">
        <v>2012</v>
      </c>
      <c r="D117" s="773"/>
      <c r="E117" s="773"/>
      <c r="F117" s="773"/>
      <c r="G117" s="774"/>
      <c r="H117" s="772">
        <v>2013</v>
      </c>
      <c r="I117" s="773"/>
      <c r="J117" s="773"/>
      <c r="K117" s="773"/>
      <c r="L117" s="774"/>
      <c r="M117" s="772">
        <v>2014</v>
      </c>
      <c r="N117" s="773"/>
      <c r="O117" s="773"/>
      <c r="P117" s="773"/>
      <c r="Q117" s="774"/>
      <c r="R117" s="772">
        <v>2015</v>
      </c>
      <c r="S117" s="773"/>
      <c r="T117" s="773"/>
      <c r="U117" s="773"/>
      <c r="V117" s="774"/>
      <c r="W117" s="772">
        <v>2016</v>
      </c>
      <c r="X117" s="773"/>
      <c r="Y117" s="773"/>
      <c r="Z117" s="773"/>
      <c r="AA117" s="774"/>
      <c r="AB117" s="778" t="s">
        <v>378</v>
      </c>
    </row>
    <row r="118" spans="1:33" ht="13.2" thickBot="1" x14ac:dyDescent="0.25">
      <c r="A118" s="813"/>
      <c r="B118" s="814"/>
      <c r="C118" s="192" t="s">
        <v>406</v>
      </c>
      <c r="D118" s="191" t="s">
        <v>407</v>
      </c>
      <c r="E118" s="191" t="s">
        <v>408</v>
      </c>
      <c r="F118" s="191" t="s">
        <v>409</v>
      </c>
      <c r="G118" s="193" t="s">
        <v>139</v>
      </c>
      <c r="H118" s="192" t="s">
        <v>406</v>
      </c>
      <c r="I118" s="191" t="s">
        <v>407</v>
      </c>
      <c r="J118" s="191" t="s">
        <v>408</v>
      </c>
      <c r="K118" s="191" t="s">
        <v>409</v>
      </c>
      <c r="L118" s="193" t="s">
        <v>139</v>
      </c>
      <c r="M118" s="192" t="s">
        <v>406</v>
      </c>
      <c r="N118" s="191" t="s">
        <v>407</v>
      </c>
      <c r="O118" s="191" t="s">
        <v>408</v>
      </c>
      <c r="P118" s="191" t="s">
        <v>409</v>
      </c>
      <c r="Q118" s="193" t="s">
        <v>139</v>
      </c>
      <c r="R118" s="192" t="s">
        <v>406</v>
      </c>
      <c r="S118" s="191" t="s">
        <v>407</v>
      </c>
      <c r="T118" s="191" t="s">
        <v>408</v>
      </c>
      <c r="U118" s="191" t="s">
        <v>409</v>
      </c>
      <c r="V118" s="193" t="s">
        <v>139</v>
      </c>
      <c r="W118" s="192" t="s">
        <v>406</v>
      </c>
      <c r="X118" s="191" t="s">
        <v>407</v>
      </c>
      <c r="Y118" s="191" t="s">
        <v>408</v>
      </c>
      <c r="Z118" s="191" t="s">
        <v>409</v>
      </c>
      <c r="AA118" s="193" t="s">
        <v>139</v>
      </c>
      <c r="AB118" s="779"/>
    </row>
    <row r="119" spans="1:33" x14ac:dyDescent="0.2">
      <c r="A119" s="807" t="s">
        <v>333</v>
      </c>
      <c r="B119" s="808"/>
      <c r="C119" s="314">
        <f>C28/Parameters!$J$21</f>
        <v>34615.384615384617</v>
      </c>
      <c r="D119" s="315">
        <f>D28/Parameters!$J$21</f>
        <v>103846.15384615384</v>
      </c>
      <c r="E119" s="315">
        <f>E28/Parameters!$J$21</f>
        <v>103846.15384615384</v>
      </c>
      <c r="F119" s="315">
        <f>F28/Parameters!$J$21</f>
        <v>103846.15384615384</v>
      </c>
      <c r="G119" s="316">
        <f>SUM(C119:F119)</f>
        <v>346153.84615384613</v>
      </c>
      <c r="H119" s="314">
        <f>H28/Parameters!$K$21</f>
        <v>346153.84615384613</v>
      </c>
      <c r="I119" s="315">
        <f>I28/Parameters!$K$21</f>
        <v>346153.84615384613</v>
      </c>
      <c r="J119" s="315">
        <f>J28/Parameters!$K$21</f>
        <v>346153.84615384613</v>
      </c>
      <c r="K119" s="315">
        <f>K28/Parameters!$K$21</f>
        <v>346153.84615384613</v>
      </c>
      <c r="L119" s="316">
        <f>SUM(H119:K119)</f>
        <v>1384615.3846153845</v>
      </c>
      <c r="M119" s="314">
        <f>M28/Parameters!$L$21</f>
        <v>450000</v>
      </c>
      <c r="N119" s="315">
        <f>N28/Parameters!$L$21</f>
        <v>450000</v>
      </c>
      <c r="O119" s="315">
        <f>O28/Parameters!$L$21</f>
        <v>450000</v>
      </c>
      <c r="P119" s="315">
        <f>P28/Parameters!$L$21</f>
        <v>450000</v>
      </c>
      <c r="Q119" s="316">
        <f>SUM(M119:P119)</f>
        <v>1800000</v>
      </c>
      <c r="R119" s="314">
        <f>R28/Parameters!$M$21</f>
        <v>463846.15384615381</v>
      </c>
      <c r="S119" s="315">
        <f>S28/Parameters!$M$21</f>
        <v>463846.15384615381</v>
      </c>
      <c r="T119" s="315">
        <f>T28/Parameters!$M$21</f>
        <v>463846.15384615381</v>
      </c>
      <c r="U119" s="315">
        <f>U28/Parameters!$M$21</f>
        <v>477692.30769230769</v>
      </c>
      <c r="V119" s="316">
        <f>SUM(R119:U119)</f>
        <v>1869230.7692307692</v>
      </c>
      <c r="W119" s="314">
        <f>W28/Parameters!$N$21</f>
        <v>567692.30769230763</v>
      </c>
      <c r="X119" s="315">
        <f>X28/Parameters!$N$21</f>
        <v>567692.30769230763</v>
      </c>
      <c r="Y119" s="315">
        <f>Y28/Parameters!$N$21</f>
        <v>567692.30769230763</v>
      </c>
      <c r="Z119" s="315">
        <f>Z28/Parameters!$N$21</f>
        <v>581538.4615384615</v>
      </c>
      <c r="AA119" s="316">
        <f>SUM(W119:Z119)</f>
        <v>2284615.3846153845</v>
      </c>
      <c r="AB119" s="317">
        <f>G119+L119+Q119+V119+AA119</f>
        <v>7684615.384615384</v>
      </c>
    </row>
    <row r="120" spans="1:33" x14ac:dyDescent="0.2">
      <c r="A120" s="801" t="s">
        <v>352</v>
      </c>
      <c r="B120" s="802"/>
      <c r="C120" s="318">
        <f>C29/Parameters!$J$21</f>
        <v>0</v>
      </c>
      <c r="D120" s="319">
        <f>D29/Parameters!$J$21</f>
        <v>22753.846153846152</v>
      </c>
      <c r="E120" s="319">
        <f>E29/Parameters!$J$21</f>
        <v>118096.15384615384</v>
      </c>
      <c r="F120" s="319">
        <f>F29/Parameters!$J$21</f>
        <v>267600</v>
      </c>
      <c r="G120" s="320">
        <f>SUM(C120:F120)</f>
        <v>408450</v>
      </c>
      <c r="H120" s="318">
        <f>H29/Parameters!$K$21</f>
        <v>417103.84615384613</v>
      </c>
      <c r="I120" s="319">
        <f>I29/Parameters!$K$21</f>
        <v>725884.61538461538</v>
      </c>
      <c r="J120" s="319">
        <f>J29/Parameters!$K$21</f>
        <v>1224230.7692307692</v>
      </c>
      <c r="K120" s="319">
        <f>K29/Parameters!$K$21</f>
        <v>1722576.923076923</v>
      </c>
      <c r="L120" s="320">
        <f>SUM(H120:K120)</f>
        <v>4089796.153846154</v>
      </c>
      <c r="M120" s="318">
        <f>M29/Parameters!$L$21</f>
        <v>2220923.076923077</v>
      </c>
      <c r="N120" s="319">
        <f>N29/Parameters!$L$21</f>
        <v>2787530.769230769</v>
      </c>
      <c r="O120" s="319">
        <f>O29/Parameters!$L$21</f>
        <v>3435380.769230769</v>
      </c>
      <c r="P120" s="319">
        <f>P29/Parameters!$L$21</f>
        <v>4083230.769230769</v>
      </c>
      <c r="Q120" s="320">
        <f>SUM(M120:P120)</f>
        <v>12527065.384615384</v>
      </c>
      <c r="R120" s="318">
        <f>R29/Parameters!$M$21</f>
        <v>4731080.769230769</v>
      </c>
      <c r="S120" s="319">
        <f>S29/Parameters!$M$21</f>
        <v>5388032.307692307</v>
      </c>
      <c r="T120" s="319">
        <f>T29/Parameters!$M$21</f>
        <v>6055816.153846154</v>
      </c>
      <c r="U120" s="319">
        <f>U29/Parameters!$M$21</f>
        <v>6723600</v>
      </c>
      <c r="V120" s="320">
        <f>SUM(R120:U120)</f>
        <v>22898529.230769232</v>
      </c>
      <c r="W120" s="318">
        <f>W29/Parameters!$N$21</f>
        <v>7400485.384615384</v>
      </c>
      <c r="X120" s="319">
        <f>X29/Parameters!$N$21</f>
        <v>8147363.076923077</v>
      </c>
      <c r="Y120" s="319">
        <f>Y29/Parameters!$N$21</f>
        <v>8964650.7692307681</v>
      </c>
      <c r="Z120" s="319">
        <f>Z29/Parameters!$N$21</f>
        <v>9781938.461538462</v>
      </c>
      <c r="AA120" s="320">
        <f>SUM(W120:Z120)</f>
        <v>34294437.692307688</v>
      </c>
      <c r="AB120" s="321">
        <f>G120+L120+Q120+V120+AA120</f>
        <v>74218278.461538464</v>
      </c>
    </row>
    <row r="121" spans="1:33" x14ac:dyDescent="0.2">
      <c r="A121" s="801" t="str">
        <f>A30</f>
        <v>Revenues (Upfront MG payback)</v>
      </c>
      <c r="B121" s="802"/>
      <c r="C121" s="318">
        <f>C30/Parameters!$J$21</f>
        <v>0</v>
      </c>
      <c r="D121" s="319">
        <f>D30/Parameters!$J$21</f>
        <v>-17307.692307692309</v>
      </c>
      <c r="E121" s="319">
        <f>E30/Parameters!$J$21</f>
        <v>-69230.769230769234</v>
      </c>
      <c r="F121" s="319">
        <f>F30/Parameters!$J$21</f>
        <v>-103846.15384615384</v>
      </c>
      <c r="G121" s="320">
        <f>SUM(C121:F121)</f>
        <v>-190384.61538461538</v>
      </c>
      <c r="H121" s="318">
        <f>H30/Parameters!$K$21</f>
        <v>-103846.15384615384</v>
      </c>
      <c r="I121" s="319">
        <f>I30/Parameters!$K$21</f>
        <v>-225000</v>
      </c>
      <c r="J121" s="319">
        <f>J30/Parameters!$K$21</f>
        <v>-346153.84615384613</v>
      </c>
      <c r="K121" s="319">
        <f>K30/Parameters!$K$21</f>
        <v>-346153.84615384613</v>
      </c>
      <c r="L121" s="320">
        <f>SUM(H121:K121)</f>
        <v>-1021153.8461538461</v>
      </c>
      <c r="M121" s="318">
        <f>M30/Parameters!$L$21</f>
        <v>-346153.84615384613</v>
      </c>
      <c r="N121" s="319">
        <f>N30/Parameters!$L$21</f>
        <v>-398076.92307692306</v>
      </c>
      <c r="O121" s="319">
        <f>O30/Parameters!$L$21</f>
        <v>-450000</v>
      </c>
      <c r="P121" s="319">
        <f>P30/Parameters!$L$21</f>
        <v>-450000</v>
      </c>
      <c r="Q121" s="320">
        <f>SUM(M121:P121)</f>
        <v>-1644230.7692307692</v>
      </c>
      <c r="R121" s="318">
        <f>R30/Parameters!$M$21</f>
        <v>-450000</v>
      </c>
      <c r="S121" s="319">
        <f>S30/Parameters!$M$21</f>
        <v>-456923.07692307694</v>
      </c>
      <c r="T121" s="319">
        <f>T30/Parameters!$M$21</f>
        <v>-463846.15384615381</v>
      </c>
      <c r="U121" s="319">
        <f>U30/Parameters!$M$21</f>
        <v>-463846.15384615381</v>
      </c>
      <c r="V121" s="320">
        <f>SUM(R121:U121)</f>
        <v>-1834615.3846153845</v>
      </c>
      <c r="W121" s="318">
        <f>W30/Parameters!$N$21</f>
        <v>-470769.23076923075</v>
      </c>
      <c r="X121" s="319">
        <f>X30/Parameters!$N$21</f>
        <v>-522692.30769230769</v>
      </c>
      <c r="Y121" s="319">
        <f>Y30/Parameters!$N$21</f>
        <v>-567692.30769230763</v>
      </c>
      <c r="Z121" s="319">
        <f>Z30/Parameters!$N$21</f>
        <v>-567692.30769230763</v>
      </c>
      <c r="AA121" s="320">
        <f>SUM(W121:Z121)</f>
        <v>-2128846.1538461535</v>
      </c>
      <c r="AB121" s="321">
        <f>G121+L121+Q121+V121+AA121</f>
        <v>-6819230.7692307699</v>
      </c>
      <c r="AC121" s="338"/>
      <c r="AD121" s="338"/>
      <c r="AE121" s="338"/>
      <c r="AF121" s="338"/>
      <c r="AG121" s="338"/>
    </row>
    <row r="122" spans="1:33" x14ac:dyDescent="0.2">
      <c r="A122" s="801" t="s">
        <v>237</v>
      </c>
      <c r="B122" s="802"/>
      <c r="C122" s="318">
        <f>C31/Parameters!$J$21</f>
        <v>0</v>
      </c>
      <c r="D122" s="319">
        <f>D31/Parameters!$J$21</f>
        <v>369230.76923076919</v>
      </c>
      <c r="E122" s="319">
        <f>E31/Parameters!$J$21</f>
        <v>1107692.3076923077</v>
      </c>
      <c r="F122" s="319">
        <f>F31/Parameters!$J$21</f>
        <v>1107692.3076923077</v>
      </c>
      <c r="G122" s="320">
        <f>SUM(C122:F122)</f>
        <v>2584615.384615385</v>
      </c>
      <c r="H122" s="318">
        <f>H31/Parameters!$K$21</f>
        <v>1107692.3076923077</v>
      </c>
      <c r="I122" s="319">
        <f>I31/Parameters!$K$21</f>
        <v>1084615.3846153845</v>
      </c>
      <c r="J122" s="319">
        <f>J31/Parameters!$K$21</f>
        <v>1084615.3846153845</v>
      </c>
      <c r="K122" s="319">
        <f>K31/Parameters!$K$21</f>
        <v>1084615.3846153845</v>
      </c>
      <c r="L122" s="320">
        <f>SUM(H122:K122)</f>
        <v>4361538.461538461</v>
      </c>
      <c r="M122" s="318">
        <f>M31/Parameters!$L$21</f>
        <v>1130769.2307692308</v>
      </c>
      <c r="N122" s="319">
        <f>N31/Parameters!$L$21</f>
        <v>1038461.5384615384</v>
      </c>
      <c r="O122" s="319">
        <f>O31/Parameters!$L$21</f>
        <v>1038461.5384615384</v>
      </c>
      <c r="P122" s="319">
        <f>P31/Parameters!$L$21</f>
        <v>1038461.5384615384</v>
      </c>
      <c r="Q122" s="320">
        <f>SUM(M122:P122)</f>
        <v>4246153.846153846</v>
      </c>
      <c r="R122" s="318">
        <f>R31/Parameters!$M$21</f>
        <v>1038461.5384615384</v>
      </c>
      <c r="S122" s="319">
        <f>S31/Parameters!$M$21</f>
        <v>461538.4615384615</v>
      </c>
      <c r="T122" s="319">
        <f>T31/Parameters!$M$21</f>
        <v>461538.4615384615</v>
      </c>
      <c r="U122" s="319">
        <f>U31/Parameters!$M$21</f>
        <v>461538.4615384615</v>
      </c>
      <c r="V122" s="320">
        <f>SUM(R122:U122)</f>
        <v>2423076.923076923</v>
      </c>
      <c r="W122" s="318">
        <f>W31/Parameters!$N$21</f>
        <v>461538.4615384615</v>
      </c>
      <c r="X122" s="319">
        <f>X31/Parameters!$N$21</f>
        <v>0</v>
      </c>
      <c r="Y122" s="319">
        <f>Y31/Parameters!$N$21</f>
        <v>0</v>
      </c>
      <c r="Z122" s="319">
        <f>Z31/Parameters!$N$21</f>
        <v>0</v>
      </c>
      <c r="AA122" s="320">
        <f>SUM(W122:Z122)</f>
        <v>461538.4615384615</v>
      </c>
      <c r="AB122" s="321">
        <f t="shared" ref="AB122:AB133" si="36">G122+L122+Q122+V122+AA122</f>
        <v>14076923.076923078</v>
      </c>
    </row>
    <row r="123" spans="1:33" ht="13.2" thickBot="1" x14ac:dyDescent="0.25">
      <c r="A123" s="801" t="s">
        <v>164</v>
      </c>
      <c r="B123" s="802"/>
      <c r="C123" s="318">
        <f>C32/Parameters!$J$21</f>
        <v>0</v>
      </c>
      <c r="D123" s="319">
        <f>D32/Parameters!$J$21</f>
        <v>0</v>
      </c>
      <c r="E123" s="319">
        <f>E32/Parameters!$J$21</f>
        <v>12000</v>
      </c>
      <c r="F123" s="319">
        <f>F32/Parameters!$J$21</f>
        <v>48000</v>
      </c>
      <c r="G123" s="320">
        <f>SUM(C123:F123)</f>
        <v>60000</v>
      </c>
      <c r="H123" s="318">
        <f>H32/Parameters!$K$21</f>
        <v>84000</v>
      </c>
      <c r="I123" s="319">
        <f>I32/Parameters!$K$21</f>
        <v>120000</v>
      </c>
      <c r="J123" s="319">
        <f>J32/Parameters!$K$21</f>
        <v>155249.99999999997</v>
      </c>
      <c r="K123" s="319">
        <f>K32/Parameters!$K$21</f>
        <v>190500</v>
      </c>
      <c r="L123" s="320">
        <f>SUM(H123:K123)</f>
        <v>549750</v>
      </c>
      <c r="M123" s="318">
        <f>M32/Parameters!$L$21</f>
        <v>225750</v>
      </c>
      <c r="N123" s="319">
        <f>N32/Parameters!$L$21</f>
        <v>262500</v>
      </c>
      <c r="O123" s="319">
        <f>O32/Parameters!$L$21</f>
        <v>296250</v>
      </c>
      <c r="P123" s="319">
        <f>P32/Parameters!$L$21</f>
        <v>330000</v>
      </c>
      <c r="Q123" s="320">
        <f>SUM(M123:P123)</f>
        <v>1114500</v>
      </c>
      <c r="R123" s="318">
        <f>R32/Parameters!$M$21</f>
        <v>363750</v>
      </c>
      <c r="S123" s="319">
        <f>S32/Parameters!$M$21</f>
        <v>397500</v>
      </c>
      <c r="T123" s="319">
        <f>T32/Parameters!$M$21</f>
        <v>412500</v>
      </c>
      <c r="U123" s="319">
        <f>U32/Parameters!$M$21</f>
        <v>427500</v>
      </c>
      <c r="V123" s="320">
        <f>SUM(R123:U123)</f>
        <v>1601250</v>
      </c>
      <c r="W123" s="318">
        <f>W32/Parameters!$N$21</f>
        <v>442500</v>
      </c>
      <c r="X123" s="319">
        <f>X32/Parameters!$N$21</f>
        <v>457500</v>
      </c>
      <c r="Y123" s="319">
        <f>Y32/Parameters!$N$21</f>
        <v>457500</v>
      </c>
      <c r="Z123" s="319">
        <f>Z32/Parameters!$N$21</f>
        <v>457500</v>
      </c>
      <c r="AA123" s="320">
        <f>SUM(W123:Z123)</f>
        <v>1815000</v>
      </c>
      <c r="AB123" s="321">
        <f t="shared" si="36"/>
        <v>5140500</v>
      </c>
    </row>
    <row r="124" spans="1:33" ht="13.2" thickBot="1" x14ac:dyDescent="0.25">
      <c r="A124" s="805" t="s">
        <v>222</v>
      </c>
      <c r="B124" s="806"/>
      <c r="C124" s="322">
        <f t="shared" ref="C124:AA124" si="37">SUM(C119:C123)</f>
        <v>34615.384615384617</v>
      </c>
      <c r="D124" s="323">
        <f t="shared" si="37"/>
        <v>478523.07692307688</v>
      </c>
      <c r="E124" s="323">
        <f t="shared" si="37"/>
        <v>1272403.8461538462</v>
      </c>
      <c r="F124" s="324">
        <f t="shared" si="37"/>
        <v>1423292.3076923077</v>
      </c>
      <c r="G124" s="325">
        <f t="shared" si="37"/>
        <v>3208834.615384616</v>
      </c>
      <c r="H124" s="322">
        <f t="shared" si="37"/>
        <v>1851103.846153846</v>
      </c>
      <c r="I124" s="323">
        <f t="shared" si="37"/>
        <v>2051653.846153846</v>
      </c>
      <c r="J124" s="323">
        <f t="shared" si="37"/>
        <v>2464096.153846154</v>
      </c>
      <c r="K124" s="324">
        <f t="shared" si="37"/>
        <v>2997692.3076923075</v>
      </c>
      <c r="L124" s="325">
        <f t="shared" si="37"/>
        <v>9364546.1538461521</v>
      </c>
      <c r="M124" s="322">
        <f t="shared" si="37"/>
        <v>3681288.461538462</v>
      </c>
      <c r="N124" s="323">
        <f t="shared" si="37"/>
        <v>4140415.3846153845</v>
      </c>
      <c r="O124" s="323">
        <f t="shared" si="37"/>
        <v>4770092.307692307</v>
      </c>
      <c r="P124" s="324">
        <f t="shared" si="37"/>
        <v>5451692.307692307</v>
      </c>
      <c r="Q124" s="325">
        <f t="shared" si="37"/>
        <v>18043488.46153846</v>
      </c>
      <c r="R124" s="322">
        <f t="shared" si="37"/>
        <v>6147138.461538461</v>
      </c>
      <c r="S124" s="323">
        <f t="shared" si="37"/>
        <v>6253993.846153846</v>
      </c>
      <c r="T124" s="323">
        <f t="shared" si="37"/>
        <v>6929854.615384616</v>
      </c>
      <c r="U124" s="324">
        <f t="shared" si="37"/>
        <v>7626484.615384616</v>
      </c>
      <c r="V124" s="325">
        <f t="shared" si="37"/>
        <v>26957471.53846154</v>
      </c>
      <c r="W124" s="322">
        <f t="shared" si="37"/>
        <v>8401446.9230769221</v>
      </c>
      <c r="X124" s="323">
        <f t="shared" si="37"/>
        <v>8649863.0769230761</v>
      </c>
      <c r="Y124" s="323">
        <f t="shared" si="37"/>
        <v>9422150.7692307681</v>
      </c>
      <c r="Z124" s="324">
        <f t="shared" si="37"/>
        <v>10253284.615384616</v>
      </c>
      <c r="AA124" s="325">
        <f t="shared" si="37"/>
        <v>36726745.384615384</v>
      </c>
      <c r="AB124" s="326">
        <f t="shared" si="36"/>
        <v>94301086.153846145</v>
      </c>
    </row>
    <row r="125" spans="1:33" x14ac:dyDescent="0.2">
      <c r="A125" s="807" t="s">
        <v>483</v>
      </c>
      <c r="B125" s="808"/>
      <c r="C125" s="314">
        <f>C34/Parameters!$J$21</f>
        <v>0</v>
      </c>
      <c r="D125" s="315">
        <f>D34/Parameters!$J$21</f>
        <v>20372.86153846154</v>
      </c>
      <c r="E125" s="315">
        <f>E34/Parameters!$J$21</f>
        <v>64941.230769230773</v>
      </c>
      <c r="F125" s="315">
        <f>F34/Parameters!$J$21</f>
        <v>76409.169230769228</v>
      </c>
      <c r="G125" s="316">
        <f t="shared" ref="G125:G133" si="38">SUM(C125:F125)</f>
        <v>161723.26153846155</v>
      </c>
      <c r="H125" s="314">
        <f>H34/Parameters!$K$21</f>
        <v>87877.107692307676</v>
      </c>
      <c r="I125" s="315">
        <f>I34/Parameters!$K$21</f>
        <v>111570.46153846152</v>
      </c>
      <c r="J125" s="315">
        <f>J34/Parameters!$K$21</f>
        <v>149796.92307692306</v>
      </c>
      <c r="K125" s="315">
        <f>K34/Parameters!$K$21</f>
        <v>188023.3846153846</v>
      </c>
      <c r="L125" s="316">
        <f t="shared" ref="L125:L133" si="39">SUM(H125:K125)</f>
        <v>537267.87692307681</v>
      </c>
      <c r="M125" s="314">
        <f>M34/Parameters!$L$21</f>
        <v>228557.53846153841</v>
      </c>
      <c r="N125" s="315">
        <f>N34/Parameters!$L$21</f>
        <v>267902.58461538458</v>
      </c>
      <c r="O125" s="315">
        <f>O34/Parameters!$L$21</f>
        <v>317596.9846153846</v>
      </c>
      <c r="P125" s="315">
        <f>P34/Parameters!$L$21</f>
        <v>367291.38461538457</v>
      </c>
      <c r="Q125" s="316">
        <f t="shared" ref="Q125:Q133" si="40">SUM(M125:P125)</f>
        <v>1181348.4923076921</v>
      </c>
      <c r="R125" s="314">
        <f>R34/Parameters!$M$21</f>
        <v>416985.78461538453</v>
      </c>
      <c r="S125" s="315">
        <f>S34/Parameters!$M$21</f>
        <v>438598.55999999994</v>
      </c>
      <c r="T125" s="315">
        <f>T34/Parameters!$M$21</f>
        <v>489822.0184615383</v>
      </c>
      <c r="U125" s="315">
        <f>U34/Parameters!$M$21</f>
        <v>541045.4769230769</v>
      </c>
      <c r="V125" s="316">
        <f t="shared" ref="V125:V133" si="41">SUM(R125:U125)</f>
        <v>1886451.8399999996</v>
      </c>
      <c r="W125" s="314">
        <f>W34/Parameters!$N$21</f>
        <v>593033.46461538447</v>
      </c>
      <c r="X125" s="315">
        <f>X34/Parameters!$N$21</f>
        <v>627678.49846153846</v>
      </c>
      <c r="Y125" s="315">
        <f>Y34/Parameters!$N$21</f>
        <v>690369.89538461517</v>
      </c>
      <c r="Z125" s="315">
        <f>Z34/Parameters!$N$21</f>
        <v>753061.29230769211</v>
      </c>
      <c r="AA125" s="316">
        <f t="shared" ref="AA125:AA133" si="42">SUM(W125:Z125)</f>
        <v>2664143.1507692304</v>
      </c>
      <c r="AB125" s="317">
        <f t="shared" si="36"/>
        <v>6430934.6215384603</v>
      </c>
    </row>
    <row r="126" spans="1:33" x14ac:dyDescent="0.2">
      <c r="A126" s="809" t="s">
        <v>87</v>
      </c>
      <c r="B126" s="810"/>
      <c r="C126" s="327">
        <f>C35/Parameters!$J$21</f>
        <v>281692.30769230769</v>
      </c>
      <c r="D126" s="327">
        <f>D35/Parameters!$J$21</f>
        <v>845076.92307692301</v>
      </c>
      <c r="E126" s="327">
        <f>E35/Parameters!$J$21</f>
        <v>845076.92307692301</v>
      </c>
      <c r="F126" s="327">
        <f>F35/Parameters!$J$21</f>
        <v>845076.92307692301</v>
      </c>
      <c r="G126" s="328">
        <f t="shared" si="38"/>
        <v>2816923.076923077</v>
      </c>
      <c r="H126" s="327">
        <f>H35/Parameters!$K$21</f>
        <v>848000</v>
      </c>
      <c r="I126" s="327">
        <f>I35/Parameters!$K$21</f>
        <v>848000</v>
      </c>
      <c r="J126" s="327">
        <f>J35/Parameters!$K$21</f>
        <v>848000</v>
      </c>
      <c r="K126" s="327">
        <f>K35/Parameters!$K$21</f>
        <v>877538.4615384615</v>
      </c>
      <c r="L126" s="328">
        <f t="shared" si="39"/>
        <v>3421538.4615384615</v>
      </c>
      <c r="M126" s="327">
        <f>M35/Parameters!$L$21</f>
        <v>768461.53846153838</v>
      </c>
      <c r="N126" s="327">
        <f>N35/Parameters!$L$21</f>
        <v>768461.53846153838</v>
      </c>
      <c r="O126" s="327">
        <f>O35/Parameters!$L$21</f>
        <v>768461.53846153838</v>
      </c>
      <c r="P126" s="327">
        <f>P35/Parameters!$L$21</f>
        <v>768461.53846153838</v>
      </c>
      <c r="Q126" s="328">
        <f t="shared" si="40"/>
        <v>3073846.1538461535</v>
      </c>
      <c r="R126" s="327">
        <f>R35/Parameters!$M$21</f>
        <v>421384.61538461538</v>
      </c>
      <c r="S126" s="327">
        <f>S35/Parameters!$M$21</f>
        <v>421384.61538461538</v>
      </c>
      <c r="T126" s="327">
        <f>T35/Parameters!$M$21</f>
        <v>421384.61538461538</v>
      </c>
      <c r="U126" s="327">
        <f>U35/Parameters!$M$21</f>
        <v>426615.38461538462</v>
      </c>
      <c r="V126" s="328">
        <f t="shared" si="41"/>
        <v>1690769.2307692305</v>
      </c>
      <c r="W126" s="327">
        <f>W35/Parameters!$N$21</f>
        <v>214461.53846153841</v>
      </c>
      <c r="X126" s="327">
        <f>X35/Parameters!$N$21</f>
        <v>214461.53846153841</v>
      </c>
      <c r="Y126" s="327">
        <f>Y35/Parameters!$N$21</f>
        <v>214461.53846153841</v>
      </c>
      <c r="Z126" s="327">
        <f>Z35/Parameters!$N$21</f>
        <v>219692.30769230763</v>
      </c>
      <c r="AA126" s="328">
        <f t="shared" si="42"/>
        <v>863076.92307692289</v>
      </c>
      <c r="AB126" s="329">
        <f t="shared" si="36"/>
        <v>11866153.846153844</v>
      </c>
    </row>
    <row r="127" spans="1:33" x14ac:dyDescent="0.2">
      <c r="A127" s="809" t="s">
        <v>391</v>
      </c>
      <c r="B127" s="810"/>
      <c r="C127" s="327">
        <f>C36/Parameters!$J$21</f>
        <v>3047.9156465535593</v>
      </c>
      <c r="D127" s="327">
        <f>D36/Parameters!$J$21</f>
        <v>15239.578232767799</v>
      </c>
      <c r="E127" s="327">
        <f>E36/Parameters!$J$21</f>
        <v>33527.072112089161</v>
      </c>
      <c r="F127" s="327">
        <f>F36/Parameters!$J$21</f>
        <v>51814.565991410513</v>
      </c>
      <c r="G127" s="328">
        <f t="shared" si="38"/>
        <v>103629.13198282104</v>
      </c>
      <c r="H127" s="327">
        <f>H36/Parameters!$K$21</f>
        <v>88417.012449571732</v>
      </c>
      <c r="I127" s="327">
        <f>I36/Parameters!$K$21</f>
        <v>143334.41148657279</v>
      </c>
      <c r="J127" s="327">
        <f>J36/Parameters!$K$21</f>
        <v>198251.81052357386</v>
      </c>
      <c r="K127" s="327">
        <f>K36/Parameters!$K$21</f>
        <v>253169.20956057496</v>
      </c>
      <c r="L127" s="328">
        <f t="shared" si="39"/>
        <v>683172.4440202933</v>
      </c>
      <c r="M127" s="327">
        <f>M36/Parameters!$L$21</f>
        <v>312754.5875157211</v>
      </c>
      <c r="N127" s="327">
        <f>N36/Parameters!$L$21</f>
        <v>377007.94438901235</v>
      </c>
      <c r="O127" s="327">
        <f>O36/Parameters!$L$21</f>
        <v>441261.30126230366</v>
      </c>
      <c r="P127" s="327">
        <f>P36/Parameters!$L$21</f>
        <v>505514.6581355948</v>
      </c>
      <c r="Q127" s="328">
        <f t="shared" si="40"/>
        <v>1636538.491302632</v>
      </c>
      <c r="R127" s="327">
        <f>R36/Parameters!$M$21</f>
        <v>565868.87967725901</v>
      </c>
      <c r="S127" s="327">
        <f>S36/Parameters!$M$21</f>
        <v>616228.134594189</v>
      </c>
      <c r="T127" s="327">
        <f>T36/Parameters!$M$21</f>
        <v>660491.55821801187</v>
      </c>
      <c r="U127" s="327">
        <f>U36/Parameters!$M$21</f>
        <v>705688.57762546372</v>
      </c>
      <c r="V127" s="328">
        <f t="shared" si="41"/>
        <v>2548277.1501149237</v>
      </c>
      <c r="W127" s="327">
        <f>W36/Parameters!$N$21</f>
        <v>739572.61283129337</v>
      </c>
      <c r="X127" s="327">
        <f>X36/Parameters!$N$21</f>
        <v>761210.06805187173</v>
      </c>
      <c r="Y127" s="327">
        <f>Y36/Parameters!$N$21</f>
        <v>782847.52327245008</v>
      </c>
      <c r="Z127" s="327">
        <f>Z36/Parameters!$N$21</f>
        <v>805418.57427665754</v>
      </c>
      <c r="AA127" s="328">
        <f t="shared" si="42"/>
        <v>3089048.7784322724</v>
      </c>
      <c r="AB127" s="329">
        <f t="shared" si="36"/>
        <v>8060665.9958529426</v>
      </c>
    </row>
    <row r="128" spans="1:33" x14ac:dyDescent="0.2">
      <c r="A128" s="809" t="s">
        <v>389</v>
      </c>
      <c r="B128" s="810"/>
      <c r="C128" s="327">
        <f>C37/Parameters!$J$21</f>
        <v>19384.615384615383</v>
      </c>
      <c r="D128" s="327">
        <f>D37/Parameters!$J$21</f>
        <v>58153.846153846149</v>
      </c>
      <c r="E128" s="327">
        <f>E37/Parameters!$J$21</f>
        <v>58153.846153846149</v>
      </c>
      <c r="F128" s="327">
        <f>F37/Parameters!$J$21</f>
        <v>58153.846153846149</v>
      </c>
      <c r="G128" s="328">
        <f t="shared" si="38"/>
        <v>193846.15384615384</v>
      </c>
      <c r="H128" s="327">
        <f>H37/Parameters!$K$21</f>
        <v>89538.461538461532</v>
      </c>
      <c r="I128" s="327">
        <f>I37/Parameters!$K$21</f>
        <v>89538.461538461532</v>
      </c>
      <c r="J128" s="327">
        <f>J37/Parameters!$K$21</f>
        <v>89538.461538461532</v>
      </c>
      <c r="K128" s="327">
        <f>K37/Parameters!$K$21</f>
        <v>91384.615384615376</v>
      </c>
      <c r="L128" s="328">
        <f t="shared" si="39"/>
        <v>360000</v>
      </c>
      <c r="M128" s="327">
        <f>M37/Parameters!$L$21</f>
        <v>101538.46153846153</v>
      </c>
      <c r="N128" s="327">
        <f>N37/Parameters!$L$21</f>
        <v>101538.46153846153</v>
      </c>
      <c r="O128" s="327">
        <f>O37/Parameters!$L$21</f>
        <v>101538.46153846153</v>
      </c>
      <c r="P128" s="327">
        <f>P37/Parameters!$L$21</f>
        <v>101538.46153846153</v>
      </c>
      <c r="Q128" s="328">
        <f t="shared" si="40"/>
        <v>406153.84615384613</v>
      </c>
      <c r="R128" s="327">
        <f>R37/Parameters!$M$21</f>
        <v>80307.692307692312</v>
      </c>
      <c r="S128" s="327">
        <f>S37/Parameters!$M$21</f>
        <v>80307.692307692312</v>
      </c>
      <c r="T128" s="327">
        <f>T37/Parameters!$M$21</f>
        <v>80307.692307692312</v>
      </c>
      <c r="U128" s="327">
        <f>U37/Parameters!$M$21</f>
        <v>82153.846153846156</v>
      </c>
      <c r="V128" s="328">
        <f t="shared" si="41"/>
        <v>323076.92307692312</v>
      </c>
      <c r="W128" s="327">
        <f>W37/Parameters!$N$21</f>
        <v>75692.307692307688</v>
      </c>
      <c r="X128" s="327">
        <f>X37/Parameters!$N$21</f>
        <v>75692.307692307688</v>
      </c>
      <c r="Y128" s="327">
        <f>Y37/Parameters!$N$21</f>
        <v>75692.307692307688</v>
      </c>
      <c r="Z128" s="327">
        <f>Z37/Parameters!$N$21</f>
        <v>77538.461538461532</v>
      </c>
      <c r="AA128" s="328">
        <f t="shared" si="42"/>
        <v>304615.38461538462</v>
      </c>
      <c r="AB128" s="329">
        <f t="shared" si="36"/>
        <v>1587692.3076923075</v>
      </c>
    </row>
    <row r="129" spans="1:33" x14ac:dyDescent="0.2">
      <c r="A129" s="809" t="s">
        <v>94</v>
      </c>
      <c r="B129" s="810"/>
      <c r="C129" s="327">
        <f>C38/Parameters!$J$21</f>
        <v>0</v>
      </c>
      <c r="D129" s="327">
        <f>D38/Parameters!$J$21</f>
        <v>13579.881656804731</v>
      </c>
      <c r="E129" s="327">
        <f>E38/Parameters!$J$21</f>
        <v>54319.526627218926</v>
      </c>
      <c r="F129" s="327">
        <f>F38/Parameters!$J$21</f>
        <v>95059.171597633118</v>
      </c>
      <c r="G129" s="328">
        <f t="shared" si="38"/>
        <v>162958.57988165677</v>
      </c>
      <c r="H129" s="327">
        <f>H38/Parameters!$K$21</f>
        <v>135798.81656804733</v>
      </c>
      <c r="I129" s="327">
        <f>I38/Parameters!$K$21</f>
        <v>203897.92899408282</v>
      </c>
      <c r="J129" s="327">
        <f>J38/Parameters!$K$21</f>
        <v>271997.0414201183</v>
      </c>
      <c r="K129" s="327">
        <f>K38/Parameters!$K$21</f>
        <v>340096.15384615381</v>
      </c>
      <c r="L129" s="328">
        <f t="shared" si="39"/>
        <v>951789.94082840229</v>
      </c>
      <c r="M129" s="327">
        <f>M38/Parameters!$L$21</f>
        <v>409393.49112426036</v>
      </c>
      <c r="N129" s="327">
        <f>N38/Parameters!$L$21</f>
        <v>488276.62721893488</v>
      </c>
      <c r="O129" s="327">
        <f>O38/Parameters!$L$21</f>
        <v>567159.76331360941</v>
      </c>
      <c r="P129" s="327">
        <f>P38/Parameters!$L$21</f>
        <v>646042.89940828399</v>
      </c>
      <c r="Q129" s="328">
        <f t="shared" si="40"/>
        <v>2110872.7810650887</v>
      </c>
      <c r="R129" s="327">
        <f>R38/Parameters!$M$21</f>
        <v>724926.03550295858</v>
      </c>
      <c r="S129" s="327">
        <f>S38/Parameters!$M$21</f>
        <v>790428.99408284028</v>
      </c>
      <c r="T129" s="327">
        <f>T38/Parameters!$M$21</f>
        <v>855931.95266272186</v>
      </c>
      <c r="U129" s="327">
        <f>U38/Parameters!$M$21</f>
        <v>921434.91124260344</v>
      </c>
      <c r="V129" s="328">
        <f t="shared" si="41"/>
        <v>3292721.8934911238</v>
      </c>
      <c r="W129" s="327">
        <f>W38/Parameters!$N$21</f>
        <v>988535.5029585798</v>
      </c>
      <c r="X129" s="327">
        <f>X38/Parameters!$N$21</f>
        <v>1054038.4615384615</v>
      </c>
      <c r="Y129" s="327">
        <f>Y38/Parameters!$N$21</f>
        <v>1119541.4201183431</v>
      </c>
      <c r="Z129" s="327">
        <f>Z38/Parameters!$N$21</f>
        <v>1185044.3786982247</v>
      </c>
      <c r="AA129" s="328">
        <f t="shared" si="42"/>
        <v>4347159.7633136092</v>
      </c>
      <c r="AB129" s="329">
        <f t="shared" si="36"/>
        <v>10865502.958579879</v>
      </c>
    </row>
    <row r="130" spans="1:33" x14ac:dyDescent="0.2">
      <c r="A130" s="809" t="s">
        <v>177</v>
      </c>
      <c r="B130" s="810"/>
      <c r="C130" s="327" t="e">
        <f>#REF!/Parameters!$J$21</f>
        <v>#REF!</v>
      </c>
      <c r="D130" s="327" t="e">
        <f>#REF!/Parameters!$J$21</f>
        <v>#REF!</v>
      </c>
      <c r="E130" s="327" t="e">
        <f>#REF!/Parameters!$J$21</f>
        <v>#REF!</v>
      </c>
      <c r="F130" s="327" t="e">
        <f>#REF!/Parameters!$J$21</f>
        <v>#REF!</v>
      </c>
      <c r="G130" s="328" t="e">
        <f t="shared" si="38"/>
        <v>#REF!</v>
      </c>
      <c r="H130" s="327" t="e">
        <f>#REF!/Parameters!$K$21</f>
        <v>#REF!</v>
      </c>
      <c r="I130" s="327" t="e">
        <f>#REF!/Parameters!$K$21</f>
        <v>#REF!</v>
      </c>
      <c r="J130" s="327" t="e">
        <f>#REF!/Parameters!$K$21</f>
        <v>#REF!</v>
      </c>
      <c r="K130" s="327" t="e">
        <f>#REF!/Parameters!$K$21</f>
        <v>#REF!</v>
      </c>
      <c r="L130" s="328" t="e">
        <f t="shared" si="39"/>
        <v>#REF!</v>
      </c>
      <c r="M130" s="327" t="e">
        <f>#REF!/Parameters!$L$21</f>
        <v>#REF!</v>
      </c>
      <c r="N130" s="327" t="e">
        <f>#REF!/Parameters!$L$21</f>
        <v>#REF!</v>
      </c>
      <c r="O130" s="327" t="e">
        <f>#REF!/Parameters!$L$21</f>
        <v>#REF!</v>
      </c>
      <c r="P130" s="327" t="e">
        <f>#REF!/Parameters!$L$21</f>
        <v>#REF!</v>
      </c>
      <c r="Q130" s="328" t="e">
        <f t="shared" si="40"/>
        <v>#REF!</v>
      </c>
      <c r="R130" s="327" t="e">
        <f>#REF!/Parameters!$M$21</f>
        <v>#REF!</v>
      </c>
      <c r="S130" s="327" t="e">
        <f>#REF!/Parameters!$M$21</f>
        <v>#REF!</v>
      </c>
      <c r="T130" s="327" t="e">
        <f>#REF!/Parameters!$M$21</f>
        <v>#REF!</v>
      </c>
      <c r="U130" s="327" t="e">
        <f>#REF!/Parameters!$M$21</f>
        <v>#REF!</v>
      </c>
      <c r="V130" s="328" t="e">
        <f t="shared" si="41"/>
        <v>#REF!</v>
      </c>
      <c r="W130" s="327" t="e">
        <f>#REF!/Parameters!$N$21</f>
        <v>#REF!</v>
      </c>
      <c r="X130" s="327" t="e">
        <f>#REF!/Parameters!$N$21</f>
        <v>#REF!</v>
      </c>
      <c r="Y130" s="327" t="e">
        <f>#REF!/Parameters!$N$21</f>
        <v>#REF!</v>
      </c>
      <c r="Z130" s="327" t="e">
        <f>#REF!/Parameters!$N$21</f>
        <v>#REF!</v>
      </c>
      <c r="AA130" s="328" t="e">
        <f t="shared" si="42"/>
        <v>#REF!</v>
      </c>
      <c r="AB130" s="329" t="e">
        <f t="shared" si="36"/>
        <v>#REF!</v>
      </c>
    </row>
    <row r="131" spans="1:33" x14ac:dyDescent="0.2">
      <c r="A131" s="801" t="s">
        <v>136</v>
      </c>
      <c r="B131" s="802"/>
      <c r="C131" s="327">
        <f>C39/Parameters!$J$21</f>
        <v>0</v>
      </c>
      <c r="D131" s="327">
        <f>D39/Parameters!$J$21</f>
        <v>0</v>
      </c>
      <c r="E131" s="327">
        <f>E39/Parameters!$J$21</f>
        <v>0</v>
      </c>
      <c r="F131" s="327">
        <f>F39/Parameters!$J$21</f>
        <v>0</v>
      </c>
      <c r="G131" s="328">
        <f t="shared" si="38"/>
        <v>0</v>
      </c>
      <c r="H131" s="327">
        <f>H39/Parameters!$K$21</f>
        <v>0</v>
      </c>
      <c r="I131" s="327">
        <f>I39/Parameters!$K$21</f>
        <v>0</v>
      </c>
      <c r="J131" s="327">
        <f>J39/Parameters!$K$21</f>
        <v>0</v>
      </c>
      <c r="K131" s="327">
        <f>K39/Parameters!$K$21</f>
        <v>0</v>
      </c>
      <c r="L131" s="328">
        <f t="shared" si="39"/>
        <v>0</v>
      </c>
      <c r="M131" s="327">
        <f>M39/Parameters!$L$21</f>
        <v>0</v>
      </c>
      <c r="N131" s="327">
        <f>N39/Parameters!$L$21</f>
        <v>0</v>
      </c>
      <c r="O131" s="327">
        <f>O39/Parameters!$L$21</f>
        <v>0</v>
      </c>
      <c r="P131" s="327">
        <f>P39/Parameters!$L$21</f>
        <v>0</v>
      </c>
      <c r="Q131" s="328">
        <f t="shared" si="40"/>
        <v>0</v>
      </c>
      <c r="R131" s="327">
        <f>R39/Parameters!$M$21</f>
        <v>0</v>
      </c>
      <c r="S131" s="327">
        <f>S39/Parameters!$M$21</f>
        <v>0</v>
      </c>
      <c r="T131" s="327">
        <f>T39/Parameters!$M$21</f>
        <v>0</v>
      </c>
      <c r="U131" s="327">
        <f>U39/Parameters!$M$21</f>
        <v>0</v>
      </c>
      <c r="V131" s="328">
        <f t="shared" si="41"/>
        <v>0</v>
      </c>
      <c r="W131" s="327">
        <f>W39/Parameters!$N$21</f>
        <v>0</v>
      </c>
      <c r="X131" s="327">
        <f>X39/Parameters!$N$21</f>
        <v>0</v>
      </c>
      <c r="Y131" s="327">
        <f>Y39/Parameters!$N$21</f>
        <v>0</v>
      </c>
      <c r="Z131" s="327">
        <f>Z39/Parameters!$N$21</f>
        <v>0</v>
      </c>
      <c r="AA131" s="328">
        <f t="shared" si="42"/>
        <v>0</v>
      </c>
      <c r="AB131" s="329">
        <f t="shared" si="36"/>
        <v>0</v>
      </c>
    </row>
    <row r="132" spans="1:33" x14ac:dyDescent="0.2">
      <c r="A132" s="801" t="s">
        <v>380</v>
      </c>
      <c r="B132" s="802"/>
      <c r="C132" s="327">
        <f>C40/Parameters!$J$21</f>
        <v>186526.92307692306</v>
      </c>
      <c r="D132" s="327">
        <f>D40/Parameters!$J$21</f>
        <v>186526.92307692306</v>
      </c>
      <c r="E132" s="327">
        <f>E40/Parameters!$J$21</f>
        <v>186526.92307692306</v>
      </c>
      <c r="F132" s="327">
        <f>F40/Parameters!$J$21</f>
        <v>186526.92307692306</v>
      </c>
      <c r="G132" s="328">
        <f t="shared" si="38"/>
        <v>746107.69230769225</v>
      </c>
      <c r="H132" s="327">
        <f>H40/Parameters!$K$21</f>
        <v>198988.46153846153</v>
      </c>
      <c r="I132" s="327">
        <f>I40/Parameters!$K$21</f>
        <v>198988.46153846153</v>
      </c>
      <c r="J132" s="327">
        <f>J40/Parameters!$K$21</f>
        <v>198988.46153846153</v>
      </c>
      <c r="K132" s="327">
        <f>K40/Parameters!$K$21</f>
        <v>198988.46153846153</v>
      </c>
      <c r="L132" s="328">
        <f t="shared" si="39"/>
        <v>795953.84615384613</v>
      </c>
      <c r="M132" s="327">
        <f>M40/Parameters!$L$21</f>
        <v>203215.03846153844</v>
      </c>
      <c r="N132" s="327">
        <f>N40/Parameters!$L$21</f>
        <v>203215.03846153844</v>
      </c>
      <c r="O132" s="327">
        <f>O40/Parameters!$L$21</f>
        <v>203215.03846153844</v>
      </c>
      <c r="P132" s="327">
        <f>P40/Parameters!$L$21</f>
        <v>203215.03846153844</v>
      </c>
      <c r="Q132" s="328">
        <f t="shared" si="40"/>
        <v>812860.15384615376</v>
      </c>
      <c r="R132" s="327">
        <f>R40/Parameters!$M$21</f>
        <v>212494.1896153847</v>
      </c>
      <c r="S132" s="327">
        <f>S40/Parameters!$M$21</f>
        <v>212494.1896153847</v>
      </c>
      <c r="T132" s="327">
        <f>T40/Parameters!$M$21</f>
        <v>212494.1896153847</v>
      </c>
      <c r="U132" s="327">
        <f>U40/Parameters!$M$21</f>
        <v>212494.1896153847</v>
      </c>
      <c r="V132" s="328">
        <f t="shared" si="41"/>
        <v>849976.75846153882</v>
      </c>
      <c r="W132" s="327">
        <f>W40/Parameters!$N$21</f>
        <v>218869.01530384619</v>
      </c>
      <c r="X132" s="327">
        <f>X40/Parameters!$N$21</f>
        <v>218869.01530384619</v>
      </c>
      <c r="Y132" s="327">
        <f>Y40/Parameters!$N$21</f>
        <v>218869.01530384619</v>
      </c>
      <c r="Z132" s="327">
        <f>Z40/Parameters!$N$21</f>
        <v>218869.01530384619</v>
      </c>
      <c r="AA132" s="328">
        <f t="shared" si="42"/>
        <v>875476.06121538475</v>
      </c>
      <c r="AB132" s="329">
        <f t="shared" si="36"/>
        <v>4080374.5119846156</v>
      </c>
    </row>
    <row r="133" spans="1:33" ht="13.2" thickBot="1" x14ac:dyDescent="0.25">
      <c r="A133" s="801" t="s">
        <v>86</v>
      </c>
      <c r="B133" s="802"/>
      <c r="C133" s="327">
        <f>C41/Parameters!$J$21</f>
        <v>0</v>
      </c>
      <c r="D133" s="327">
        <f>D41/Parameters!$J$21</f>
        <v>0</v>
      </c>
      <c r="E133" s="327">
        <f>E41/Parameters!$J$21</f>
        <v>846153.84615384613</v>
      </c>
      <c r="F133" s="327">
        <f>F41/Parameters!$J$21</f>
        <v>0</v>
      </c>
      <c r="G133" s="328">
        <f t="shared" si="38"/>
        <v>846153.84615384613</v>
      </c>
      <c r="H133" s="327">
        <f>H41/Parameters!$K$21</f>
        <v>0</v>
      </c>
      <c r="I133" s="327">
        <f>I41/Parameters!$K$21</f>
        <v>146153.84615384616</v>
      </c>
      <c r="J133" s="327">
        <f>J41/Parameters!$K$21</f>
        <v>0</v>
      </c>
      <c r="K133" s="327">
        <f>K41/Parameters!$K$21</f>
        <v>0</v>
      </c>
      <c r="L133" s="328">
        <f t="shared" si="39"/>
        <v>146153.84615384616</v>
      </c>
      <c r="M133" s="327">
        <f>M41/Parameters!$L$21</f>
        <v>0</v>
      </c>
      <c r="N133" s="327">
        <f>N41/Parameters!$L$21</f>
        <v>0</v>
      </c>
      <c r="O133" s="327">
        <f>O41/Parameters!$L$21</f>
        <v>0</v>
      </c>
      <c r="P133" s="327">
        <f>P41/Parameters!$L$21</f>
        <v>0</v>
      </c>
      <c r="Q133" s="328">
        <f t="shared" si="40"/>
        <v>0</v>
      </c>
      <c r="R133" s="327">
        <f>R41/Parameters!$M$21</f>
        <v>0</v>
      </c>
      <c r="S133" s="327">
        <f>S41/Parameters!$M$21</f>
        <v>0</v>
      </c>
      <c r="T133" s="327">
        <f>T41/Parameters!$M$21</f>
        <v>0</v>
      </c>
      <c r="U133" s="327">
        <f>U41/Parameters!$M$21</f>
        <v>0</v>
      </c>
      <c r="V133" s="328">
        <f t="shared" si="41"/>
        <v>0</v>
      </c>
      <c r="W133" s="327">
        <f>W41/Parameters!$N$21</f>
        <v>0</v>
      </c>
      <c r="X133" s="327">
        <f>X41/Parameters!$N$21</f>
        <v>0</v>
      </c>
      <c r="Y133" s="327">
        <f>Y41/Parameters!$N$21</f>
        <v>0</v>
      </c>
      <c r="Z133" s="327">
        <f>Z41/Parameters!$N$21</f>
        <v>0</v>
      </c>
      <c r="AA133" s="328">
        <f t="shared" si="42"/>
        <v>0</v>
      </c>
      <c r="AB133" s="329">
        <f t="shared" si="36"/>
        <v>992307.69230769225</v>
      </c>
    </row>
    <row r="134" spans="1:33" ht="13.2" thickBot="1" x14ac:dyDescent="0.25">
      <c r="A134" s="796" t="s">
        <v>137</v>
      </c>
      <c r="B134" s="797"/>
      <c r="C134" s="330" t="e">
        <f t="shared" ref="C134:AB134" si="43">SUM(C125:C133)</f>
        <v>#REF!</v>
      </c>
      <c r="D134" s="331" t="e">
        <f t="shared" si="43"/>
        <v>#REF!</v>
      </c>
      <c r="E134" s="331" t="e">
        <f t="shared" si="43"/>
        <v>#REF!</v>
      </c>
      <c r="F134" s="332" t="e">
        <f t="shared" si="43"/>
        <v>#REF!</v>
      </c>
      <c r="G134" s="333" t="e">
        <f t="shared" si="43"/>
        <v>#REF!</v>
      </c>
      <c r="H134" s="322" t="e">
        <f t="shared" si="43"/>
        <v>#REF!</v>
      </c>
      <c r="I134" s="323" t="e">
        <f t="shared" si="43"/>
        <v>#REF!</v>
      </c>
      <c r="J134" s="323" t="e">
        <f t="shared" si="43"/>
        <v>#REF!</v>
      </c>
      <c r="K134" s="324" t="e">
        <f t="shared" si="43"/>
        <v>#REF!</v>
      </c>
      <c r="L134" s="325" t="e">
        <f t="shared" si="43"/>
        <v>#REF!</v>
      </c>
      <c r="M134" s="322" t="e">
        <f t="shared" si="43"/>
        <v>#REF!</v>
      </c>
      <c r="N134" s="323" t="e">
        <f t="shared" si="43"/>
        <v>#REF!</v>
      </c>
      <c r="O134" s="323" t="e">
        <f t="shared" si="43"/>
        <v>#REF!</v>
      </c>
      <c r="P134" s="324" t="e">
        <f t="shared" si="43"/>
        <v>#REF!</v>
      </c>
      <c r="Q134" s="325" t="e">
        <f t="shared" si="43"/>
        <v>#REF!</v>
      </c>
      <c r="R134" s="322" t="e">
        <f t="shared" si="43"/>
        <v>#REF!</v>
      </c>
      <c r="S134" s="323" t="e">
        <f t="shared" si="43"/>
        <v>#REF!</v>
      </c>
      <c r="T134" s="323" t="e">
        <f t="shared" si="43"/>
        <v>#REF!</v>
      </c>
      <c r="U134" s="324" t="e">
        <f t="shared" si="43"/>
        <v>#REF!</v>
      </c>
      <c r="V134" s="325" t="e">
        <f t="shared" si="43"/>
        <v>#REF!</v>
      </c>
      <c r="W134" s="322" t="e">
        <f t="shared" si="43"/>
        <v>#REF!</v>
      </c>
      <c r="X134" s="323" t="e">
        <f t="shared" si="43"/>
        <v>#REF!</v>
      </c>
      <c r="Y134" s="323" t="e">
        <f t="shared" si="43"/>
        <v>#REF!</v>
      </c>
      <c r="Z134" s="324" t="e">
        <f t="shared" si="43"/>
        <v>#REF!</v>
      </c>
      <c r="AA134" s="325" t="e">
        <f t="shared" si="43"/>
        <v>#REF!</v>
      </c>
      <c r="AB134" s="326" t="e">
        <f t="shared" si="43"/>
        <v>#REF!</v>
      </c>
    </row>
    <row r="135" spans="1:33" x14ac:dyDescent="0.2">
      <c r="A135" s="815" t="s">
        <v>308</v>
      </c>
      <c r="B135" s="311" t="s">
        <v>309</v>
      </c>
      <c r="C135" s="334" t="e">
        <f t="shared" ref="C135:K135" si="44">C124-C134</f>
        <v>#REF!</v>
      </c>
      <c r="D135" s="335" t="e">
        <f t="shared" si="44"/>
        <v>#REF!</v>
      </c>
      <c r="E135" s="335" t="e">
        <f t="shared" si="44"/>
        <v>#REF!</v>
      </c>
      <c r="F135" s="336" t="e">
        <f t="shared" si="44"/>
        <v>#REF!</v>
      </c>
      <c r="G135" s="829" t="e">
        <f t="shared" si="44"/>
        <v>#REF!</v>
      </c>
      <c r="H135" s="334" t="e">
        <f t="shared" si="44"/>
        <v>#REF!</v>
      </c>
      <c r="I135" s="335" t="e">
        <f t="shared" si="44"/>
        <v>#REF!</v>
      </c>
      <c r="J135" s="335" t="e">
        <f t="shared" si="44"/>
        <v>#REF!</v>
      </c>
      <c r="K135" s="336" t="e">
        <f t="shared" si="44"/>
        <v>#REF!</v>
      </c>
      <c r="L135" s="829" t="e">
        <f>K136</f>
        <v>#REF!</v>
      </c>
      <c r="M135" s="314" t="e">
        <f>M124-M134</f>
        <v>#REF!</v>
      </c>
      <c r="N135" s="315" t="e">
        <f>N124-N134</f>
        <v>#REF!</v>
      </c>
      <c r="O135" s="315" t="e">
        <f>O124-O134</f>
        <v>#REF!</v>
      </c>
      <c r="P135" s="337" t="e">
        <f>P124-P134</f>
        <v>#REF!</v>
      </c>
      <c r="Q135" s="819" t="e">
        <f>P136</f>
        <v>#REF!</v>
      </c>
      <c r="R135" s="314" t="e">
        <f>R124-R134</f>
        <v>#REF!</v>
      </c>
      <c r="S135" s="315" t="e">
        <f>S124-S134</f>
        <v>#REF!</v>
      </c>
      <c r="T135" s="315" t="e">
        <f>T124-T134</f>
        <v>#REF!</v>
      </c>
      <c r="U135" s="337" t="e">
        <f>U124-U134</f>
        <v>#REF!</v>
      </c>
      <c r="V135" s="819" t="e">
        <f>U136</f>
        <v>#REF!</v>
      </c>
      <c r="W135" s="314" t="e">
        <f>W124-W134</f>
        <v>#REF!</v>
      </c>
      <c r="X135" s="315" t="e">
        <f>X124-X134</f>
        <v>#REF!</v>
      </c>
      <c r="Y135" s="315" t="e">
        <f>Y124-Y134</f>
        <v>#REF!</v>
      </c>
      <c r="Z135" s="337" t="e">
        <f>Z124-Z134</f>
        <v>#REF!</v>
      </c>
      <c r="AA135" s="819" t="e">
        <f>Z136</f>
        <v>#REF!</v>
      </c>
      <c r="AB135" s="338"/>
    </row>
    <row r="136" spans="1:33" ht="13.2" thickBot="1" x14ac:dyDescent="0.25">
      <c r="A136" s="787"/>
      <c r="B136" s="312" t="s">
        <v>331</v>
      </c>
      <c r="C136" s="339" t="e">
        <f>C135</f>
        <v>#REF!</v>
      </c>
      <c r="D136" s="340" t="e">
        <f>C136+D135</f>
        <v>#REF!</v>
      </c>
      <c r="E136" s="340" t="e">
        <f>D136+E135</f>
        <v>#REF!</v>
      </c>
      <c r="F136" s="341" t="e">
        <f>E136+F135</f>
        <v>#REF!</v>
      </c>
      <c r="G136" s="830"/>
      <c r="H136" s="339" t="e">
        <f>G135+H135</f>
        <v>#REF!</v>
      </c>
      <c r="I136" s="340" t="e">
        <f>H136+I135</f>
        <v>#REF!</v>
      </c>
      <c r="J136" s="340" t="e">
        <f>I136+J135</f>
        <v>#REF!</v>
      </c>
      <c r="K136" s="341" t="e">
        <f>J136+K135</f>
        <v>#REF!</v>
      </c>
      <c r="L136" s="831"/>
      <c r="M136" s="342" t="e">
        <f>L135+M135</f>
        <v>#REF!</v>
      </c>
      <c r="N136" s="343" t="e">
        <f>M136+N135</f>
        <v>#REF!</v>
      </c>
      <c r="O136" s="343" t="e">
        <f>N136+O135</f>
        <v>#REF!</v>
      </c>
      <c r="P136" s="344" t="e">
        <f>O136+P135</f>
        <v>#REF!</v>
      </c>
      <c r="Q136" s="820"/>
      <c r="R136" s="342" t="e">
        <f>Q135+R135</f>
        <v>#REF!</v>
      </c>
      <c r="S136" s="343" t="e">
        <f>R136+S135</f>
        <v>#REF!</v>
      </c>
      <c r="T136" s="343" t="e">
        <f>S136+T135</f>
        <v>#REF!</v>
      </c>
      <c r="U136" s="344" t="e">
        <f>T136+U135</f>
        <v>#REF!</v>
      </c>
      <c r="V136" s="820"/>
      <c r="W136" s="342" t="e">
        <f>V135+W135</f>
        <v>#REF!</v>
      </c>
      <c r="X136" s="343" t="e">
        <f>W136+X135</f>
        <v>#REF!</v>
      </c>
      <c r="Y136" s="343" t="e">
        <f>X136+Y135</f>
        <v>#REF!</v>
      </c>
      <c r="Z136" s="344" t="e">
        <f>Y136+Z135</f>
        <v>#REF!</v>
      </c>
      <c r="AA136" s="820"/>
      <c r="AB136" s="338"/>
    </row>
    <row r="137" spans="1:33" ht="13.2" thickBot="1" x14ac:dyDescent="0.25">
      <c r="A137" s="788"/>
      <c r="B137" s="313" t="s">
        <v>250</v>
      </c>
      <c r="C137" s="816" t="e">
        <f>MIN(C136:F136)</f>
        <v>#REF!</v>
      </c>
      <c r="D137" s="817"/>
      <c r="E137" s="817"/>
      <c r="F137" s="817"/>
      <c r="G137" s="818"/>
      <c r="H137" s="816" t="e">
        <f>MIN(H136:K136)</f>
        <v>#REF!</v>
      </c>
      <c r="I137" s="817"/>
      <c r="J137" s="817"/>
      <c r="K137" s="817"/>
      <c r="L137" s="818"/>
      <c r="M137" s="816" t="e">
        <f>MIN(M136:P136)</f>
        <v>#REF!</v>
      </c>
      <c r="N137" s="817"/>
      <c r="O137" s="817"/>
      <c r="P137" s="817"/>
      <c r="Q137" s="818"/>
      <c r="R137" s="816" t="e">
        <f>MIN(R136:U136)</f>
        <v>#REF!</v>
      </c>
      <c r="S137" s="817"/>
      <c r="T137" s="817"/>
      <c r="U137" s="817"/>
      <c r="V137" s="818"/>
      <c r="W137" s="816" t="e">
        <f>MIN(W136:Z136)</f>
        <v>#REF!</v>
      </c>
      <c r="X137" s="817"/>
      <c r="Y137" s="817"/>
      <c r="Z137" s="817"/>
      <c r="AA137" s="818"/>
      <c r="AB137" s="338"/>
    </row>
    <row r="139" spans="1:33" ht="13.2" thickBot="1" x14ac:dyDescent="0.25"/>
    <row r="140" spans="1:33" ht="13.05" customHeight="1" x14ac:dyDescent="0.2">
      <c r="A140" s="811" t="s">
        <v>186</v>
      </c>
      <c r="B140" s="812"/>
      <c r="C140" s="772">
        <v>2012</v>
      </c>
      <c r="D140" s="773"/>
      <c r="E140" s="773"/>
      <c r="F140" s="773"/>
      <c r="G140" s="774"/>
      <c r="H140" s="772">
        <v>2013</v>
      </c>
      <c r="I140" s="773"/>
      <c r="J140" s="773"/>
      <c r="K140" s="773"/>
      <c r="L140" s="774"/>
      <c r="M140" s="772">
        <v>2014</v>
      </c>
      <c r="N140" s="773"/>
      <c r="O140" s="773"/>
      <c r="P140" s="773"/>
      <c r="Q140" s="774"/>
      <c r="R140" s="772">
        <v>2015</v>
      </c>
      <c r="S140" s="773"/>
      <c r="T140" s="773"/>
      <c r="U140" s="773"/>
      <c r="V140" s="774"/>
      <c r="W140" s="772">
        <v>2016</v>
      </c>
      <c r="X140" s="773"/>
      <c r="Y140" s="773"/>
      <c r="Z140" s="773"/>
      <c r="AA140" s="774"/>
      <c r="AB140" s="778" t="s">
        <v>378</v>
      </c>
    </row>
    <row r="141" spans="1:33" ht="13.2" thickBot="1" x14ac:dyDescent="0.25">
      <c r="A141" s="813"/>
      <c r="B141" s="814"/>
      <c r="C141" s="192" t="s">
        <v>406</v>
      </c>
      <c r="D141" s="191" t="s">
        <v>407</v>
      </c>
      <c r="E141" s="191" t="s">
        <v>408</v>
      </c>
      <c r="F141" s="191" t="s">
        <v>409</v>
      </c>
      <c r="G141" s="193" t="s">
        <v>139</v>
      </c>
      <c r="H141" s="192" t="s">
        <v>406</v>
      </c>
      <c r="I141" s="191" t="s">
        <v>407</v>
      </c>
      <c r="J141" s="191" t="s">
        <v>408</v>
      </c>
      <c r="K141" s="191" t="s">
        <v>409</v>
      </c>
      <c r="L141" s="193" t="s">
        <v>139</v>
      </c>
      <c r="M141" s="192" t="s">
        <v>406</v>
      </c>
      <c r="N141" s="191" t="s">
        <v>407</v>
      </c>
      <c r="O141" s="191" t="s">
        <v>408</v>
      </c>
      <c r="P141" s="191" t="s">
        <v>409</v>
      </c>
      <c r="Q141" s="193" t="s">
        <v>139</v>
      </c>
      <c r="R141" s="192" t="s">
        <v>406</v>
      </c>
      <c r="S141" s="191" t="s">
        <v>407</v>
      </c>
      <c r="T141" s="191" t="s">
        <v>408</v>
      </c>
      <c r="U141" s="191" t="s">
        <v>409</v>
      </c>
      <c r="V141" s="193" t="s">
        <v>139</v>
      </c>
      <c r="W141" s="192" t="s">
        <v>406</v>
      </c>
      <c r="X141" s="191" t="s">
        <v>407</v>
      </c>
      <c r="Y141" s="191" t="s">
        <v>408</v>
      </c>
      <c r="Z141" s="191" t="s">
        <v>409</v>
      </c>
      <c r="AA141" s="193" t="s">
        <v>139</v>
      </c>
      <c r="AB141" s="779"/>
    </row>
    <row r="142" spans="1:33" x14ac:dyDescent="0.2">
      <c r="A142" s="807" t="s">
        <v>333</v>
      </c>
      <c r="B142" s="808"/>
      <c r="C142" s="314">
        <f>C51/Parameters!$J$21</f>
        <v>0</v>
      </c>
      <c r="D142" s="315">
        <f>D51/Parameters!$J$21</f>
        <v>0</v>
      </c>
      <c r="E142" s="315">
        <f>E51/Parameters!$J$21</f>
        <v>62307.692307692305</v>
      </c>
      <c r="F142" s="315">
        <f>F51/Parameters!$J$21</f>
        <v>145384.61538461538</v>
      </c>
      <c r="G142" s="316">
        <f>SUM(C142:F142)</f>
        <v>207692.30769230769</v>
      </c>
      <c r="H142" s="314">
        <f>H51/Parameters!$K$21</f>
        <v>373846.15384615381</v>
      </c>
      <c r="I142" s="315">
        <f>I51/Parameters!$K$21</f>
        <v>373846.15384615381</v>
      </c>
      <c r="J142" s="315">
        <f>J51/Parameters!$K$21</f>
        <v>443076.92307692306</v>
      </c>
      <c r="K142" s="315">
        <f>K51/Parameters!$K$21</f>
        <v>470769.23076923075</v>
      </c>
      <c r="L142" s="316">
        <f>SUM(H142:K142)</f>
        <v>1661538.4615384615</v>
      </c>
      <c r="M142" s="314">
        <f>M51/Parameters!$L$21</f>
        <v>706153.84615384613</v>
      </c>
      <c r="N142" s="315">
        <f>N51/Parameters!$L$21</f>
        <v>706153.84615384613</v>
      </c>
      <c r="O142" s="315">
        <f>O51/Parameters!$L$21</f>
        <v>706153.84615384613</v>
      </c>
      <c r="P142" s="315">
        <f>P51/Parameters!$L$21</f>
        <v>720000</v>
      </c>
      <c r="Q142" s="316">
        <f>SUM(M142:P142)</f>
        <v>2838461.5384615385</v>
      </c>
      <c r="R142" s="314">
        <f>R51/Parameters!$M$21</f>
        <v>927692.30769230763</v>
      </c>
      <c r="S142" s="315">
        <f>S51/Parameters!$M$21</f>
        <v>927692.30769230763</v>
      </c>
      <c r="T142" s="315">
        <f>T51/Parameters!$M$21</f>
        <v>927692.30769230763</v>
      </c>
      <c r="U142" s="315">
        <f>U51/Parameters!$M$21</f>
        <v>955384.61538461538</v>
      </c>
      <c r="V142" s="316">
        <f>SUM(R142:U142)</f>
        <v>3738461.5384615385</v>
      </c>
      <c r="W142" s="314">
        <f>W51/Parameters!$N$21</f>
        <v>962307.69230769225</v>
      </c>
      <c r="X142" s="315">
        <f>X51/Parameters!$N$21</f>
        <v>962307.69230769225</v>
      </c>
      <c r="Y142" s="315">
        <f>Y51/Parameters!$N$21</f>
        <v>962307.69230769225</v>
      </c>
      <c r="Z142" s="315">
        <f>Z51/Parameters!$N$21</f>
        <v>990000</v>
      </c>
      <c r="AA142" s="316">
        <f>SUM(W142:Z142)</f>
        <v>3876923.076923077</v>
      </c>
      <c r="AB142" s="317">
        <f>G142+L142+Q142+V142+AA142</f>
        <v>12323076.923076924</v>
      </c>
    </row>
    <row r="143" spans="1:33" x14ac:dyDescent="0.2">
      <c r="A143" s="801" t="s">
        <v>352</v>
      </c>
      <c r="B143" s="802"/>
      <c r="C143" s="318">
        <f>C52/Parameters!$J$21</f>
        <v>0</v>
      </c>
      <c r="D143" s="319">
        <f>D52/Parameters!$J$21</f>
        <v>0</v>
      </c>
      <c r="E143" s="319">
        <f>E52/Parameters!$J$21</f>
        <v>0</v>
      </c>
      <c r="F143" s="319">
        <f>F52/Parameters!$J$21</f>
        <v>40956.923076923078</v>
      </c>
      <c r="G143" s="320">
        <f>SUM(C143:F143)</f>
        <v>40956.923076923078</v>
      </c>
      <c r="H143" s="318">
        <f>H52/Parameters!$K$21</f>
        <v>185268.46153846153</v>
      </c>
      <c r="I143" s="319">
        <f>I52/Parameters!$K$21</f>
        <v>544749.23076923075</v>
      </c>
      <c r="J143" s="319">
        <f>J52/Parameters!$K$21</f>
        <v>1082963.076923077</v>
      </c>
      <c r="K143" s="319">
        <f>K52/Parameters!$K$21</f>
        <v>1666684.6153846153</v>
      </c>
      <c r="L143" s="320">
        <f>SUM(H143:K143)</f>
        <v>3479665.3846153845</v>
      </c>
      <c r="M143" s="318">
        <f>M52/Parameters!$L$21</f>
        <v>2322770.769230769</v>
      </c>
      <c r="N143" s="319">
        <f>N52/Parameters!$L$21</f>
        <v>3155247.692307692</v>
      </c>
      <c r="O143" s="319">
        <f>O52/Parameters!$L$21</f>
        <v>4171873.846153846</v>
      </c>
      <c r="P143" s="319">
        <f>P52/Parameters!$L$21</f>
        <v>5188500</v>
      </c>
      <c r="Q143" s="320">
        <f>SUM(M143:P143)</f>
        <v>14838392.307692308</v>
      </c>
      <c r="R143" s="318">
        <f>R52/Parameters!$M$21</f>
        <v>6214227.692307692</v>
      </c>
      <c r="S143" s="319">
        <f>S52/Parameters!$M$21</f>
        <v>7387310.769230769</v>
      </c>
      <c r="T143" s="319">
        <f>T52/Parameters!$M$21</f>
        <v>8722878.461538462</v>
      </c>
      <c r="U143" s="319">
        <f>U52/Parameters!$M$21</f>
        <v>10058446.153846154</v>
      </c>
      <c r="V143" s="320">
        <f>SUM(R143:U143)</f>
        <v>32382863.076923072</v>
      </c>
      <c r="W143" s="318">
        <f>W52/Parameters!$N$21</f>
        <v>11412216.923076922</v>
      </c>
      <c r="X143" s="319">
        <f>X52/Parameters!$N$21</f>
        <v>12792203.076923076</v>
      </c>
      <c r="Y143" s="319">
        <f>Y52/Parameters!$N$21</f>
        <v>14177605.384615384</v>
      </c>
      <c r="Z143" s="319">
        <f>Z52/Parameters!$N$21</f>
        <v>15563007.692307692</v>
      </c>
      <c r="AA143" s="320">
        <f>SUM(W143:Z143)</f>
        <v>53945033.076923072</v>
      </c>
      <c r="AB143" s="321">
        <f>G143+L143+Q143+V143+AA143</f>
        <v>104686910.76923075</v>
      </c>
    </row>
    <row r="144" spans="1:33" x14ac:dyDescent="0.2">
      <c r="A144" s="801" t="str">
        <f>A53</f>
        <v>Revenues (Upfront MG payback)</v>
      </c>
      <c r="B144" s="802"/>
      <c r="C144" s="318">
        <f>C53/Parameters!$J$21</f>
        <v>0</v>
      </c>
      <c r="D144" s="319">
        <f>D53/Parameters!$J$21</f>
        <v>0</v>
      </c>
      <c r="E144" s="319">
        <f>E53/Parameters!$J$21</f>
        <v>0</v>
      </c>
      <c r="F144" s="319">
        <f>F53/Parameters!$J$21</f>
        <v>-31153.846153846152</v>
      </c>
      <c r="G144" s="320">
        <f>SUM(C144:F144)</f>
        <v>-31153.846153846152</v>
      </c>
      <c r="H144" s="318">
        <f>H53/Parameters!$K$21</f>
        <v>-103846.15384615384</v>
      </c>
      <c r="I144" s="319">
        <f>I53/Parameters!$K$21</f>
        <v>-259615.3846153846</v>
      </c>
      <c r="J144" s="319">
        <f>J53/Parameters!$K$21</f>
        <v>-373846.15384615381</v>
      </c>
      <c r="K144" s="319">
        <f>K53/Parameters!$K$21</f>
        <v>-408461.53846153844</v>
      </c>
      <c r="L144" s="320">
        <f>SUM(H144:K144)</f>
        <v>-1145769.2307692308</v>
      </c>
      <c r="M144" s="318">
        <f>M53/Parameters!$L$21</f>
        <v>-456923.07692307694</v>
      </c>
      <c r="N144" s="319">
        <f>N53/Parameters!$L$21</f>
        <v>-588461.5384615385</v>
      </c>
      <c r="O144" s="319">
        <f>O53/Parameters!$L$21</f>
        <v>-706153.84615384613</v>
      </c>
      <c r="P144" s="319">
        <f>P53/Parameters!$L$21</f>
        <v>-706153.84615384613</v>
      </c>
      <c r="Q144" s="320">
        <f>SUM(M144:P144)</f>
        <v>-2457692.3076923075</v>
      </c>
      <c r="R144" s="318">
        <f>R53/Parameters!$M$21</f>
        <v>-713076.92307692301</v>
      </c>
      <c r="S144" s="319">
        <f>S53/Parameters!$M$21</f>
        <v>-823846.15384615387</v>
      </c>
      <c r="T144" s="319">
        <f>T53/Parameters!$M$21</f>
        <v>-927692.30769230763</v>
      </c>
      <c r="U144" s="319">
        <f>U53/Parameters!$M$21</f>
        <v>-927692.30769230763</v>
      </c>
      <c r="V144" s="320">
        <f>SUM(R144:U144)</f>
        <v>-3392307.692307692</v>
      </c>
      <c r="W144" s="318">
        <f>W53/Parameters!$N$21</f>
        <v>-941538.4615384615</v>
      </c>
      <c r="X144" s="319">
        <f>X53/Parameters!$N$21</f>
        <v>-958846.15384615376</v>
      </c>
      <c r="Y144" s="319">
        <f>Y53/Parameters!$N$21</f>
        <v>-962307.69230769225</v>
      </c>
      <c r="Z144" s="319">
        <f>Z53/Parameters!$N$21</f>
        <v>-962307.69230769225</v>
      </c>
      <c r="AA144" s="320">
        <f>SUM(W144:Z144)</f>
        <v>-3825000</v>
      </c>
      <c r="AB144" s="321">
        <f>G144+L144+Q144+V144+AA144</f>
        <v>-10851923.076923076</v>
      </c>
      <c r="AC144" s="338"/>
      <c r="AD144" s="338"/>
      <c r="AE144" s="338"/>
      <c r="AF144" s="338"/>
      <c r="AG144" s="338"/>
    </row>
    <row r="145" spans="1:28" x14ac:dyDescent="0.2">
      <c r="A145" s="801" t="s">
        <v>237</v>
      </c>
      <c r="B145" s="802"/>
      <c r="C145" s="318">
        <f>C54/Parameters!$J$21</f>
        <v>0</v>
      </c>
      <c r="D145" s="319">
        <f>D54/Parameters!$J$21</f>
        <v>0</v>
      </c>
      <c r="E145" s="319">
        <f>E54/Parameters!$J$21</f>
        <v>0</v>
      </c>
      <c r="F145" s="319">
        <f>F54/Parameters!$J$21</f>
        <v>0</v>
      </c>
      <c r="G145" s="320">
        <f>SUM(C145:F145)</f>
        <v>0</v>
      </c>
      <c r="H145" s="318">
        <f>H54/Parameters!$K$21</f>
        <v>0</v>
      </c>
      <c r="I145" s="319">
        <f>I54/Parameters!$K$21</f>
        <v>0</v>
      </c>
      <c r="J145" s="319">
        <f>J54/Parameters!$K$21</f>
        <v>0</v>
      </c>
      <c r="K145" s="319">
        <f>K54/Parameters!$K$21</f>
        <v>0</v>
      </c>
      <c r="L145" s="320">
        <f>SUM(H145:K145)</f>
        <v>0</v>
      </c>
      <c r="M145" s="318">
        <f>M54/Parameters!$L$21</f>
        <v>0</v>
      </c>
      <c r="N145" s="319">
        <f>N54/Parameters!$L$21</f>
        <v>0</v>
      </c>
      <c r="O145" s="319">
        <f>O54/Parameters!$L$21</f>
        <v>0</v>
      </c>
      <c r="P145" s="319">
        <f>P54/Parameters!$L$21</f>
        <v>0</v>
      </c>
      <c r="Q145" s="320">
        <f>SUM(M145:P145)</f>
        <v>0</v>
      </c>
      <c r="R145" s="318">
        <f>R54/Parameters!$M$21</f>
        <v>0</v>
      </c>
      <c r="S145" s="319">
        <f>S54/Parameters!$M$21</f>
        <v>0</v>
      </c>
      <c r="T145" s="319">
        <f>T54/Parameters!$M$21</f>
        <v>0</v>
      </c>
      <c r="U145" s="319">
        <f>U54/Parameters!$M$21</f>
        <v>0</v>
      </c>
      <c r="V145" s="320">
        <f>SUM(R145:U145)</f>
        <v>0</v>
      </c>
      <c r="W145" s="318">
        <f>W54/Parameters!$N$21</f>
        <v>0</v>
      </c>
      <c r="X145" s="319">
        <f>X54/Parameters!$N$21</f>
        <v>0</v>
      </c>
      <c r="Y145" s="319">
        <f>Y54/Parameters!$N$21</f>
        <v>0</v>
      </c>
      <c r="Z145" s="319">
        <f>Z54/Parameters!$N$21</f>
        <v>0</v>
      </c>
      <c r="AA145" s="320">
        <f>SUM(W145:Z145)</f>
        <v>0</v>
      </c>
      <c r="AB145" s="321">
        <f t="shared" ref="AB145:AB156" si="45">G145+L145+Q145+V145+AA145</f>
        <v>0</v>
      </c>
    </row>
    <row r="146" spans="1:28" ht="13.2" thickBot="1" x14ac:dyDescent="0.25">
      <c r="A146" s="801" t="s">
        <v>164</v>
      </c>
      <c r="B146" s="802"/>
      <c r="C146" s="318">
        <f>C55/Parameters!$J$21</f>
        <v>0</v>
      </c>
      <c r="D146" s="319">
        <f>D55/Parameters!$J$21</f>
        <v>0</v>
      </c>
      <c r="E146" s="319">
        <f>E55/Parameters!$J$21</f>
        <v>0</v>
      </c>
      <c r="F146" s="319">
        <f>F55/Parameters!$J$21</f>
        <v>0</v>
      </c>
      <c r="G146" s="320">
        <f>SUM(C146:F146)</f>
        <v>0</v>
      </c>
      <c r="H146" s="318">
        <f>H55/Parameters!$K$21</f>
        <v>0</v>
      </c>
      <c r="I146" s="319">
        <f>I55/Parameters!$K$21</f>
        <v>0</v>
      </c>
      <c r="J146" s="319">
        <f>J55/Parameters!$K$21</f>
        <v>0</v>
      </c>
      <c r="K146" s="319">
        <f>K55/Parameters!$K$21</f>
        <v>0</v>
      </c>
      <c r="L146" s="320">
        <f>SUM(H146:K146)</f>
        <v>0</v>
      </c>
      <c r="M146" s="318">
        <f>M55/Parameters!$L$21</f>
        <v>0</v>
      </c>
      <c r="N146" s="319">
        <f>N55/Parameters!$L$21</f>
        <v>0</v>
      </c>
      <c r="O146" s="319">
        <f>O55/Parameters!$L$21</f>
        <v>0</v>
      </c>
      <c r="P146" s="319">
        <f>P55/Parameters!$L$21</f>
        <v>0</v>
      </c>
      <c r="Q146" s="320">
        <f>SUM(M146:P146)</f>
        <v>0</v>
      </c>
      <c r="R146" s="318">
        <f>R55/Parameters!$M$21</f>
        <v>0</v>
      </c>
      <c r="S146" s="319">
        <f>S55/Parameters!$M$21</f>
        <v>0</v>
      </c>
      <c r="T146" s="319">
        <f>T55/Parameters!$M$21</f>
        <v>0</v>
      </c>
      <c r="U146" s="319">
        <f>U55/Parameters!$M$21</f>
        <v>0</v>
      </c>
      <c r="V146" s="320">
        <f>SUM(R146:U146)</f>
        <v>0</v>
      </c>
      <c r="W146" s="318">
        <f>W55/Parameters!$N$21</f>
        <v>0</v>
      </c>
      <c r="X146" s="319">
        <f>X55/Parameters!$N$21</f>
        <v>0</v>
      </c>
      <c r="Y146" s="319">
        <f>Y55/Parameters!$N$21</f>
        <v>0</v>
      </c>
      <c r="Z146" s="319">
        <f>Z55/Parameters!$N$21</f>
        <v>0</v>
      </c>
      <c r="AA146" s="320">
        <f>SUM(W146:Z146)</f>
        <v>0</v>
      </c>
      <c r="AB146" s="321">
        <f t="shared" si="45"/>
        <v>0</v>
      </c>
    </row>
    <row r="147" spans="1:28" ht="13.2" thickBot="1" x14ac:dyDescent="0.25">
      <c r="A147" s="805" t="s">
        <v>222</v>
      </c>
      <c r="B147" s="806"/>
      <c r="C147" s="322">
        <f t="shared" ref="C147:AA147" si="46">SUM(C142:C146)</f>
        <v>0</v>
      </c>
      <c r="D147" s="323">
        <f t="shared" si="46"/>
        <v>0</v>
      </c>
      <c r="E147" s="323">
        <f t="shared" si="46"/>
        <v>62307.692307692305</v>
      </c>
      <c r="F147" s="324">
        <f t="shared" si="46"/>
        <v>155187.69230769228</v>
      </c>
      <c r="G147" s="325">
        <f t="shared" si="46"/>
        <v>217495.3846153846</v>
      </c>
      <c r="H147" s="322">
        <f t="shared" si="46"/>
        <v>455268.4615384615</v>
      </c>
      <c r="I147" s="323">
        <f t="shared" si="46"/>
        <v>658979.99999999988</v>
      </c>
      <c r="J147" s="323">
        <f t="shared" si="46"/>
        <v>1152193.8461538462</v>
      </c>
      <c r="K147" s="324">
        <f t="shared" si="46"/>
        <v>1728992.3076923075</v>
      </c>
      <c r="L147" s="325">
        <f t="shared" si="46"/>
        <v>3995434.615384615</v>
      </c>
      <c r="M147" s="322">
        <f t="shared" si="46"/>
        <v>2572001.538461538</v>
      </c>
      <c r="N147" s="323">
        <f t="shared" si="46"/>
        <v>3272939.9999999995</v>
      </c>
      <c r="O147" s="323">
        <f t="shared" si="46"/>
        <v>4171873.846153846</v>
      </c>
      <c r="P147" s="324">
        <f t="shared" si="46"/>
        <v>5202346.153846154</v>
      </c>
      <c r="Q147" s="325">
        <f t="shared" si="46"/>
        <v>15219161.53846154</v>
      </c>
      <c r="R147" s="322">
        <f t="shared" si="46"/>
        <v>6428843.076923077</v>
      </c>
      <c r="S147" s="323">
        <f t="shared" si="46"/>
        <v>7491156.923076923</v>
      </c>
      <c r="T147" s="323">
        <f t="shared" si="46"/>
        <v>8722878.461538462</v>
      </c>
      <c r="U147" s="324">
        <f t="shared" si="46"/>
        <v>10086138.461538462</v>
      </c>
      <c r="V147" s="325">
        <f t="shared" si="46"/>
        <v>32729016.923076916</v>
      </c>
      <c r="W147" s="322">
        <f t="shared" si="46"/>
        <v>11432986.153846152</v>
      </c>
      <c r="X147" s="323">
        <f t="shared" si="46"/>
        <v>12795664.615384614</v>
      </c>
      <c r="Y147" s="323">
        <f t="shared" si="46"/>
        <v>14177605.384615384</v>
      </c>
      <c r="Z147" s="324">
        <f t="shared" si="46"/>
        <v>15590700</v>
      </c>
      <c r="AA147" s="325">
        <f t="shared" si="46"/>
        <v>53996956.153846152</v>
      </c>
      <c r="AB147" s="326">
        <f t="shared" si="45"/>
        <v>106158064.61538461</v>
      </c>
    </row>
    <row r="148" spans="1:28" x14ac:dyDescent="0.2">
      <c r="A148" s="807" t="s">
        <v>483</v>
      </c>
      <c r="B148" s="808"/>
      <c r="C148" s="314">
        <f>C57/Parameters!$J$21</f>
        <v>0</v>
      </c>
      <c r="D148" s="315">
        <f>D57/Parameters!$J$21</f>
        <v>0</v>
      </c>
      <c r="E148" s="315">
        <f>E57/Parameters!$J$21</f>
        <v>0</v>
      </c>
      <c r="F148" s="315">
        <f>F57/Parameters!$J$21</f>
        <v>3440.3815384615377</v>
      </c>
      <c r="G148" s="316">
        <f t="shared" ref="G148:G156" si="47">SUM(C148:F148)</f>
        <v>3440.3815384615377</v>
      </c>
      <c r="H148" s="314">
        <f>H57/Parameters!$K$21</f>
        <v>14908.319999999998</v>
      </c>
      <c r="I148" s="315">
        <f>I57/Parameters!$K$21</f>
        <v>43578.166153846141</v>
      </c>
      <c r="J148" s="315">
        <f>J57/Parameters!$K$21</f>
        <v>84862.74461538461</v>
      </c>
      <c r="K148" s="315">
        <f>K57/Parameters!$K$21</f>
        <v>129969.96923076922</v>
      </c>
      <c r="L148" s="316">
        <f t="shared" ref="L148:L156" si="48">SUM(H148:K148)</f>
        <v>273319.19999999995</v>
      </c>
      <c r="M148" s="314">
        <f>M57/Parameters!$L$21</f>
        <v>180428.89846153845</v>
      </c>
      <c r="N148" s="315">
        <f>N57/Parameters!$L$21</f>
        <v>245413.88307692303</v>
      </c>
      <c r="O148" s="315">
        <f>O57/Parameters!$L$21</f>
        <v>323395.86461538461</v>
      </c>
      <c r="P148" s="315">
        <f>P57/Parameters!$L$21</f>
        <v>401377.84615384613</v>
      </c>
      <c r="Q148" s="316">
        <f t="shared" ref="Q148:Q156" si="49">SUM(M148:P148)</f>
        <v>1150616.4923076923</v>
      </c>
      <c r="R148" s="314">
        <f>R57/Parameters!$M$21</f>
        <v>480124.35692307691</v>
      </c>
      <c r="S148" s="315">
        <f>S57/Parameters!$M$21</f>
        <v>571103.33538461523</v>
      </c>
      <c r="T148" s="315">
        <f>T57/Parameters!$M$21</f>
        <v>673550.25230769219</v>
      </c>
      <c r="U148" s="315">
        <f>U57/Parameters!$M$21</f>
        <v>775997.16923076904</v>
      </c>
      <c r="V148" s="316">
        <f t="shared" ref="V148:V156" si="50">SUM(R148:U148)</f>
        <v>2500775.113846153</v>
      </c>
      <c r="W148" s="314">
        <f>W57/Parameters!$N$21</f>
        <v>879973.14461538463</v>
      </c>
      <c r="X148" s="315">
        <f>X57/Parameters!$N$21</f>
        <v>985860.44307692291</v>
      </c>
      <c r="Y148" s="315">
        <f>Y57/Parameters!$N$21</f>
        <v>1092130.0061538459</v>
      </c>
      <c r="Z148" s="315">
        <f>Z57/Parameters!$N$21</f>
        <v>1198399.5692307691</v>
      </c>
      <c r="AA148" s="316">
        <f t="shared" ref="AA148:AA156" si="51">SUM(W148:Z148)</f>
        <v>4156363.1630769223</v>
      </c>
      <c r="AB148" s="317">
        <f t="shared" si="45"/>
        <v>8084514.3507692292</v>
      </c>
    </row>
    <row r="149" spans="1:28" x14ac:dyDescent="0.2">
      <c r="A149" s="809" t="s">
        <v>87</v>
      </c>
      <c r="B149" s="810"/>
      <c r="C149" s="327">
        <f>C58/Parameters!$J$21</f>
        <v>0</v>
      </c>
      <c r="D149" s="327">
        <f>D58/Parameters!$J$21</f>
        <v>0</v>
      </c>
      <c r="E149" s="327">
        <f>E58/Parameters!$J$21</f>
        <v>30738.461538461532</v>
      </c>
      <c r="F149" s="327">
        <f>F58/Parameters!$J$21</f>
        <v>71723.076923076907</v>
      </c>
      <c r="G149" s="328">
        <f t="shared" si="47"/>
        <v>102461.53846153844</v>
      </c>
      <c r="H149" s="327">
        <f>H58/Parameters!$K$21</f>
        <v>166153.8461538461</v>
      </c>
      <c r="I149" s="327">
        <f>I58/Parameters!$K$21</f>
        <v>166153.8461538461</v>
      </c>
      <c r="J149" s="327">
        <f>J58/Parameters!$K$21</f>
        <v>196923.07692307688</v>
      </c>
      <c r="K149" s="327">
        <f>K58/Parameters!$K$21</f>
        <v>209230.76923076919</v>
      </c>
      <c r="L149" s="328">
        <f t="shared" si="48"/>
        <v>738461.53846153826</v>
      </c>
      <c r="M149" s="327">
        <f>M58/Parameters!$L$21</f>
        <v>282461.53846153838</v>
      </c>
      <c r="N149" s="327">
        <f>N58/Parameters!$L$21</f>
        <v>282461.53846153838</v>
      </c>
      <c r="O149" s="327">
        <f>O58/Parameters!$L$21</f>
        <v>282461.53846153838</v>
      </c>
      <c r="P149" s="327">
        <f>P58/Parameters!$L$21</f>
        <v>287999.99999999994</v>
      </c>
      <c r="Q149" s="328">
        <f t="shared" si="49"/>
        <v>1135384.615384615</v>
      </c>
      <c r="R149" s="327">
        <f>R58/Parameters!$M$21</f>
        <v>350461.53846153838</v>
      </c>
      <c r="S149" s="327">
        <f>S58/Parameters!$M$21</f>
        <v>350461.53846153838</v>
      </c>
      <c r="T149" s="327">
        <f>T58/Parameters!$M$21</f>
        <v>350461.53846153838</v>
      </c>
      <c r="U149" s="327">
        <f>U58/Parameters!$M$21</f>
        <v>360923.07692307682</v>
      </c>
      <c r="V149" s="328">
        <f t="shared" si="50"/>
        <v>1412307.6923076918</v>
      </c>
      <c r="W149" s="327">
        <f>W58/Parameters!$N$21</f>
        <v>363538.46153846144</v>
      </c>
      <c r="X149" s="327">
        <f>X58/Parameters!$N$21</f>
        <v>363538.46153846144</v>
      </c>
      <c r="Y149" s="327">
        <f>Y58/Parameters!$N$21</f>
        <v>363538.46153846144</v>
      </c>
      <c r="Z149" s="327">
        <f>Z58/Parameters!$N$21</f>
        <v>373999.99999999988</v>
      </c>
      <c r="AA149" s="328">
        <f t="shared" si="51"/>
        <v>1464615.384615384</v>
      </c>
      <c r="AB149" s="329">
        <f t="shared" si="45"/>
        <v>4853230.7692307681</v>
      </c>
    </row>
    <row r="150" spans="1:28" x14ac:dyDescent="0.2">
      <c r="A150" s="809" t="s">
        <v>391</v>
      </c>
      <c r="B150" s="810"/>
      <c r="C150" s="327">
        <f>C59/Parameters!$J$21</f>
        <v>0</v>
      </c>
      <c r="D150" s="327">
        <f>D59/Parameters!$J$21</f>
        <v>0</v>
      </c>
      <c r="E150" s="327">
        <f>E59/Parameters!$J$21</f>
        <v>5486.2481637964065</v>
      </c>
      <c r="F150" s="327">
        <f>F59/Parameters!$J$21</f>
        <v>23773.74204311776</v>
      </c>
      <c r="G150" s="328">
        <f t="shared" si="47"/>
        <v>29259.990206914168</v>
      </c>
      <c r="H150" s="327">
        <f>H59/Parameters!$K$21</f>
        <v>66230.383238623283</v>
      </c>
      <c r="I150" s="327">
        <f>I59/Parameters!$K$21</f>
        <v>125541.17419858443</v>
      </c>
      <c r="J150" s="327">
        <f>J59/Parameters!$K$21</f>
        <v>190343.70506224569</v>
      </c>
      <c r="K150" s="327">
        <f>K59/Parameters!$K$21</f>
        <v>262834.67179108708</v>
      </c>
      <c r="L150" s="328">
        <f t="shared" si="48"/>
        <v>644949.9342905404</v>
      </c>
      <c r="M150" s="327">
        <f>M59/Parameters!$L$21</f>
        <v>350592.67545221484</v>
      </c>
      <c r="N150" s="327">
        <f>N59/Parameters!$L$21</f>
        <v>451421.02008414885</v>
      </c>
      <c r="O150" s="327">
        <f>O59/Parameters!$L$21</f>
        <v>552249.36471608281</v>
      </c>
      <c r="P150" s="327">
        <f>P59/Parameters!$L$21</f>
        <v>654066.22253068269</v>
      </c>
      <c r="Q150" s="328">
        <f t="shared" si="49"/>
        <v>2008329.2827831293</v>
      </c>
      <c r="R150" s="327">
        <f>R59/Parameters!$M$21</f>
        <v>768019.82553246</v>
      </c>
      <c r="S150" s="327">
        <f>S59/Parameters!$M$21</f>
        <v>893121.66053874849</v>
      </c>
      <c r="T150" s="327">
        <f>T59/Parameters!$M$21</f>
        <v>1012737.2473812406</v>
      </c>
      <c r="U150" s="327">
        <f>U59/Parameters!$M$21</f>
        <v>1121418.7800754656</v>
      </c>
      <c r="V150" s="328">
        <f t="shared" si="50"/>
        <v>3795297.5135279149</v>
      </c>
      <c r="W150" s="327">
        <f>W59/Parameters!$N$21</f>
        <v>1208265.1549125793</v>
      </c>
      <c r="X150" s="327">
        <f>X59/Parameters!$N$21</f>
        <v>1278724.1778770518</v>
      </c>
      <c r="Y150" s="327">
        <f>Y59/Parameters!$N$21</f>
        <v>1343691.4609378236</v>
      </c>
      <c r="Z150" s="327">
        <f>Z59/Parameters!$N$21</f>
        <v>1402837.4997006739</v>
      </c>
      <c r="AA150" s="328">
        <f t="shared" si="51"/>
        <v>5233518.2934281286</v>
      </c>
      <c r="AB150" s="329">
        <f t="shared" si="45"/>
        <v>11711355.014236627</v>
      </c>
    </row>
    <row r="151" spans="1:28" x14ac:dyDescent="0.2">
      <c r="A151" s="809" t="s">
        <v>389</v>
      </c>
      <c r="B151" s="810"/>
      <c r="C151" s="327">
        <f>C60/Parameters!$J$21</f>
        <v>0</v>
      </c>
      <c r="D151" s="327">
        <f>D60/Parameters!$J$21</f>
        <v>0</v>
      </c>
      <c r="E151" s="327">
        <f>E60/Parameters!$J$21</f>
        <v>8307.6923076923067</v>
      </c>
      <c r="F151" s="327">
        <f>F60/Parameters!$J$21</f>
        <v>19384.615384615383</v>
      </c>
      <c r="G151" s="328">
        <f t="shared" si="47"/>
        <v>27692.307692307688</v>
      </c>
      <c r="H151" s="327">
        <f>H60/Parameters!$K$21</f>
        <v>49846.153846153844</v>
      </c>
      <c r="I151" s="327">
        <f>I60/Parameters!$K$21</f>
        <v>49846.153846153844</v>
      </c>
      <c r="J151" s="327">
        <f>J60/Parameters!$K$21</f>
        <v>59076.923076923078</v>
      </c>
      <c r="K151" s="327">
        <f>K60/Parameters!$K$21</f>
        <v>62769.230769230766</v>
      </c>
      <c r="L151" s="328">
        <f t="shared" si="48"/>
        <v>221538.4615384615</v>
      </c>
      <c r="M151" s="327">
        <f>M60/Parameters!$L$21</f>
        <v>94153.846153846156</v>
      </c>
      <c r="N151" s="327">
        <f>N60/Parameters!$L$21</f>
        <v>94153.846153846156</v>
      </c>
      <c r="O151" s="327">
        <f>O60/Parameters!$L$21</f>
        <v>94153.846153846156</v>
      </c>
      <c r="P151" s="327">
        <f>P60/Parameters!$L$21</f>
        <v>96000</v>
      </c>
      <c r="Q151" s="328">
        <f t="shared" si="49"/>
        <v>378461.5384615385</v>
      </c>
      <c r="R151" s="327">
        <f>R60/Parameters!$M$21</f>
        <v>123692.30769230769</v>
      </c>
      <c r="S151" s="327">
        <f>S60/Parameters!$M$21</f>
        <v>123692.30769230769</v>
      </c>
      <c r="T151" s="327">
        <f>T60/Parameters!$M$21</f>
        <v>123692.30769230769</v>
      </c>
      <c r="U151" s="327">
        <f>U60/Parameters!$M$21</f>
        <v>127384.61538461538</v>
      </c>
      <c r="V151" s="328">
        <f t="shared" si="50"/>
        <v>498461.53846153844</v>
      </c>
      <c r="W151" s="327">
        <f>W60/Parameters!$N$21</f>
        <v>128307.6923076923</v>
      </c>
      <c r="X151" s="327">
        <f>X60/Parameters!$N$21</f>
        <v>128307.6923076923</v>
      </c>
      <c r="Y151" s="327">
        <f>Y60/Parameters!$N$21</f>
        <v>128307.6923076923</v>
      </c>
      <c r="Z151" s="327">
        <f>Z60/Parameters!$N$21</f>
        <v>132000</v>
      </c>
      <c r="AA151" s="328">
        <f t="shared" si="51"/>
        <v>516923.07692307688</v>
      </c>
      <c r="AB151" s="329">
        <f t="shared" si="45"/>
        <v>1643076.923076923</v>
      </c>
    </row>
    <row r="152" spans="1:28" x14ac:dyDescent="0.2">
      <c r="A152" s="809" t="s">
        <v>94</v>
      </c>
      <c r="B152" s="810"/>
      <c r="C152" s="327">
        <f>C61/Parameters!$J$21</f>
        <v>0</v>
      </c>
      <c r="D152" s="327">
        <f>D61/Parameters!$J$21</f>
        <v>0</v>
      </c>
      <c r="E152" s="327">
        <f>E61/Parameters!$J$21</f>
        <v>0</v>
      </c>
      <c r="F152" s="327">
        <f>F61/Parameters!$J$21</f>
        <v>7189.3491124260345</v>
      </c>
      <c r="G152" s="328">
        <f t="shared" si="47"/>
        <v>7189.3491124260345</v>
      </c>
      <c r="H152" s="327">
        <f>H61/Parameters!$K$21</f>
        <v>23964.49704142012</v>
      </c>
      <c r="I152" s="327">
        <f>I61/Parameters!$K$21</f>
        <v>67100.591715976319</v>
      </c>
      <c r="J152" s="327">
        <f>J61/Parameters!$K$21</f>
        <v>110236.68639053254</v>
      </c>
      <c r="K152" s="327">
        <f>K61/Parameters!$K$21</f>
        <v>161360.94674556211</v>
      </c>
      <c r="L152" s="328">
        <f t="shared" si="48"/>
        <v>362662.72189349111</v>
      </c>
      <c r="M152" s="327">
        <f>M61/Parameters!$L$21</f>
        <v>215680.47337278104</v>
      </c>
      <c r="N152" s="327">
        <f>N61/Parameters!$L$21</f>
        <v>297159.76331360947</v>
      </c>
      <c r="O152" s="327">
        <f>O61/Parameters!$L$21</f>
        <v>378639.05325443787</v>
      </c>
      <c r="P152" s="327">
        <f>P61/Parameters!$L$21</f>
        <v>460118.34319526621</v>
      </c>
      <c r="Q152" s="328">
        <f t="shared" si="49"/>
        <v>1351597.6331360945</v>
      </c>
      <c r="R152" s="327">
        <f>R61/Parameters!$M$21</f>
        <v>543195.26627218933</v>
      </c>
      <c r="S152" s="327">
        <f>S61/Parameters!$M$21</f>
        <v>650236.68639053253</v>
      </c>
      <c r="T152" s="327">
        <f>T61/Parameters!$M$21</f>
        <v>757278.10650887573</v>
      </c>
      <c r="U152" s="327">
        <f>U61/Parameters!$M$21</f>
        <v>864319.52662721882</v>
      </c>
      <c r="V152" s="328">
        <f t="shared" si="50"/>
        <v>2815029.5857988163</v>
      </c>
      <c r="W152" s="327">
        <f>W61/Parameters!$N$21</f>
        <v>974556.21301775146</v>
      </c>
      <c r="X152" s="327">
        <f>X61/Parameters!$N$21</f>
        <v>1085591.7159763314</v>
      </c>
      <c r="Y152" s="327">
        <f>Y61/Parameters!$N$21</f>
        <v>1196627.2189349111</v>
      </c>
      <c r="Z152" s="327">
        <f>Z61/Parameters!$N$21</f>
        <v>1307662.7218934912</v>
      </c>
      <c r="AA152" s="328">
        <f t="shared" si="51"/>
        <v>4564437.8698224854</v>
      </c>
      <c r="AB152" s="329">
        <f t="shared" si="45"/>
        <v>9100917.1597633138</v>
      </c>
    </row>
    <row r="153" spans="1:28" x14ac:dyDescent="0.2">
      <c r="A153" s="809" t="s">
        <v>177</v>
      </c>
      <c r="B153" s="810"/>
      <c r="C153" s="327" t="e">
        <f>#REF!/Parameters!$J$21</f>
        <v>#REF!</v>
      </c>
      <c r="D153" s="327" t="e">
        <f>#REF!/Parameters!$J$21</f>
        <v>#REF!</v>
      </c>
      <c r="E153" s="327" t="e">
        <f>#REF!/Parameters!$J$21</f>
        <v>#REF!</v>
      </c>
      <c r="F153" s="327" t="e">
        <f>#REF!/Parameters!$J$21</f>
        <v>#REF!</v>
      </c>
      <c r="G153" s="328" t="e">
        <f t="shared" si="47"/>
        <v>#REF!</v>
      </c>
      <c r="H153" s="327" t="e">
        <f>#REF!/Parameters!$K$21</f>
        <v>#REF!</v>
      </c>
      <c r="I153" s="327" t="e">
        <f>#REF!/Parameters!$K$21</f>
        <v>#REF!</v>
      </c>
      <c r="J153" s="327" t="e">
        <f>#REF!/Parameters!$K$21</f>
        <v>#REF!</v>
      </c>
      <c r="K153" s="327" t="e">
        <f>#REF!/Parameters!$K$21</f>
        <v>#REF!</v>
      </c>
      <c r="L153" s="328" t="e">
        <f t="shared" si="48"/>
        <v>#REF!</v>
      </c>
      <c r="M153" s="327" t="e">
        <f>#REF!/Parameters!$L$21</f>
        <v>#REF!</v>
      </c>
      <c r="N153" s="327" t="e">
        <f>#REF!/Parameters!$L$21</f>
        <v>#REF!</v>
      </c>
      <c r="O153" s="327" t="e">
        <f>#REF!/Parameters!$L$21</f>
        <v>#REF!</v>
      </c>
      <c r="P153" s="327" t="e">
        <f>#REF!/Parameters!$L$21</f>
        <v>#REF!</v>
      </c>
      <c r="Q153" s="328" t="e">
        <f t="shared" si="49"/>
        <v>#REF!</v>
      </c>
      <c r="R153" s="327" t="e">
        <f>#REF!/Parameters!$M$21</f>
        <v>#REF!</v>
      </c>
      <c r="S153" s="327" t="e">
        <f>#REF!/Parameters!$M$21</f>
        <v>#REF!</v>
      </c>
      <c r="T153" s="327" t="e">
        <f>#REF!/Parameters!$M$21</f>
        <v>#REF!</v>
      </c>
      <c r="U153" s="327" t="e">
        <f>#REF!/Parameters!$M$21</f>
        <v>#REF!</v>
      </c>
      <c r="V153" s="328" t="e">
        <f t="shared" si="50"/>
        <v>#REF!</v>
      </c>
      <c r="W153" s="327" t="e">
        <f>#REF!/Parameters!$N$21</f>
        <v>#REF!</v>
      </c>
      <c r="X153" s="327" t="e">
        <f>#REF!/Parameters!$N$21</f>
        <v>#REF!</v>
      </c>
      <c r="Y153" s="327" t="e">
        <f>#REF!/Parameters!$N$21</f>
        <v>#REF!</v>
      </c>
      <c r="Z153" s="327" t="e">
        <f>#REF!/Parameters!$N$21</f>
        <v>#REF!</v>
      </c>
      <c r="AA153" s="328" t="e">
        <f t="shared" si="51"/>
        <v>#REF!</v>
      </c>
      <c r="AB153" s="329" t="e">
        <f t="shared" si="45"/>
        <v>#REF!</v>
      </c>
    </row>
    <row r="154" spans="1:28" x14ac:dyDescent="0.2">
      <c r="A154" s="801" t="s">
        <v>136</v>
      </c>
      <c r="B154" s="802"/>
      <c r="C154" s="327">
        <f>C62/Parameters!$J$21</f>
        <v>0</v>
      </c>
      <c r="D154" s="327">
        <f>D62/Parameters!$J$21</f>
        <v>0</v>
      </c>
      <c r="E154" s="327">
        <f>E62/Parameters!$J$21</f>
        <v>0</v>
      </c>
      <c r="F154" s="327">
        <f>F62/Parameters!$J$21</f>
        <v>0</v>
      </c>
      <c r="G154" s="328">
        <f t="shared" si="47"/>
        <v>0</v>
      </c>
      <c r="H154" s="327">
        <f>H62/Parameters!$K$21</f>
        <v>0</v>
      </c>
      <c r="I154" s="327">
        <f>I62/Parameters!$K$21</f>
        <v>0</v>
      </c>
      <c r="J154" s="327">
        <f>J62/Parameters!$K$21</f>
        <v>0</v>
      </c>
      <c r="K154" s="327">
        <f>K62/Parameters!$K$21</f>
        <v>0</v>
      </c>
      <c r="L154" s="328">
        <f t="shared" si="48"/>
        <v>0</v>
      </c>
      <c r="M154" s="327">
        <f>M62/Parameters!$L$21</f>
        <v>0</v>
      </c>
      <c r="N154" s="327">
        <f>N62/Parameters!$L$21</f>
        <v>0</v>
      </c>
      <c r="O154" s="327">
        <f>O62/Parameters!$L$21</f>
        <v>0</v>
      </c>
      <c r="P154" s="327">
        <f>P62/Parameters!$L$21</f>
        <v>0</v>
      </c>
      <c r="Q154" s="328">
        <f t="shared" si="49"/>
        <v>0</v>
      </c>
      <c r="R154" s="327">
        <f>R62/Parameters!$M$21</f>
        <v>0</v>
      </c>
      <c r="S154" s="327">
        <f>S62/Parameters!$M$21</f>
        <v>0</v>
      </c>
      <c r="T154" s="327">
        <f>T62/Parameters!$M$21</f>
        <v>0</v>
      </c>
      <c r="U154" s="327">
        <f>U62/Parameters!$M$21</f>
        <v>0</v>
      </c>
      <c r="V154" s="328">
        <f t="shared" si="50"/>
        <v>0</v>
      </c>
      <c r="W154" s="327">
        <f>W62/Parameters!$N$21</f>
        <v>0</v>
      </c>
      <c r="X154" s="327">
        <f>X62/Parameters!$N$21</f>
        <v>0</v>
      </c>
      <c r="Y154" s="327">
        <f>Y62/Parameters!$N$21</f>
        <v>0</v>
      </c>
      <c r="Z154" s="327">
        <f>Z62/Parameters!$N$21</f>
        <v>0</v>
      </c>
      <c r="AA154" s="328">
        <f t="shared" si="51"/>
        <v>0</v>
      </c>
      <c r="AB154" s="329">
        <f t="shared" si="45"/>
        <v>0</v>
      </c>
    </row>
    <row r="155" spans="1:28" x14ac:dyDescent="0.2">
      <c r="A155" s="801" t="s">
        <v>380</v>
      </c>
      <c r="B155" s="802"/>
      <c r="C155" s="327">
        <f>C63/Parameters!$J$21</f>
        <v>155240</v>
      </c>
      <c r="D155" s="327">
        <f>D63/Parameters!$J$21</f>
        <v>155240</v>
      </c>
      <c r="E155" s="327">
        <f>E63/Parameters!$J$21</f>
        <v>155240</v>
      </c>
      <c r="F155" s="327">
        <f>F63/Parameters!$J$21</f>
        <v>155240</v>
      </c>
      <c r="G155" s="328">
        <f t="shared" si="47"/>
        <v>620960</v>
      </c>
      <c r="H155" s="327">
        <f>H63/Parameters!$K$21</f>
        <v>251880.07500000001</v>
      </c>
      <c r="I155" s="327">
        <f>I63/Parameters!$K$21</f>
        <v>251880.07500000001</v>
      </c>
      <c r="J155" s="327">
        <f>J63/Parameters!$K$21</f>
        <v>251880.07500000001</v>
      </c>
      <c r="K155" s="327">
        <f>K63/Parameters!$K$21</f>
        <v>251880.07500000001</v>
      </c>
      <c r="L155" s="328">
        <f t="shared" si="48"/>
        <v>1007520.3</v>
      </c>
      <c r="M155" s="327">
        <f>M63/Parameters!$L$21</f>
        <v>633879.57469230774</v>
      </c>
      <c r="N155" s="327">
        <f>N63/Parameters!$L$21</f>
        <v>633879.57469230774</v>
      </c>
      <c r="O155" s="327">
        <f>O63/Parameters!$L$21</f>
        <v>633879.57469230774</v>
      </c>
      <c r="P155" s="327">
        <f>P63/Parameters!$L$21</f>
        <v>633879.57469230774</v>
      </c>
      <c r="Q155" s="328">
        <f t="shared" si="49"/>
        <v>2535518.298769231</v>
      </c>
      <c r="R155" s="327">
        <f>R63/Parameters!$M$21</f>
        <v>709735.21179211547</v>
      </c>
      <c r="S155" s="327">
        <f>S63/Parameters!$M$21</f>
        <v>709735.21179211547</v>
      </c>
      <c r="T155" s="327">
        <f>T63/Parameters!$M$21</f>
        <v>709735.21179211547</v>
      </c>
      <c r="U155" s="327">
        <f>U63/Parameters!$M$21</f>
        <v>709735.21179211547</v>
      </c>
      <c r="V155" s="328">
        <f t="shared" si="50"/>
        <v>2838940.8471684619</v>
      </c>
      <c r="W155" s="327">
        <f>W63/Parameters!$N$21</f>
        <v>745322.62403943646</v>
      </c>
      <c r="X155" s="327">
        <f>X63/Parameters!$N$21</f>
        <v>745322.62403943646</v>
      </c>
      <c r="Y155" s="327">
        <f>Y63/Parameters!$N$21</f>
        <v>745322.62403943646</v>
      </c>
      <c r="Z155" s="327">
        <f>Z63/Parameters!$N$21</f>
        <v>745322.62403943646</v>
      </c>
      <c r="AA155" s="328">
        <f t="shared" si="51"/>
        <v>2981290.4961577458</v>
      </c>
      <c r="AB155" s="329">
        <f t="shared" si="45"/>
        <v>9984229.9420954399</v>
      </c>
    </row>
    <row r="156" spans="1:28" ht="13.2" thickBot="1" x14ac:dyDescent="0.25">
      <c r="A156" s="801" t="s">
        <v>86</v>
      </c>
      <c r="B156" s="802"/>
      <c r="C156" s="327">
        <f>C64/Parameters!$J$21</f>
        <v>0</v>
      </c>
      <c r="D156" s="327">
        <f>D64/Parameters!$J$21</f>
        <v>0</v>
      </c>
      <c r="E156" s="327">
        <f>E64/Parameters!$J$21</f>
        <v>0</v>
      </c>
      <c r="F156" s="327">
        <f>F64/Parameters!$J$21</f>
        <v>206538.46153846153</v>
      </c>
      <c r="G156" s="328">
        <f t="shared" si="47"/>
        <v>206538.46153846153</v>
      </c>
      <c r="H156" s="327">
        <f>H64/Parameters!$K$21</f>
        <v>0</v>
      </c>
      <c r="I156" s="327">
        <f>I64/Parameters!$K$21</f>
        <v>110000</v>
      </c>
      <c r="J156" s="327">
        <f>J64/Parameters!$K$21</f>
        <v>0</v>
      </c>
      <c r="K156" s="327">
        <f>K64/Parameters!$K$21</f>
        <v>0</v>
      </c>
      <c r="L156" s="328">
        <f t="shared" si="48"/>
        <v>110000</v>
      </c>
      <c r="M156" s="327">
        <f>M64/Parameters!$L$21</f>
        <v>152307.69230769231</v>
      </c>
      <c r="N156" s="327">
        <f>N64/Parameters!$L$21</f>
        <v>0</v>
      </c>
      <c r="O156" s="327">
        <f>O64/Parameters!$L$21</f>
        <v>0</v>
      </c>
      <c r="P156" s="327">
        <f>P64/Parameters!$L$21</f>
        <v>0</v>
      </c>
      <c r="Q156" s="328">
        <f t="shared" si="49"/>
        <v>152307.69230769231</v>
      </c>
      <c r="R156" s="327">
        <f>R64/Parameters!$M$21</f>
        <v>76153.846153846156</v>
      </c>
      <c r="S156" s="327">
        <f>S64/Parameters!$M$21</f>
        <v>0</v>
      </c>
      <c r="T156" s="327">
        <f>T64/Parameters!$M$21</f>
        <v>0</v>
      </c>
      <c r="U156" s="327">
        <f>U64/Parameters!$M$21</f>
        <v>0</v>
      </c>
      <c r="V156" s="328">
        <f t="shared" si="50"/>
        <v>76153.846153846156</v>
      </c>
      <c r="W156" s="327">
        <f>W64/Parameters!$N$21</f>
        <v>106923.07692307692</v>
      </c>
      <c r="X156" s="327">
        <f>X64/Parameters!$N$21</f>
        <v>0</v>
      </c>
      <c r="Y156" s="327">
        <f>Y64/Parameters!$N$21</f>
        <v>0</v>
      </c>
      <c r="Z156" s="327">
        <f>Z64/Parameters!$N$21</f>
        <v>0</v>
      </c>
      <c r="AA156" s="328">
        <f t="shared" si="51"/>
        <v>106923.07692307692</v>
      </c>
      <c r="AB156" s="329">
        <f t="shared" si="45"/>
        <v>651923.07692307688</v>
      </c>
    </row>
    <row r="157" spans="1:28" ht="13.2" thickBot="1" x14ac:dyDescent="0.25">
      <c r="A157" s="796" t="s">
        <v>137</v>
      </c>
      <c r="B157" s="797"/>
      <c r="C157" s="330" t="e">
        <f t="shared" ref="C157:AB157" si="52">SUM(C148:C156)</f>
        <v>#REF!</v>
      </c>
      <c r="D157" s="331" t="e">
        <f t="shared" si="52"/>
        <v>#REF!</v>
      </c>
      <c r="E157" s="331" t="e">
        <f t="shared" si="52"/>
        <v>#REF!</v>
      </c>
      <c r="F157" s="332" t="e">
        <f t="shared" si="52"/>
        <v>#REF!</v>
      </c>
      <c r="G157" s="333" t="e">
        <f t="shared" si="52"/>
        <v>#REF!</v>
      </c>
      <c r="H157" s="322" t="e">
        <f t="shared" si="52"/>
        <v>#REF!</v>
      </c>
      <c r="I157" s="323" t="e">
        <f t="shared" si="52"/>
        <v>#REF!</v>
      </c>
      <c r="J157" s="323" t="e">
        <f t="shared" si="52"/>
        <v>#REF!</v>
      </c>
      <c r="K157" s="324" t="e">
        <f t="shared" si="52"/>
        <v>#REF!</v>
      </c>
      <c r="L157" s="325" t="e">
        <f t="shared" si="52"/>
        <v>#REF!</v>
      </c>
      <c r="M157" s="322" t="e">
        <f t="shared" si="52"/>
        <v>#REF!</v>
      </c>
      <c r="N157" s="323" t="e">
        <f t="shared" si="52"/>
        <v>#REF!</v>
      </c>
      <c r="O157" s="323" t="e">
        <f t="shared" si="52"/>
        <v>#REF!</v>
      </c>
      <c r="P157" s="324" t="e">
        <f t="shared" si="52"/>
        <v>#REF!</v>
      </c>
      <c r="Q157" s="325" t="e">
        <f t="shared" si="52"/>
        <v>#REF!</v>
      </c>
      <c r="R157" s="322" t="e">
        <f t="shared" si="52"/>
        <v>#REF!</v>
      </c>
      <c r="S157" s="323" t="e">
        <f t="shared" si="52"/>
        <v>#REF!</v>
      </c>
      <c r="T157" s="323" t="e">
        <f t="shared" si="52"/>
        <v>#REF!</v>
      </c>
      <c r="U157" s="324" t="e">
        <f t="shared" si="52"/>
        <v>#REF!</v>
      </c>
      <c r="V157" s="325" t="e">
        <f t="shared" si="52"/>
        <v>#REF!</v>
      </c>
      <c r="W157" s="322" t="e">
        <f t="shared" si="52"/>
        <v>#REF!</v>
      </c>
      <c r="X157" s="323" t="e">
        <f t="shared" si="52"/>
        <v>#REF!</v>
      </c>
      <c r="Y157" s="323" t="e">
        <f t="shared" si="52"/>
        <v>#REF!</v>
      </c>
      <c r="Z157" s="324" t="e">
        <f t="shared" si="52"/>
        <v>#REF!</v>
      </c>
      <c r="AA157" s="325" t="e">
        <f t="shared" si="52"/>
        <v>#REF!</v>
      </c>
      <c r="AB157" s="326" t="e">
        <f t="shared" si="52"/>
        <v>#REF!</v>
      </c>
    </row>
    <row r="158" spans="1:28" x14ac:dyDescent="0.2">
      <c r="A158" s="815" t="s">
        <v>308</v>
      </c>
      <c r="B158" s="311" t="s">
        <v>309</v>
      </c>
      <c r="C158" s="334" t="e">
        <f t="shared" ref="C158:K158" si="53">C147-C157</f>
        <v>#REF!</v>
      </c>
      <c r="D158" s="335" t="e">
        <f t="shared" si="53"/>
        <v>#REF!</v>
      </c>
      <c r="E158" s="335" t="e">
        <f t="shared" si="53"/>
        <v>#REF!</v>
      </c>
      <c r="F158" s="336" t="e">
        <f t="shared" si="53"/>
        <v>#REF!</v>
      </c>
      <c r="G158" s="829" t="e">
        <f t="shared" si="53"/>
        <v>#REF!</v>
      </c>
      <c r="H158" s="334" t="e">
        <f t="shared" si="53"/>
        <v>#REF!</v>
      </c>
      <c r="I158" s="335" t="e">
        <f t="shared" si="53"/>
        <v>#REF!</v>
      </c>
      <c r="J158" s="335" t="e">
        <f t="shared" si="53"/>
        <v>#REF!</v>
      </c>
      <c r="K158" s="336" t="e">
        <f t="shared" si="53"/>
        <v>#REF!</v>
      </c>
      <c r="L158" s="829" t="e">
        <f>K159</f>
        <v>#REF!</v>
      </c>
      <c r="M158" s="314" t="e">
        <f>M147-M157</f>
        <v>#REF!</v>
      </c>
      <c r="N158" s="315" t="e">
        <f>N147-N157</f>
        <v>#REF!</v>
      </c>
      <c r="O158" s="315" t="e">
        <f>O147-O157</f>
        <v>#REF!</v>
      </c>
      <c r="P158" s="337" t="e">
        <f>P147-P157</f>
        <v>#REF!</v>
      </c>
      <c r="Q158" s="819" t="e">
        <f>P159</f>
        <v>#REF!</v>
      </c>
      <c r="R158" s="314" t="e">
        <f>R147-R157</f>
        <v>#REF!</v>
      </c>
      <c r="S158" s="315" t="e">
        <f>S147-S157</f>
        <v>#REF!</v>
      </c>
      <c r="T158" s="315" t="e">
        <f>T147-T157</f>
        <v>#REF!</v>
      </c>
      <c r="U158" s="337" t="e">
        <f>U147-U157</f>
        <v>#REF!</v>
      </c>
      <c r="V158" s="819" t="e">
        <f>U159</f>
        <v>#REF!</v>
      </c>
      <c r="W158" s="314" t="e">
        <f>W147-W157</f>
        <v>#REF!</v>
      </c>
      <c r="X158" s="315" t="e">
        <f>X147-X157</f>
        <v>#REF!</v>
      </c>
      <c r="Y158" s="315" t="e">
        <f>Y147-Y157</f>
        <v>#REF!</v>
      </c>
      <c r="Z158" s="337" t="e">
        <f>Z147-Z157</f>
        <v>#REF!</v>
      </c>
      <c r="AA158" s="819" t="e">
        <f>Z159</f>
        <v>#REF!</v>
      </c>
      <c r="AB158" s="338"/>
    </row>
    <row r="159" spans="1:28" ht="13.2" thickBot="1" x14ac:dyDescent="0.25">
      <c r="A159" s="787"/>
      <c r="B159" s="312" t="s">
        <v>331</v>
      </c>
      <c r="C159" s="339" t="e">
        <f>C158</f>
        <v>#REF!</v>
      </c>
      <c r="D159" s="340" t="e">
        <f>C159+D158</f>
        <v>#REF!</v>
      </c>
      <c r="E159" s="340" t="e">
        <f>D159+E158</f>
        <v>#REF!</v>
      </c>
      <c r="F159" s="341" t="e">
        <f>E159+F158</f>
        <v>#REF!</v>
      </c>
      <c r="G159" s="830"/>
      <c r="H159" s="339" t="e">
        <f>G158+H158</f>
        <v>#REF!</v>
      </c>
      <c r="I159" s="340" t="e">
        <f>H159+I158</f>
        <v>#REF!</v>
      </c>
      <c r="J159" s="340" t="e">
        <f>I159+J158</f>
        <v>#REF!</v>
      </c>
      <c r="K159" s="341" t="e">
        <f>J159+K158</f>
        <v>#REF!</v>
      </c>
      <c r="L159" s="831"/>
      <c r="M159" s="342" t="e">
        <f>L158+M158</f>
        <v>#REF!</v>
      </c>
      <c r="N159" s="343" t="e">
        <f>M159+N158</f>
        <v>#REF!</v>
      </c>
      <c r="O159" s="343" t="e">
        <f>N159+O158</f>
        <v>#REF!</v>
      </c>
      <c r="P159" s="344" t="e">
        <f>O159+P158</f>
        <v>#REF!</v>
      </c>
      <c r="Q159" s="820"/>
      <c r="R159" s="342" t="e">
        <f>Q158+R158</f>
        <v>#REF!</v>
      </c>
      <c r="S159" s="343" t="e">
        <f>R159+S158</f>
        <v>#REF!</v>
      </c>
      <c r="T159" s="343" t="e">
        <f>S159+T158</f>
        <v>#REF!</v>
      </c>
      <c r="U159" s="344" t="e">
        <f>T159+U158</f>
        <v>#REF!</v>
      </c>
      <c r="V159" s="820"/>
      <c r="W159" s="342" t="e">
        <f>V158+W158</f>
        <v>#REF!</v>
      </c>
      <c r="X159" s="343" t="e">
        <f>W159+X158</f>
        <v>#REF!</v>
      </c>
      <c r="Y159" s="343" t="e">
        <f>X159+Y158</f>
        <v>#REF!</v>
      </c>
      <c r="Z159" s="344" t="e">
        <f>Y159+Z158</f>
        <v>#REF!</v>
      </c>
      <c r="AA159" s="820"/>
      <c r="AB159" s="338"/>
    </row>
    <row r="160" spans="1:28" ht="13.2" thickBot="1" x14ac:dyDescent="0.25">
      <c r="A160" s="788"/>
      <c r="B160" s="313" t="s">
        <v>250</v>
      </c>
      <c r="C160" s="816" t="e">
        <f>MIN(C159:F159)</f>
        <v>#REF!</v>
      </c>
      <c r="D160" s="817"/>
      <c r="E160" s="817"/>
      <c r="F160" s="817"/>
      <c r="G160" s="818"/>
      <c r="H160" s="816" t="e">
        <f>MIN(H159:K159)</f>
        <v>#REF!</v>
      </c>
      <c r="I160" s="817"/>
      <c r="J160" s="817"/>
      <c r="K160" s="817"/>
      <c r="L160" s="818"/>
      <c r="M160" s="816" t="e">
        <f>MIN(M159:P159)</f>
        <v>#REF!</v>
      </c>
      <c r="N160" s="817"/>
      <c r="O160" s="817"/>
      <c r="P160" s="817"/>
      <c r="Q160" s="818"/>
      <c r="R160" s="816" t="e">
        <f>MIN(R159:U159)</f>
        <v>#REF!</v>
      </c>
      <c r="S160" s="817"/>
      <c r="T160" s="817"/>
      <c r="U160" s="817"/>
      <c r="V160" s="818"/>
      <c r="W160" s="816" t="e">
        <f>MIN(W159:Z159)</f>
        <v>#REF!</v>
      </c>
      <c r="X160" s="817"/>
      <c r="Y160" s="817"/>
      <c r="Z160" s="817"/>
      <c r="AA160" s="818"/>
      <c r="AB160" s="338"/>
    </row>
  </sheetData>
  <mergeCells count="204">
    <mergeCell ref="G158:G159"/>
    <mergeCell ref="L158:L159"/>
    <mergeCell ref="Q158:Q159"/>
    <mergeCell ref="V158:V159"/>
    <mergeCell ref="AA158:AA159"/>
    <mergeCell ref="R140:V140"/>
    <mergeCell ref="W140:AA140"/>
    <mergeCell ref="C160:G160"/>
    <mergeCell ref="H160:L160"/>
    <mergeCell ref="M160:Q160"/>
    <mergeCell ref="R160:V160"/>
    <mergeCell ref="W160:AA160"/>
    <mergeCell ref="A153:B153"/>
    <mergeCell ref="A154:B154"/>
    <mergeCell ref="A155:B155"/>
    <mergeCell ref="A156:B156"/>
    <mergeCell ref="A157:B157"/>
    <mergeCell ref="A158:A160"/>
    <mergeCell ref="A147:B147"/>
    <mergeCell ref="A148:B148"/>
    <mergeCell ref="A149:B149"/>
    <mergeCell ref="A150:B150"/>
    <mergeCell ref="A151:B151"/>
    <mergeCell ref="A152:B152"/>
    <mergeCell ref="A135:A137"/>
    <mergeCell ref="H68:L68"/>
    <mergeCell ref="M68:Q68"/>
    <mergeCell ref="A144:B144"/>
    <mergeCell ref="A145:B145"/>
    <mergeCell ref="A146:B146"/>
    <mergeCell ref="A140:B141"/>
    <mergeCell ref="C140:G140"/>
    <mergeCell ref="H140:L140"/>
    <mergeCell ref="C137:G137"/>
    <mergeCell ref="V66:V67"/>
    <mergeCell ref="AA66:AA67"/>
    <mergeCell ref="C68:G68"/>
    <mergeCell ref="AB140:AB141"/>
    <mergeCell ref="A142:B142"/>
    <mergeCell ref="A143:B143"/>
    <mergeCell ref="M140:Q140"/>
    <mergeCell ref="Q135:Q136"/>
    <mergeCell ref="A130:B130"/>
    <mergeCell ref="A131:B131"/>
    <mergeCell ref="G43:G44"/>
    <mergeCell ref="A37:B37"/>
    <mergeCell ref="A38:B38"/>
    <mergeCell ref="R68:V68"/>
    <mergeCell ref="W68:AA68"/>
    <mergeCell ref="A65:B65"/>
    <mergeCell ref="A66:A68"/>
    <mergeCell ref="G66:G67"/>
    <mergeCell ref="L66:L67"/>
    <mergeCell ref="Q66:Q67"/>
    <mergeCell ref="AB49:AB50"/>
    <mergeCell ref="A51:B51"/>
    <mergeCell ref="A52:B52"/>
    <mergeCell ref="A53:B53"/>
    <mergeCell ref="H49:L49"/>
    <mergeCell ref="M49:Q49"/>
    <mergeCell ref="A58:B58"/>
    <mergeCell ref="A59:B59"/>
    <mergeCell ref="A1:G2"/>
    <mergeCell ref="A47:G48"/>
    <mergeCell ref="A49:B50"/>
    <mergeCell ref="C49:G49"/>
    <mergeCell ref="C45:G45"/>
    <mergeCell ref="A39:B39"/>
    <mergeCell ref="A40:B40"/>
    <mergeCell ref="A8:B8"/>
    <mergeCell ref="A54:B54"/>
    <mergeCell ref="A55:B55"/>
    <mergeCell ref="A56:B56"/>
    <mergeCell ref="A134:B134"/>
    <mergeCell ref="A127:B127"/>
    <mergeCell ref="A128:B128"/>
    <mergeCell ref="A60:B60"/>
    <mergeCell ref="A132:B132"/>
    <mergeCell ref="A133:B133"/>
    <mergeCell ref="A64:B64"/>
    <mergeCell ref="A34:B34"/>
    <mergeCell ref="A35:B35"/>
    <mergeCell ref="A125:B125"/>
    <mergeCell ref="A126:B126"/>
    <mergeCell ref="A129:B129"/>
    <mergeCell ref="A57:B57"/>
    <mergeCell ref="A61:B61"/>
    <mergeCell ref="A124:B124"/>
    <mergeCell ref="A117:B118"/>
    <mergeCell ref="A107:B107"/>
    <mergeCell ref="M137:Q137"/>
    <mergeCell ref="R137:V137"/>
    <mergeCell ref="W137:AA137"/>
    <mergeCell ref="L135:L136"/>
    <mergeCell ref="G135:G136"/>
    <mergeCell ref="AB117:AB118"/>
    <mergeCell ref="W117:AA117"/>
    <mergeCell ref="V135:V136"/>
    <mergeCell ref="AA135:AA136"/>
    <mergeCell ref="H137:L137"/>
    <mergeCell ref="A119:B119"/>
    <mergeCell ref="A120:B120"/>
    <mergeCell ref="A121:B121"/>
    <mergeCell ref="A122:B122"/>
    <mergeCell ref="A123:B123"/>
    <mergeCell ref="R117:V117"/>
    <mergeCell ref="C117:G117"/>
    <mergeCell ref="H117:L117"/>
    <mergeCell ref="M117:Q117"/>
    <mergeCell ref="L43:L44"/>
    <mergeCell ref="Q43:Q44"/>
    <mergeCell ref="V43:V44"/>
    <mergeCell ref="AA43:AA44"/>
    <mergeCell ref="M45:Q45"/>
    <mergeCell ref="R49:V49"/>
    <mergeCell ref="W49:AA49"/>
    <mergeCell ref="H45:L45"/>
    <mergeCell ref="A108:B108"/>
    <mergeCell ref="A102:B102"/>
    <mergeCell ref="A62:B62"/>
    <mergeCell ref="A63:B63"/>
    <mergeCell ref="A24:G25"/>
    <mergeCell ref="A104:B104"/>
    <mergeCell ref="A105:B105"/>
    <mergeCell ref="A43:A45"/>
    <mergeCell ref="C93:G93"/>
    <mergeCell ref="A101:B101"/>
    <mergeCell ref="AB26:AB27"/>
    <mergeCell ref="A28:B28"/>
    <mergeCell ref="A29:B29"/>
    <mergeCell ref="A30:B30"/>
    <mergeCell ref="A31:B31"/>
    <mergeCell ref="R45:V45"/>
    <mergeCell ref="A26:B27"/>
    <mergeCell ref="C26:G26"/>
    <mergeCell ref="H26:L26"/>
    <mergeCell ref="M26:Q26"/>
    <mergeCell ref="W26:AA26"/>
    <mergeCell ref="A32:B32"/>
    <mergeCell ref="A33:B33"/>
    <mergeCell ref="A41:B41"/>
    <mergeCell ref="A42:B42"/>
    <mergeCell ref="W113:AA113"/>
    <mergeCell ref="A110:B110"/>
    <mergeCell ref="G111:G112"/>
    <mergeCell ref="L111:L112"/>
    <mergeCell ref="Q111:Q112"/>
    <mergeCell ref="AA111:AA112"/>
    <mergeCell ref="R113:V113"/>
    <mergeCell ref="V111:V112"/>
    <mergeCell ref="A93:B94"/>
    <mergeCell ref="H93:L93"/>
    <mergeCell ref="A36:B36"/>
    <mergeCell ref="H113:L113"/>
    <mergeCell ref="M113:Q113"/>
    <mergeCell ref="A106:B106"/>
    <mergeCell ref="A103:B103"/>
    <mergeCell ref="A111:A113"/>
    <mergeCell ref="C113:G113"/>
    <mergeCell ref="A109:B109"/>
    <mergeCell ref="C22:G22"/>
    <mergeCell ref="A95:B95"/>
    <mergeCell ref="A96:B96"/>
    <mergeCell ref="A98:B98"/>
    <mergeCell ref="A99:B99"/>
    <mergeCell ref="A97:B97"/>
    <mergeCell ref="A100:B100"/>
    <mergeCell ref="R26:V26"/>
    <mergeCell ref="A13:B13"/>
    <mergeCell ref="A14:B14"/>
    <mergeCell ref="A16:B16"/>
    <mergeCell ref="A17:B17"/>
    <mergeCell ref="A18:B18"/>
    <mergeCell ref="A20:A22"/>
    <mergeCell ref="H3:L3"/>
    <mergeCell ref="A7:B7"/>
    <mergeCell ref="A10:B10"/>
    <mergeCell ref="A11:B11"/>
    <mergeCell ref="A12:B12"/>
    <mergeCell ref="A15:B15"/>
    <mergeCell ref="A3:B4"/>
    <mergeCell ref="A5:B5"/>
    <mergeCell ref="A6:B6"/>
    <mergeCell ref="C3:G3"/>
    <mergeCell ref="AB93:AB94"/>
    <mergeCell ref="AB3:AB4"/>
    <mergeCell ref="M22:Q22"/>
    <mergeCell ref="Q20:Q21"/>
    <mergeCell ref="W93:AA93"/>
    <mergeCell ref="AA20:AA21"/>
    <mergeCell ref="M93:Q93"/>
    <mergeCell ref="R93:V93"/>
    <mergeCell ref="V20:V21"/>
    <mergeCell ref="W45:AA45"/>
    <mergeCell ref="W22:AA22"/>
    <mergeCell ref="M3:Q3"/>
    <mergeCell ref="R3:V3"/>
    <mergeCell ref="W3:AA3"/>
    <mergeCell ref="A19:B19"/>
    <mergeCell ref="G20:G21"/>
    <mergeCell ref="L20:L21"/>
    <mergeCell ref="H22:L22"/>
    <mergeCell ref="R22:V22"/>
    <mergeCell ref="A9:B9"/>
  </mergeCells>
  <phoneticPr fontId="10" type="noConversion"/>
  <pageMargins left="0.47" right="0.56999999999999995" top="0.98425196850393704" bottom="0.98425196850393704" header="0.51181102362204722" footer="0.51181102362204722"/>
  <pageSetup paperSize="0" scale="31"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Parameters</vt:lpstr>
      <vt:lpstr>Simul</vt:lpstr>
      <vt:lpstr>Forecast</vt:lpstr>
      <vt:lpstr>G&amp;A Expenses</vt:lpstr>
      <vt:lpstr>BP Global</vt:lpstr>
      <vt:lpstr>BP Liftoil</vt:lpstr>
      <vt:lpstr>BP Optimoil</vt:lpstr>
      <vt:lpstr>Calculations</vt:lpstr>
      <vt:lpstr>Cash Flow</vt:lpstr>
      <vt:lpstr>Financing</vt:lpstr>
      <vt:lpstr>'BP Global'!Print_Area</vt:lpstr>
      <vt:lpstr>'BP Liftoil'!Print_Area</vt:lpstr>
      <vt:lpstr>'BP Optimoil'!Print_Area</vt:lpstr>
      <vt:lpstr>Calculations!Print_Area</vt:lpstr>
      <vt:lpstr>Financing!Print_Area</vt:lpstr>
      <vt:lpstr>Forecast!Print_Area</vt:lpstr>
      <vt:lpstr>'G&amp;A Expenses'!Print_Area</vt:lpstr>
      <vt:lpstr>Parameters!Print_Area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GROSPIRON</dc:creator>
  <cp:lastModifiedBy>Anna Onishenko</cp:lastModifiedBy>
  <cp:lastPrinted>2012-03-27T08:40:17Z</cp:lastPrinted>
  <dcterms:created xsi:type="dcterms:W3CDTF">2011-03-15T09:21:21Z</dcterms:created>
  <dcterms:modified xsi:type="dcterms:W3CDTF">2020-02-14T11:37:05Z</dcterms:modified>
</cp:coreProperties>
</file>