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Artem\4 курс 1 сем\Фінансовий аналіз\"/>
    </mc:Choice>
  </mc:AlternateContent>
  <xr:revisionPtr revIDLastSave="0" documentId="13_ncr:1_{42A1AC4B-8C0F-40D2-B5F7-173021640A0E}" xr6:coauthVersionLast="45" xr6:coauthVersionMax="47" xr10:uidLastSave="{00000000-0000-0000-0000-000000000000}"/>
  <bookViews>
    <workbookView xWindow="-120" yWindow="-120" windowWidth="20730" windowHeight="11310" tabRatio="815" activeTab="3" xr2:uid="{00000000-000D-0000-FFFF-FFFF00000000}"/>
  </bookViews>
  <sheets>
    <sheet name="горизонт А" sheetId="1" r:id="rId1"/>
    <sheet name="горизонт П" sheetId="2" r:id="rId2"/>
    <sheet name="верт А" sheetId="3" r:id="rId3"/>
    <sheet name="верт П" sheetId="4" r:id="rId4"/>
    <sheet name="структ майна" sheetId="5" r:id="rId5"/>
    <sheet name="якісна оц ОЗ" sheetId="6" r:id="rId6"/>
    <sheet name="ефективн використ ОЗ" sheetId="7" r:id="rId7"/>
    <sheet name="факторний аналіз" sheetId="8" r:id="rId8"/>
    <sheet name="ефективн ОА" sheetId="9" r:id="rId9"/>
    <sheet name="аналіз запасів" sheetId="10" r:id="rId10"/>
    <sheet name="аналіз ДЗ" sheetId="11" r:id="rId11"/>
    <sheet name="ефективн викорис А" sheetId="12" r:id="rId12"/>
    <sheet name="структ капіталу" sheetId="13" r:id="rId13"/>
    <sheet name="фактор аналіз ВК" sheetId="14" r:id="rId14"/>
    <sheet name="ЗОЛОТІ ПРАВИЛА" sheetId="15" r:id="rId15"/>
    <sheet name="швидкість перетворення та погаш" sheetId="16" r:id="rId16"/>
    <sheet name="Ліквідність балансу" sheetId="17" r:id="rId17"/>
    <sheet name="ліквід активів" sheetId="18" r:id="rId18"/>
    <sheet name="коеф покриття" sheetId="19" r:id="rId19"/>
    <sheet name="коеф рент" sheetId="20" r:id="rId20"/>
    <sheet name="фактор аналіз ресурсовід" sheetId="21" r:id="rId21"/>
    <sheet name="фін стійкість" sheetId="22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8" i="4" l="1"/>
  <c r="C17" i="4"/>
  <c r="B2" i="21" l="1"/>
  <c r="C2" i="21"/>
  <c r="C15" i="20"/>
  <c r="E4" i="10"/>
  <c r="C14" i="20"/>
  <c r="C7" i="18"/>
  <c r="F5" i="17"/>
  <c r="E5" i="17"/>
  <c r="F3" i="17"/>
  <c r="E3" i="17"/>
  <c r="C6" i="17"/>
  <c r="C5" i="17"/>
  <c r="B5" i="17"/>
  <c r="C4" i="17"/>
  <c r="B4" i="17"/>
  <c r="B3" i="17"/>
  <c r="F13" i="16"/>
  <c r="E13" i="16"/>
  <c r="D13" i="16"/>
  <c r="C13" i="16"/>
  <c r="C7" i="14"/>
  <c r="D7" i="14"/>
  <c r="C4" i="14"/>
  <c r="O17" i="12"/>
  <c r="N17" i="12"/>
  <c r="M17" i="12"/>
  <c r="O16" i="12"/>
  <c r="N16" i="12"/>
  <c r="M16" i="12"/>
  <c r="O14" i="12"/>
  <c r="N14" i="12"/>
  <c r="M14" i="12"/>
  <c r="O13" i="12"/>
  <c r="N13" i="12"/>
  <c r="M13" i="12"/>
  <c r="J11" i="11"/>
  <c r="I11" i="11"/>
  <c r="H11" i="11"/>
  <c r="H20" i="9"/>
  <c r="G20" i="9"/>
  <c r="F20" i="9"/>
  <c r="B3" i="7"/>
  <c r="C3" i="7"/>
  <c r="D3" i="7"/>
  <c r="C4" i="7"/>
  <c r="D4" i="7"/>
  <c r="B4" i="7"/>
  <c r="B22" i="5"/>
  <c r="D14" i="5"/>
  <c r="B14" i="5"/>
  <c r="C21" i="4"/>
  <c r="F21" i="4" s="1"/>
  <c r="F6" i="4"/>
  <c r="F7" i="4"/>
  <c r="F9" i="4"/>
  <c r="F11" i="4"/>
  <c r="F14" i="4"/>
  <c r="F15" i="4"/>
  <c r="F17" i="4"/>
  <c r="F18" i="4"/>
  <c r="F19" i="4"/>
  <c r="F20" i="4"/>
  <c r="E6" i="4"/>
  <c r="E7" i="4"/>
  <c r="E9" i="4"/>
  <c r="E14" i="4"/>
  <c r="E15" i="4"/>
  <c r="E17" i="4"/>
  <c r="E18" i="4"/>
  <c r="E19" i="4"/>
  <c r="E20" i="4"/>
  <c r="E21" i="4"/>
  <c r="D6" i="4"/>
  <c r="D7" i="4"/>
  <c r="D9" i="4"/>
  <c r="D10" i="4"/>
  <c r="D14" i="4"/>
  <c r="D15" i="4"/>
  <c r="D17" i="4"/>
  <c r="D18" i="4"/>
  <c r="D19" i="4"/>
  <c r="D20" i="4"/>
  <c r="D21" i="4"/>
  <c r="C6" i="4"/>
  <c r="C7" i="4"/>
  <c r="C9" i="4"/>
  <c r="C14" i="4"/>
  <c r="C15" i="4"/>
  <c r="C19" i="4"/>
  <c r="C20" i="4"/>
  <c r="F17" i="3"/>
  <c r="E17" i="3"/>
  <c r="E19" i="3"/>
  <c r="D17" i="3"/>
  <c r="D19" i="3"/>
  <c r="C19" i="3"/>
  <c r="C17" i="3"/>
  <c r="F14" i="3"/>
  <c r="E14" i="3"/>
  <c r="D14" i="3"/>
  <c r="C14" i="3"/>
  <c r="F7" i="3"/>
  <c r="E7" i="3"/>
  <c r="E9" i="3"/>
  <c r="D7" i="3"/>
  <c r="D9" i="3"/>
  <c r="C7" i="3"/>
  <c r="C9" i="3"/>
  <c r="G7" i="2"/>
  <c r="F7" i="2"/>
  <c r="G5" i="2"/>
  <c r="F5" i="2"/>
  <c r="F18" i="1"/>
  <c r="G18" i="1" s="1"/>
  <c r="G15" i="1"/>
  <c r="F15" i="1"/>
  <c r="C14" i="1"/>
  <c r="D14" i="1"/>
  <c r="E14" i="1"/>
  <c r="C9" i="1"/>
  <c r="D9" i="1"/>
  <c r="E9" i="1"/>
  <c r="F9" i="3" l="1"/>
  <c r="F9" i="1"/>
  <c r="G9" i="1" s="1"/>
  <c r="D13" i="15"/>
  <c r="A13" i="15"/>
  <c r="D3" i="22"/>
  <c r="E3" i="22"/>
  <c r="C3" i="22"/>
  <c r="C6" i="9"/>
  <c r="C2" i="22" s="1"/>
  <c r="C4" i="22" s="1"/>
  <c r="D3" i="21"/>
  <c r="E3" i="21" s="1"/>
  <c r="D4" i="21"/>
  <c r="E4" i="21" s="1"/>
  <c r="D2" i="21"/>
  <c r="E2" i="21" s="1"/>
  <c r="C5" i="21"/>
  <c r="C6" i="21"/>
  <c r="C7" i="21"/>
  <c r="B6" i="21"/>
  <c r="B5" i="21"/>
  <c r="B7" i="21"/>
  <c r="D5" i="21" l="1"/>
  <c r="E5" i="21" s="1"/>
  <c r="D7" i="21"/>
  <c r="E7" i="21" s="1"/>
  <c r="B11" i="21"/>
  <c r="B10" i="21"/>
  <c r="D6" i="21"/>
  <c r="E6" i="21" s="1"/>
  <c r="B15" i="21" s="1"/>
  <c r="B16" i="21" s="1"/>
  <c r="B17" i="21" s="1"/>
  <c r="B12" i="21" l="1"/>
  <c r="C8" i="20"/>
  <c r="D8" i="20"/>
  <c r="B8" i="20"/>
  <c r="D15" i="20"/>
  <c r="C7" i="20" s="1"/>
  <c r="E15" i="20"/>
  <c r="D7" i="20" s="1"/>
  <c r="B7" i="20"/>
  <c r="C6" i="20"/>
  <c r="D6" i="20"/>
  <c r="B6" i="20"/>
  <c r="C5" i="20"/>
  <c r="D5" i="20"/>
  <c r="B5" i="20"/>
  <c r="D19" i="20"/>
  <c r="E19" i="20"/>
  <c r="C19" i="20"/>
  <c r="B4" i="20" s="1"/>
  <c r="C3" i="20"/>
  <c r="D3" i="20"/>
  <c r="B3" i="20"/>
  <c r="C2" i="20"/>
  <c r="D2" i="20"/>
  <c r="B2" i="20"/>
  <c r="C2" i="9"/>
  <c r="C4" i="20" l="1"/>
  <c r="D4" i="20"/>
  <c r="D7" i="19" l="1"/>
  <c r="C7" i="19"/>
  <c r="D6" i="19"/>
  <c r="C6" i="19"/>
  <c r="D5" i="19"/>
  <c r="C5" i="19"/>
  <c r="B7" i="18"/>
  <c r="B8" i="18"/>
  <c r="B4" i="18"/>
  <c r="D3" i="19"/>
  <c r="C3" i="19"/>
  <c r="B3" i="16"/>
  <c r="B5" i="16" s="1"/>
  <c r="D4" i="19"/>
  <c r="C4" i="19"/>
  <c r="D2" i="19"/>
  <c r="C2" i="19"/>
  <c r="C6" i="18"/>
  <c r="D6" i="18"/>
  <c r="B6" i="18"/>
  <c r="D7" i="18"/>
  <c r="C5" i="18"/>
  <c r="D5" i="18"/>
  <c r="B5" i="18"/>
  <c r="D6" i="9"/>
  <c r="D2" i="22" s="1"/>
  <c r="D4" i="22" s="1"/>
  <c r="E6" i="9"/>
  <c r="E2" i="22" s="1"/>
  <c r="E4" i="22" s="1"/>
  <c r="H3" i="17"/>
  <c r="H4" i="17"/>
  <c r="H5" i="17"/>
  <c r="H6" i="17"/>
  <c r="G4" i="17"/>
  <c r="G5" i="17"/>
  <c r="G6" i="17"/>
  <c r="G3" i="17"/>
  <c r="E7" i="17"/>
  <c r="C7" i="17"/>
  <c r="B7" i="17"/>
  <c r="C4" i="16"/>
  <c r="C6" i="16" s="1"/>
  <c r="E14" i="16"/>
  <c r="F14" i="16"/>
  <c r="D4" i="16" s="1"/>
  <c r="D6" i="16" s="1"/>
  <c r="D14" i="16"/>
  <c r="B4" i="16" s="1"/>
  <c r="B6" i="16" s="1"/>
  <c r="G7" i="17" l="1"/>
  <c r="D9" i="19"/>
  <c r="C9" i="19"/>
  <c r="C8" i="19"/>
  <c r="C10" i="19" s="1"/>
  <c r="C11" i="19" s="1"/>
  <c r="C12" i="19" s="1"/>
  <c r="C14" i="19" s="1"/>
  <c r="D8" i="19"/>
  <c r="D10" i="19" s="1"/>
  <c r="D11" i="19" s="1"/>
  <c r="D12" i="19" s="1"/>
  <c r="D14" i="19" s="1"/>
  <c r="D13" i="19"/>
  <c r="C13" i="19"/>
  <c r="F7" i="17"/>
  <c r="H7" i="17" s="1"/>
  <c r="D3" i="16"/>
  <c r="D5" i="16" s="1"/>
  <c r="C3" i="16"/>
  <c r="C5" i="16" s="1"/>
  <c r="C3" i="11"/>
  <c r="C2" i="11"/>
  <c r="D12" i="15"/>
  <c r="A6" i="15"/>
  <c r="A12" i="15"/>
  <c r="D6" i="15"/>
  <c r="A5" i="15"/>
  <c r="D5" i="15"/>
  <c r="D10" i="14" l="1"/>
  <c r="C10" i="14"/>
  <c r="D9" i="14"/>
  <c r="C9" i="14"/>
  <c r="E2" i="14"/>
  <c r="E3" i="14"/>
  <c r="E5" i="14"/>
  <c r="E6" i="14"/>
  <c r="E7" i="14"/>
  <c r="F7" i="14" l="1"/>
  <c r="F2" i="14"/>
  <c r="F3" i="14"/>
  <c r="F5" i="14"/>
  <c r="F6" i="14"/>
  <c r="E9" i="14"/>
  <c r="F9" i="14" s="1"/>
  <c r="E10" i="14"/>
  <c r="F10" i="14" s="1"/>
  <c r="D4" i="14"/>
  <c r="C8" i="14"/>
  <c r="C11" i="14" s="1"/>
  <c r="N7" i="12"/>
  <c r="O7" i="12"/>
  <c r="M7" i="12"/>
  <c r="N6" i="12"/>
  <c r="S6" i="12" s="1"/>
  <c r="O6" i="12"/>
  <c r="T6" i="12" s="1"/>
  <c r="M6" i="12"/>
  <c r="R6" i="12" s="1"/>
  <c r="N5" i="12"/>
  <c r="S5" i="12" s="1"/>
  <c r="O5" i="12"/>
  <c r="T5" i="12" s="1"/>
  <c r="M5" i="12"/>
  <c r="R5" i="12" s="1"/>
  <c r="D2" i="9"/>
  <c r="E2" i="9"/>
  <c r="N4" i="12"/>
  <c r="S4" i="12" s="1"/>
  <c r="O4" i="12"/>
  <c r="T4" i="12" s="1"/>
  <c r="M4" i="12"/>
  <c r="R4" i="12" s="1"/>
  <c r="N3" i="12"/>
  <c r="S3" i="12" s="1"/>
  <c r="O3" i="12"/>
  <c r="T3" i="12" s="1"/>
  <c r="M3" i="12"/>
  <c r="R3" i="12" s="1"/>
  <c r="K3" i="13"/>
  <c r="J3" i="13"/>
  <c r="I3" i="13"/>
  <c r="I2" i="13"/>
  <c r="K4" i="13"/>
  <c r="J4" i="13"/>
  <c r="I4" i="13"/>
  <c r="J2" i="13"/>
  <c r="K2" i="13"/>
  <c r="H14" i="11"/>
  <c r="H13" i="11"/>
  <c r="I14" i="11" s="1"/>
  <c r="D3" i="11"/>
  <c r="I13" i="11" s="1"/>
  <c r="J14" i="11" s="1"/>
  <c r="E3" i="11"/>
  <c r="J13" i="11" s="1"/>
  <c r="D2" i="11"/>
  <c r="E2" i="11"/>
  <c r="D5" i="11"/>
  <c r="E5" i="11"/>
  <c r="C5" i="11"/>
  <c r="D4" i="10"/>
  <c r="C4" i="10"/>
  <c r="D3" i="10"/>
  <c r="E3" i="10"/>
  <c r="C3" i="10"/>
  <c r="D2" i="10"/>
  <c r="E2" i="10"/>
  <c r="C2" i="10"/>
  <c r="F18" i="9"/>
  <c r="D3" i="9"/>
  <c r="G17" i="9" s="1"/>
  <c r="H18" i="9" s="1"/>
  <c r="E3" i="9"/>
  <c r="H17" i="9" s="1"/>
  <c r="C3" i="9"/>
  <c r="F17" i="9" s="1"/>
  <c r="C4" i="18"/>
  <c r="C8" i="18" s="1"/>
  <c r="D4" i="18"/>
  <c r="D8" i="18" s="1"/>
  <c r="D5" i="9"/>
  <c r="E5" i="9"/>
  <c r="C5" i="9"/>
  <c r="D8" i="14" l="1"/>
  <c r="E4" i="14"/>
  <c r="F4" i="14" s="1"/>
  <c r="E4" i="11"/>
  <c r="D4" i="11"/>
  <c r="E4" i="9"/>
  <c r="C4" i="9"/>
  <c r="G18" i="9"/>
  <c r="D4" i="9" s="1"/>
  <c r="C4" i="11"/>
  <c r="C2" i="6"/>
  <c r="D11" i="14" l="1"/>
  <c r="E11" i="14" s="1"/>
  <c r="F11" i="14" s="1"/>
  <c r="C16" i="14"/>
  <c r="C15" i="14"/>
  <c r="C17" i="14"/>
  <c r="E8" i="14"/>
  <c r="F8" i="14" s="1"/>
  <c r="C20" i="14" s="1"/>
  <c r="D5" i="8"/>
  <c r="C5" i="8"/>
  <c r="D4" i="8"/>
  <c r="D7" i="8" s="1"/>
  <c r="C4" i="8"/>
  <c r="L19" i="6"/>
  <c r="D7" i="6" s="1"/>
  <c r="M19" i="6"/>
  <c r="E8" i="6" s="1"/>
  <c r="K19" i="6"/>
  <c r="L14" i="6"/>
  <c r="D6" i="6" s="1"/>
  <c r="M14" i="6"/>
  <c r="E6" i="6" s="1"/>
  <c r="K14" i="6"/>
  <c r="C6" i="6" s="1"/>
  <c r="D2" i="6"/>
  <c r="D3" i="6" s="1"/>
  <c r="E2" i="6"/>
  <c r="E3" i="6" s="1"/>
  <c r="C3" i="6"/>
  <c r="D25" i="5"/>
  <c r="E25" i="5" s="1"/>
  <c r="B25" i="5"/>
  <c r="C26" i="5"/>
  <c r="D21" i="5"/>
  <c r="B21" i="5"/>
  <c r="D12" i="5"/>
  <c r="B12" i="5"/>
  <c r="F9" i="5"/>
  <c r="G9" i="5" s="1"/>
  <c r="F10" i="5"/>
  <c r="G10" i="5" s="1"/>
  <c r="F7" i="5"/>
  <c r="G7" i="5" s="1"/>
  <c r="F8" i="5"/>
  <c r="G8" i="5" s="1"/>
  <c r="F16" i="5"/>
  <c r="G16" i="5" s="1"/>
  <c r="F17" i="5"/>
  <c r="G17" i="5" s="1"/>
  <c r="F18" i="5"/>
  <c r="F20" i="5"/>
  <c r="G20" i="5" s="1"/>
  <c r="F22" i="5"/>
  <c r="G22" i="5" s="1"/>
  <c r="F23" i="5"/>
  <c r="G23" i="5" s="1"/>
  <c r="F6" i="5"/>
  <c r="G6" i="5" s="1"/>
  <c r="E8" i="5"/>
  <c r="C9" i="5"/>
  <c r="E4" i="4"/>
  <c r="D4" i="4"/>
  <c r="C4" i="4"/>
  <c r="E16" i="3"/>
  <c r="E15" i="3"/>
  <c r="E11" i="3"/>
  <c r="E12" i="3"/>
  <c r="E13" i="3"/>
  <c r="E10" i="3"/>
  <c r="E4" i="3"/>
  <c r="E5" i="3"/>
  <c r="E3" i="3"/>
  <c r="E20" i="3"/>
  <c r="D20" i="3"/>
  <c r="D16" i="3"/>
  <c r="D15" i="3"/>
  <c r="D11" i="3"/>
  <c r="D12" i="3"/>
  <c r="D13" i="3"/>
  <c r="D10" i="3"/>
  <c r="D3" i="3"/>
  <c r="D4" i="3"/>
  <c r="D5" i="3"/>
  <c r="C20" i="3"/>
  <c r="F19" i="3"/>
  <c r="C11" i="3"/>
  <c r="C12" i="3"/>
  <c r="C13" i="3"/>
  <c r="C15" i="3"/>
  <c r="C16" i="3"/>
  <c r="F16" i="3" s="1"/>
  <c r="C10" i="3"/>
  <c r="C3" i="3"/>
  <c r="C4" i="3"/>
  <c r="C5" i="3"/>
  <c r="F8" i="2"/>
  <c r="G8" i="2" s="1"/>
  <c r="F15" i="2"/>
  <c r="G15" i="2" s="1"/>
  <c r="F16" i="2"/>
  <c r="G16" i="2" s="1"/>
  <c r="F18" i="2"/>
  <c r="G18" i="2" s="1"/>
  <c r="F19" i="2"/>
  <c r="G19" i="2" s="1"/>
  <c r="F20" i="2"/>
  <c r="G20" i="2" s="1"/>
  <c r="F20" i="1"/>
  <c r="G20" i="1" s="1"/>
  <c r="F12" i="1"/>
  <c r="G12" i="1" s="1"/>
  <c r="F13" i="1"/>
  <c r="G13" i="1" s="1"/>
  <c r="F16" i="1"/>
  <c r="G16" i="1" s="1"/>
  <c r="F17" i="1"/>
  <c r="G17" i="1" s="1"/>
  <c r="F7" i="1"/>
  <c r="G7" i="1" s="1"/>
  <c r="F11" i="1"/>
  <c r="G11" i="1" s="1"/>
  <c r="F6" i="1"/>
  <c r="G6" i="1" s="1"/>
  <c r="F5" i="1"/>
  <c r="G5" i="1" s="1"/>
  <c r="F14" i="1"/>
  <c r="G14" i="1" s="1"/>
  <c r="C21" i="14" l="1"/>
  <c r="C18" i="14"/>
  <c r="E4" i="8"/>
  <c r="F4" i="8" s="1"/>
  <c r="C7" i="8"/>
  <c r="E7" i="8" s="1"/>
  <c r="F7" i="8" s="1"/>
  <c r="E9" i="6"/>
  <c r="C3" i="8"/>
  <c r="C6" i="8" s="1"/>
  <c r="E12" i="8" s="1"/>
  <c r="D3" i="8"/>
  <c r="D6" i="8" s="1"/>
  <c r="E7" i="6"/>
  <c r="D9" i="6"/>
  <c r="D8" i="6"/>
  <c r="C7" i="6"/>
  <c r="C9" i="6"/>
  <c r="C8" i="6"/>
  <c r="F4" i="4"/>
  <c r="F13" i="3"/>
  <c r="F15" i="3"/>
  <c r="F12" i="3"/>
  <c r="F11" i="3"/>
  <c r="F10" i="3"/>
  <c r="F5" i="3"/>
  <c r="F4" i="3"/>
  <c r="F3" i="3"/>
  <c r="E5" i="8"/>
  <c r="F5" i="8" s="1"/>
  <c r="E26" i="5"/>
  <c r="F26" i="5"/>
  <c r="G26" i="5" s="1"/>
  <c r="F25" i="5"/>
  <c r="G25" i="5" s="1"/>
  <c r="C25" i="5"/>
  <c r="C10" i="5"/>
  <c r="E10" i="5"/>
  <c r="F12" i="5"/>
  <c r="G12" i="5" s="1"/>
  <c r="C12" i="5"/>
  <c r="E9" i="5"/>
  <c r="F21" i="5"/>
  <c r="G21" i="5" s="1"/>
  <c r="F14" i="5"/>
  <c r="G14" i="5" s="1"/>
  <c r="F11" i="5"/>
  <c r="G11" i="5" s="1"/>
  <c r="C11" i="5"/>
  <c r="E20" i="5"/>
  <c r="E7" i="5"/>
  <c r="E18" i="5"/>
  <c r="E11" i="5"/>
  <c r="E17" i="5"/>
  <c r="E6" i="5"/>
  <c r="E16" i="5"/>
  <c r="E23" i="5"/>
  <c r="E14" i="5"/>
  <c r="E22" i="5"/>
  <c r="C8" i="5"/>
  <c r="E21" i="5"/>
  <c r="E12" i="5"/>
  <c r="C18" i="5"/>
  <c r="C17" i="5"/>
  <c r="C7" i="5"/>
  <c r="C23" i="5"/>
  <c r="C6" i="5"/>
  <c r="C16" i="5"/>
  <c r="C14" i="5"/>
  <c r="C22" i="5"/>
  <c r="C21" i="5"/>
  <c r="C20" i="5"/>
  <c r="C22" i="14" l="1"/>
  <c r="C23" i="14" s="1"/>
  <c r="E11" i="8"/>
  <c r="C12" i="8"/>
  <c r="C8" i="8"/>
  <c r="C11" i="8"/>
  <c r="E6" i="8"/>
  <c r="F6" i="8" s="1"/>
  <c r="E3" i="8"/>
  <c r="F3" i="8" s="1"/>
  <c r="E13" i="8"/>
  <c r="E16" i="8" s="1"/>
  <c r="D8" i="8"/>
  <c r="E8" i="8" s="1"/>
  <c r="F8" i="8" s="1"/>
  <c r="E15" i="8"/>
  <c r="C13" i="8" l="1"/>
  <c r="E18" i="8"/>
</calcChain>
</file>

<file path=xl/sharedStrings.xml><?xml version="1.0" encoding="utf-8"?>
<sst xmlns="http://schemas.openxmlformats.org/spreadsheetml/2006/main" count="458" uniqueCount="280">
  <si>
    <t>Статті балансу</t>
  </si>
  <si>
    <t>Рядок</t>
  </si>
  <si>
    <t>Актив</t>
  </si>
  <si>
    <t>тис. грн.</t>
  </si>
  <si>
    <t>тис. грн</t>
  </si>
  <si>
    <t>у %</t>
  </si>
  <si>
    <t xml:space="preserve">Нематеріальні активи </t>
  </si>
  <si>
    <t xml:space="preserve">Основні засоби </t>
  </si>
  <si>
    <t xml:space="preserve">Інвестиційна нерухомість </t>
  </si>
  <si>
    <t>Довгострокові фінансові інвестиції</t>
  </si>
  <si>
    <t>1030+1035</t>
  </si>
  <si>
    <t>Довгострокова дебіторська заборгованість</t>
  </si>
  <si>
    <t>Оборотні активи, всього, у тому числі:</t>
  </si>
  <si>
    <t>Запаси</t>
  </si>
  <si>
    <t>Дебіторська заборгованість за продукцію, товари, роботи, послуги</t>
  </si>
  <si>
    <t>Дебіторська заборгованість за рахунками</t>
  </si>
  <si>
    <t>1130+1135+1136</t>
  </si>
  <si>
    <t xml:space="preserve">Дебіторська заборгованість за розрахунками з нарахованих доходів </t>
  </si>
  <si>
    <t>Інша поточна дебіторська заборгованість</t>
  </si>
  <si>
    <t>Гроші та їх еквіваленти</t>
  </si>
  <si>
    <t>Інші оборотні активи</t>
  </si>
  <si>
    <t>Необоротні активи, утримувані для продажу, та групи вибуття</t>
  </si>
  <si>
    <t>Баланс</t>
  </si>
  <si>
    <t>Пасив</t>
  </si>
  <si>
    <t>Власний капітал</t>
  </si>
  <si>
    <t xml:space="preserve"> </t>
  </si>
  <si>
    <t>Зареєстрований (пайовий) капітал</t>
  </si>
  <si>
    <t>Капітал у дооцінках</t>
  </si>
  <si>
    <t>Резервний капітал</t>
  </si>
  <si>
    <t>Нерозподілений прибуток  (непокритий збиток)</t>
  </si>
  <si>
    <t>Інші резерви</t>
  </si>
  <si>
    <t>Довгострокові зобов’язання  та забезпечення</t>
  </si>
  <si>
    <t>Відстрочені податкові зобов'язання</t>
  </si>
  <si>
    <t>Довгострокові забезпечення</t>
  </si>
  <si>
    <t>Страхові резерви</t>
  </si>
  <si>
    <t>Поточні зобов’язання та забезпечення</t>
  </si>
  <si>
    <t>Поточна кредиторська заборгованість за Т/Р/П</t>
  </si>
  <si>
    <t>Поточна кредиторська заборгованість за розрахунки з бюджетом</t>
  </si>
  <si>
    <t>Поточна кредиторська заборгованість за розрахунками з оплати праці</t>
  </si>
  <si>
    <t>Поточна кредиторська заборгованість за одержаними авансами</t>
  </si>
  <si>
    <t>Інші поточні зобов’язання</t>
  </si>
  <si>
    <t>Питома вага, %</t>
  </si>
  <si>
    <t>Зміна за структурою</t>
  </si>
  <si>
    <t xml:space="preserve">Необоротні активи, всього, у тому числі: </t>
  </si>
  <si>
    <t>Залишок коштів у централізованих страхових резервних фондах</t>
  </si>
  <si>
    <t>Оборотні активи,  всього, у тому числі:</t>
  </si>
  <si>
    <t xml:space="preserve">Частка перестраховика у страхових резервах </t>
  </si>
  <si>
    <t>Необоротні активи, утримувані  для продажу, та групи вибуття</t>
  </si>
  <si>
    <t>Показник</t>
  </si>
  <si>
    <t>Значення показника</t>
  </si>
  <si>
    <t>Зміни</t>
  </si>
  <si>
    <t>На початок року</t>
  </si>
  <si>
    <t>У % до валюти балансу</t>
  </si>
  <si>
    <t>На кінець року</t>
  </si>
  <si>
    <t>(гр.4 - гр.2)</t>
  </si>
  <si>
    <t>(гр.6: гр.2)</t>
  </si>
  <si>
    <t>* 100</t>
  </si>
  <si>
    <t>АКТИВ</t>
  </si>
  <si>
    <t>Необоротні активи</t>
  </si>
  <si>
    <t>Поточні активи — усього</t>
  </si>
  <si>
    <t xml:space="preserve">Із них запаси, у тому числі: </t>
  </si>
  <si>
    <t>Ліквідні активи – усього, з них:</t>
  </si>
  <si>
    <t>векселі одержані</t>
  </si>
  <si>
    <t>дебіторська заборгованість</t>
  </si>
  <si>
    <t>поточні фінансові інвестиції</t>
  </si>
  <si>
    <t>грошові кошти та їх еквіваленти</t>
  </si>
  <si>
    <t>інші оборотні активи</t>
  </si>
  <si>
    <t>витрати майбутніх періодів</t>
  </si>
  <si>
    <t>ПАСИВ</t>
  </si>
  <si>
    <t>Позикові кошти – усього, із них</t>
  </si>
  <si>
    <t>Довгострокові зобов'язання</t>
  </si>
  <si>
    <t>Короткострокові зобов'язання</t>
  </si>
  <si>
    <t>Валюта балансу</t>
  </si>
  <si>
    <t>Нерозподілений прибуток (непокритий збиток)</t>
  </si>
  <si>
    <t>Довгострокові зобов’язання та забезпечення</t>
  </si>
  <si>
    <t>Поточна кредиторська заборгованість за товари, роботи, послуги</t>
  </si>
  <si>
    <t>Поточна кредиторська заборгованість за розрахунками зі страхування</t>
  </si>
  <si>
    <t>Поточна кредиторська заборгованість за одеражаними авансами</t>
  </si>
  <si>
    <t>Поточна кредиторська заборгованість за страховою діяльністю</t>
  </si>
  <si>
    <t>-</t>
  </si>
  <si>
    <t>виробничі запаси;</t>
  </si>
  <si>
    <t>інші</t>
  </si>
  <si>
    <t>готова продукція;</t>
  </si>
  <si>
    <t xml:space="preserve">у чому числі: кредити банку; </t>
  </si>
  <si>
    <t>розрахунки з кредиторами;</t>
  </si>
  <si>
    <t xml:space="preserve"> інші</t>
  </si>
  <si>
    <t>Коефіцієнт придатності ОЗ</t>
  </si>
  <si>
    <t>Фондовіддача</t>
  </si>
  <si>
    <t>Фондорентабельність</t>
  </si>
  <si>
    <t>Коефіцієнт зносу ОЗ</t>
  </si>
  <si>
    <t>Коефіцієнт оновлення ОЗ</t>
  </si>
  <si>
    <t>Коефіцієнт вибуття ОЗ</t>
  </si>
  <si>
    <t>Індекс постійного активу</t>
  </si>
  <si>
    <t>№</t>
  </si>
  <si>
    <t>Базисний рік</t>
  </si>
  <si>
    <t>Звітний рік</t>
  </si>
  <si>
    <t>абсолютне</t>
  </si>
  <si>
    <t>відносне</t>
  </si>
  <si>
    <t>Середньорічна вартість ОЗ</t>
  </si>
  <si>
    <t>Чистий дохід</t>
  </si>
  <si>
    <t xml:space="preserve">Прибуток від реалізації </t>
  </si>
  <si>
    <t>Рентабельність реалізованої продукції</t>
  </si>
  <si>
    <t xml:space="preserve">Фондорентабельність </t>
  </si>
  <si>
    <t>Відхилення</t>
  </si>
  <si>
    <t>ПВ ОЗ на к</t>
  </si>
  <si>
    <t>ПВ ОЗ на п</t>
  </si>
  <si>
    <t>Інші НА</t>
  </si>
  <si>
    <t>ОЗ</t>
  </si>
  <si>
    <t>ВК</t>
  </si>
  <si>
    <t>ЧД</t>
  </si>
  <si>
    <t>сер в. ОЗ</t>
  </si>
  <si>
    <t>Прибуток</t>
  </si>
  <si>
    <t>Показник оцінки</t>
  </si>
  <si>
    <t>Знос ОЗ на к</t>
  </si>
  <si>
    <t>Фондорентабельність (Rовз)</t>
  </si>
  <si>
    <t>Дані про оновлення та вибуття ОЗ відсутні</t>
  </si>
  <si>
    <t>Зміна рое за рах рент прод</t>
  </si>
  <si>
    <t>Зміна рое за рах зміни оборотності кап</t>
  </si>
  <si>
    <t>Коефіцієнт оборотності ОА</t>
  </si>
  <si>
    <t>Тривалість одного обороту ОА</t>
  </si>
  <si>
    <t>Величина вивільнення (додаткового залучення) коштів з обороту (в оборот) внаслідок прискорення (уповільнення) їх обертання</t>
  </si>
  <si>
    <t>Коефіцієнт завантаження ОА</t>
  </si>
  <si>
    <t>ЧОА</t>
  </si>
  <si>
    <t>ОА</t>
  </si>
  <si>
    <t>Тп</t>
  </si>
  <si>
    <t>То зв</t>
  </si>
  <si>
    <t>То баз</t>
  </si>
  <si>
    <t>КП</t>
  </si>
  <si>
    <t>Коефіцієнт оборотності запасів</t>
  </si>
  <si>
    <t>Період обороту запасів</t>
  </si>
  <si>
    <t>запаси</t>
  </si>
  <si>
    <t>Св</t>
  </si>
  <si>
    <t>ВЗ</t>
  </si>
  <si>
    <t>НВ</t>
  </si>
  <si>
    <t>ГП</t>
  </si>
  <si>
    <t>Т</t>
  </si>
  <si>
    <t>Коефіцієнт накопичення</t>
  </si>
  <si>
    <t>Коефіцієнт оборотності ДЗ</t>
  </si>
  <si>
    <t>Період погашення (інкасації) ДЗ</t>
  </si>
  <si>
    <t>Величина вивільнення (додаткового залучення) коштів з обороту (в оборот) внаслідок зміни оборотності ДЗ</t>
  </si>
  <si>
    <t>Коефіцієнт відволікання оборотних коштів у ДЗ</t>
  </si>
  <si>
    <t>ДЗ</t>
  </si>
  <si>
    <t>НАЗВА ПОКАЗНИКА</t>
  </si>
  <si>
    <t>ФОРМУЛА</t>
  </si>
  <si>
    <t>АЛГОРИТМ</t>
  </si>
  <si>
    <t>Коефіцієнт оборотності активів (трансформації капіталу, ресурсовіддача)</t>
  </si>
  <si>
    <t xml:space="preserve">Чистий дохід </t>
  </si>
  <si>
    <t>Середній підсумок балансу</t>
  </si>
  <si>
    <t>Ряд. 2000 ф.№2</t>
  </si>
  <si>
    <t>(ряд.1300ф.1 гр.3+ ряд.1300 гр.4 ф.№1) / 2</t>
  </si>
  <si>
    <t>Коефіцієнт оборотності оборотних активів</t>
  </si>
  <si>
    <t>Середні оборотні активи</t>
  </si>
  <si>
    <t>(1195гр.3 ф.№1 + 1195 гр.4 ф.№1) / 2</t>
  </si>
  <si>
    <t>Коефіцієнт оборотності матеріально-виробничих запасів</t>
  </si>
  <si>
    <t xml:space="preserve">Собівартість </t>
  </si>
  <si>
    <t>Середні виробничі запаси</t>
  </si>
  <si>
    <t>Ряд. 2050 ф.№2</t>
  </si>
  <si>
    <t>(ряд.1100+1110,1170 ф.1 гр. 3+ ряд. 1100+1110+ 1170 гр.4 ф.№1) / 2</t>
  </si>
  <si>
    <t>Коефіцієнт оборотності основних засобів (фондовіддача)</t>
  </si>
  <si>
    <t>Середня вартість основних засобів</t>
  </si>
  <si>
    <t>(ряд. 1011гр. 3+ ряд.1011  гр.4 ф.№1) / 2</t>
  </si>
  <si>
    <t>Коефіцієнт рентабельності активів (всього капіталу)</t>
  </si>
  <si>
    <t>Чистий прибуток</t>
  </si>
  <si>
    <t>Середня величина активів</t>
  </si>
  <si>
    <t>(валюти балансу)</t>
  </si>
  <si>
    <t>Ряд.2350або 2355 ф.№2</t>
  </si>
  <si>
    <t>(ряд.1300ф.№1гр.3 + ряд.300 ф.№1гр.4) / 2</t>
  </si>
  <si>
    <t>Назва показника</t>
  </si>
  <si>
    <t>Формула розрахунку</t>
  </si>
  <si>
    <t>Розрахунок</t>
  </si>
  <si>
    <t>Орієнтовне значення</t>
  </si>
  <si>
    <t>Коефіцієнт фінансової незалежності (автономії)</t>
  </si>
  <si>
    <t>Ряд. 1495</t>
  </si>
  <si>
    <t>Ряд. 1900</t>
  </si>
  <si>
    <t>&gt; 0,5</t>
  </si>
  <si>
    <t xml:space="preserve">Коефіцієнт фінансування           </t>
  </si>
  <si>
    <t>(заборгованості)</t>
  </si>
  <si>
    <t>Позичковий капітал</t>
  </si>
  <si>
    <t>Ряд.1900- 1495</t>
  </si>
  <si>
    <t>&lt; 1</t>
  </si>
  <si>
    <t>Коефіцієнт фінансової стійкості</t>
  </si>
  <si>
    <t>(Ряд. 1495 + ряд 1595)</t>
  </si>
  <si>
    <t>збільшення</t>
  </si>
  <si>
    <t>Коефіцієнт фінансування (заборгованості)</t>
  </si>
  <si>
    <r>
      <t xml:space="preserve">Власний і довгостроковий </t>
    </r>
    <r>
      <rPr>
        <u/>
        <sz val="12"/>
        <color rgb="FF002060"/>
        <rFont val="Arial"/>
        <family val="2"/>
      </rPr>
      <t>позиковий капітал</t>
    </r>
  </si>
  <si>
    <t xml:space="preserve">Термін обороту </t>
  </si>
  <si>
    <t>Середні ОА</t>
  </si>
  <si>
    <t>Собівартість</t>
  </si>
  <si>
    <t>Середні Вир Зап</t>
  </si>
  <si>
    <t>Середня вартість ОЗ</t>
  </si>
  <si>
    <t>Середня валюта балансу</t>
  </si>
  <si>
    <t>ЧП</t>
  </si>
  <si>
    <t>ОА сер</t>
  </si>
  <si>
    <t>Фінансовий результат до оподаткування</t>
  </si>
  <si>
    <t xml:space="preserve">Податок на прибуток </t>
  </si>
  <si>
    <t xml:space="preserve">Чистий прибуток </t>
  </si>
  <si>
    <t xml:space="preserve">Середньорічна сума капіталу </t>
  </si>
  <si>
    <t xml:space="preserve">Середньорічна сума власного капіталу </t>
  </si>
  <si>
    <t xml:space="preserve">Рентабельність продажу </t>
  </si>
  <si>
    <t xml:space="preserve">Коефіцієнт оборотності капіталу </t>
  </si>
  <si>
    <t xml:space="preserve">Мультиплікатор капіталу </t>
  </si>
  <si>
    <t xml:space="preserve">Рентабельність власного капіталу </t>
  </si>
  <si>
    <t>Зміна рое за рах зміни мультипоік</t>
  </si>
  <si>
    <t>Золоте правило фінансування</t>
  </si>
  <si>
    <t>&lt;</t>
  </si>
  <si>
    <t>&gt;</t>
  </si>
  <si>
    <t>на початок року</t>
  </si>
  <si>
    <t>на кінець року</t>
  </si>
  <si>
    <t>1195/1695</t>
  </si>
  <si>
    <t>1095/(1595+1495)</t>
  </si>
  <si>
    <t>Золоте правило балансу</t>
  </si>
  <si>
    <t>(1595+1495)/1095</t>
  </si>
  <si>
    <t xml:space="preserve">Коефіцієнт оборотності дебіторської заборгованості </t>
  </si>
  <si>
    <t>Коефіцієнт оборотності кредиторської заборгованості</t>
  </si>
  <si>
    <t>Строк погашення заборгованості дебіторської заборгованості (ДЗ)</t>
  </si>
  <si>
    <t>Строк погашення заборгованості кредиторської заборгованості (КЗ)</t>
  </si>
  <si>
    <t>КЗ</t>
  </si>
  <si>
    <t>ср КЗ</t>
  </si>
  <si>
    <t>Платіжний НАДЛИШОК або НЕСТАЧА</t>
  </si>
  <si>
    <t>А1</t>
  </si>
  <si>
    <t>П1</t>
  </si>
  <si>
    <t>А2</t>
  </si>
  <si>
    <t>П2</t>
  </si>
  <si>
    <t>А3</t>
  </si>
  <si>
    <t>П3</t>
  </si>
  <si>
    <t>А4</t>
  </si>
  <si>
    <t>П4</t>
  </si>
  <si>
    <t>Величина чистих оборотних активів (власні оборотні кошти, робочий, функціонуючий капітал)</t>
  </si>
  <si>
    <t>Коефіцієнт абсолютної ліквідності</t>
  </si>
  <si>
    <t>Коефіцієнт швидкої (проміжної) ліквідності (“кислотний тест”)</t>
  </si>
  <si>
    <t>Коефіцієнт поточної (загальної) ліквідності (покриття)</t>
  </si>
  <si>
    <t>Коефіцієнт маневрування чистих оборотних активів</t>
  </si>
  <si>
    <t>&gt;0</t>
  </si>
  <si>
    <t>&gt;0, збільшення</t>
  </si>
  <si>
    <t>&gt;1</t>
  </si>
  <si>
    <t xml:space="preserve">Показник </t>
  </si>
  <si>
    <t>базисний рік</t>
  </si>
  <si>
    <t>звітний рік</t>
  </si>
  <si>
    <t xml:space="preserve">Оборотні активи </t>
  </si>
  <si>
    <t xml:space="preserve">у т.ч. дебіторська заборгованість </t>
  </si>
  <si>
    <t xml:space="preserve">Поточні зобов'язання </t>
  </si>
  <si>
    <t xml:space="preserve">у т.ч. кредиторська заборгованість </t>
  </si>
  <si>
    <t xml:space="preserve">Чистий дохід реалізації </t>
  </si>
  <si>
    <t xml:space="preserve">Собівартість реалізованої продукції </t>
  </si>
  <si>
    <t>Тривалість обороту дебіторської заборгованості</t>
  </si>
  <si>
    <t>Тривалість обороту кредиторської заборгованості</t>
  </si>
  <si>
    <t xml:space="preserve">Відхилення тривалості обороту коштів в розрахунках </t>
  </si>
  <si>
    <t xml:space="preserve">Величина коштів, на яку необхідно збільшити/зменшити оборотні активи </t>
  </si>
  <si>
    <t xml:space="preserve">Перерахований обсяг оборотних активів </t>
  </si>
  <si>
    <t>Фактичне значення коефіцієнту покриття</t>
  </si>
  <si>
    <t xml:space="preserve">Нормативне значення коефіцієнту покриття </t>
  </si>
  <si>
    <t xml:space="preserve">Коефіцієнт рентабельності продажу за фінансовими результатами від операційної діяльності (EBIT) </t>
  </si>
  <si>
    <t xml:space="preserve">Коефіцієнт рентабельності продажу за фінансовими результатами EBITDA </t>
  </si>
  <si>
    <t>Коефіцієнт  рентабельності реалізації 1</t>
  </si>
  <si>
    <t>Коефіцієнт рентабельності реалізації 2 (Операційна рентабельність продажу)</t>
  </si>
  <si>
    <t>Коефіцієнт рентабельності основної діяльності</t>
  </si>
  <si>
    <t>Коефіцієнт рентабельності власного капіталу</t>
  </si>
  <si>
    <t>EBIT</t>
  </si>
  <si>
    <t>інші доходи</t>
  </si>
  <si>
    <t>Собіварт</t>
  </si>
  <si>
    <t>Середньорічна вартість оборотних активів, тис. грн.</t>
  </si>
  <si>
    <t>Всього активів, тис. грн.</t>
  </si>
  <si>
    <t>Чистий дохід від реалізації, тис. грн.</t>
  </si>
  <si>
    <t>Ресурсовіддача</t>
  </si>
  <si>
    <t>Частка оборотних активів в сукупних активах</t>
  </si>
  <si>
    <t>абсолют</t>
  </si>
  <si>
    <t xml:space="preserve">Зміна Rв за рах зміни оборотності </t>
  </si>
  <si>
    <t>Зміна Rв за рах зміни питомої ваги об. акт.</t>
  </si>
  <si>
    <t>відносн</t>
  </si>
  <si>
    <t>ПОКАЗНИКИ</t>
  </si>
  <si>
    <t xml:space="preserve">ЧОА </t>
  </si>
  <si>
    <t>НДФЗ</t>
  </si>
  <si>
    <t xml:space="preserve">ТИП ФІНАНСОВОЇ СТІЙКОСТІ </t>
  </si>
  <si>
    <t>абсолютна</t>
  </si>
  <si>
    <t>2021/2023р.</t>
  </si>
  <si>
    <t>за 2021 до 2023 р. у в.п.</t>
  </si>
  <si>
    <t>на 31 грудня 2022</t>
  </si>
  <si>
    <t>на 31 грудня 2023</t>
  </si>
  <si>
    <t>станом  на 31.12.2022</t>
  </si>
  <si>
    <t>станом на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</si>
</sst>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00%"/>
    <numFmt numFmtId="166" formatCode="0.00000"/>
    <numFmt numFmtId="167" formatCode="0.0000"/>
    <numFmt numFmtId="168" formatCode="_-* #,##0.0000_-;\-* #,##0.00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Arial"/>
      <family val="2"/>
    </font>
    <font>
      <b/>
      <i/>
      <sz val="11"/>
      <color rgb="FF3F3F3F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002060"/>
      <name val="Arial"/>
      <family val="2"/>
    </font>
    <font>
      <sz val="16"/>
      <color rgb="FF002060"/>
      <name val="Arial"/>
      <family val="2"/>
    </font>
    <font>
      <u/>
      <sz val="16"/>
      <color rgb="FF002060"/>
      <name val="Arial"/>
      <family val="2"/>
    </font>
    <font>
      <sz val="12"/>
      <color rgb="FF002060"/>
      <name val="Arial"/>
      <family val="2"/>
    </font>
    <font>
      <u/>
      <sz val="12"/>
      <color rgb="FF002060"/>
      <name val="Arial"/>
      <family val="2"/>
    </font>
    <font>
      <sz val="16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3F3F3F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</cellStyleXfs>
  <cellXfs count="151">
    <xf numFmtId="0" fontId="0" fillId="0" borderId="0" xfId="0"/>
    <xf numFmtId="0" fontId="4" fillId="0" borderId="0" xfId="0" applyFont="1"/>
    <xf numFmtId="0" fontId="2" fillId="2" borderId="1" xfId="3" applyFill="1" applyAlignment="1">
      <alignment horizontal="left" vertical="center" wrapText="1" readingOrder="1"/>
    </xf>
    <xf numFmtId="0" fontId="2" fillId="2" borderId="1" xfId="3" applyFill="1" applyAlignment="1">
      <alignment horizontal="center" vertical="center" wrapText="1" readingOrder="1"/>
    </xf>
    <xf numFmtId="164" fontId="2" fillId="2" borderId="1" xfId="3" applyNumberFormat="1" applyFill="1" applyAlignment="1">
      <alignment horizontal="center" vertical="center" wrapText="1"/>
    </xf>
    <xf numFmtId="10" fontId="2" fillId="2" borderId="1" xfId="3" applyNumberFormat="1" applyFill="1" applyAlignment="1">
      <alignment horizontal="center" vertical="center" wrapText="1"/>
    </xf>
    <xf numFmtId="164" fontId="2" fillId="2" borderId="1" xfId="3" applyNumberFormat="1" applyFill="1" applyAlignment="1">
      <alignment vertical="center" wrapText="1"/>
    </xf>
    <xf numFmtId="0" fontId="2" fillId="2" borderId="1" xfId="3" applyFill="1" applyAlignment="1">
      <alignment horizontal="justify" vertical="center" wrapText="1" readingOrder="1"/>
    </xf>
    <xf numFmtId="0" fontId="3" fillId="2" borderId="2" xfId="4" applyAlignment="1">
      <alignment horizontal="center" vertical="center" wrapText="1" readingOrder="1"/>
    </xf>
    <xf numFmtId="0" fontId="3" fillId="2" borderId="2" xfId="4" applyAlignment="1">
      <alignment horizontal="left" vertical="center" wrapText="1" readingOrder="1"/>
    </xf>
    <xf numFmtId="0" fontId="3" fillId="2" borderId="2" xfId="4" applyAlignment="1">
      <alignment horizontal="center" vertical="top" wrapText="1"/>
    </xf>
    <xf numFmtId="0" fontId="3" fillId="2" borderId="2" xfId="4" applyAlignment="1">
      <alignment horizontal="justify" vertical="center" wrapText="1" readingOrder="1"/>
    </xf>
    <xf numFmtId="0" fontId="3" fillId="2" borderId="2" xfId="4" applyAlignment="1">
      <alignment vertical="top" wrapText="1"/>
    </xf>
    <xf numFmtId="10" fontId="3" fillId="2" borderId="2" xfId="4" applyNumberFormat="1" applyAlignment="1">
      <alignment horizontal="center" vertical="top" wrapText="1"/>
    </xf>
    <xf numFmtId="10" fontId="3" fillId="2" borderId="2" xfId="4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 wrapText="1"/>
    </xf>
    <xf numFmtId="9" fontId="3" fillId="2" borderId="2" xfId="2" applyFont="1" applyFill="1" applyBorder="1" applyAlignment="1">
      <alignment horizontal="center" vertical="top" wrapText="1"/>
    </xf>
    <xf numFmtId="9" fontId="3" fillId="2" borderId="2" xfId="2" applyNumberFormat="1" applyFont="1" applyFill="1" applyBorder="1" applyAlignment="1">
      <alignment horizontal="center" vertical="top" wrapText="1"/>
    </xf>
    <xf numFmtId="10" fontId="3" fillId="2" borderId="2" xfId="2" applyNumberFormat="1" applyFont="1" applyFill="1" applyBorder="1" applyAlignment="1">
      <alignment horizontal="center" vertical="top" wrapText="1"/>
    </xf>
    <xf numFmtId="165" fontId="3" fillId="2" borderId="2" xfId="2" applyNumberFormat="1" applyFont="1" applyFill="1" applyBorder="1" applyAlignment="1">
      <alignment horizontal="center" vertical="top" wrapText="1"/>
    </xf>
    <xf numFmtId="165" fontId="3" fillId="2" borderId="2" xfId="4" applyNumberFormat="1" applyAlignment="1">
      <alignment horizontal="center" vertical="top" wrapText="1"/>
    </xf>
    <xf numFmtId="165" fontId="0" fillId="0" borderId="0" xfId="0" applyNumberFormat="1"/>
    <xf numFmtId="9" fontId="0" fillId="0" borderId="0" xfId="2" applyFont="1"/>
    <xf numFmtId="10" fontId="0" fillId="0" borderId="0" xfId="0" applyNumberFormat="1"/>
    <xf numFmtId="0" fontId="3" fillId="2" borderId="2" xfId="4" applyAlignment="1">
      <alignment horizontal="left" vertical="center" wrapText="1" indent="3" readingOrder="1"/>
    </xf>
    <xf numFmtId="10" fontId="3" fillId="2" borderId="2" xfId="2" applyNumberFormat="1" applyFont="1" applyFill="1" applyBorder="1" applyAlignment="1">
      <alignment vertical="top" wrapText="1"/>
    </xf>
    <xf numFmtId="0" fontId="5" fillId="2" borderId="2" xfId="4" applyFont="1" applyAlignment="1">
      <alignment horizontal="left" vertical="center" wrapText="1" indent="3" readingOrder="1"/>
    </xf>
    <xf numFmtId="10" fontId="5" fillId="2" borderId="2" xfId="2" applyNumberFormat="1" applyFont="1" applyFill="1" applyBorder="1" applyAlignment="1">
      <alignment vertical="top" wrapText="1"/>
    </xf>
    <xf numFmtId="165" fontId="3" fillId="2" borderId="2" xfId="2" applyNumberFormat="1" applyFont="1" applyFill="1" applyBorder="1" applyAlignment="1">
      <alignment vertical="top" wrapText="1"/>
    </xf>
    <xf numFmtId="0" fontId="5" fillId="2" borderId="2" xfId="4" applyFont="1" applyAlignment="1">
      <alignment horizontal="justify" vertical="center" wrapText="1" readingOrder="1"/>
    </xf>
    <xf numFmtId="164" fontId="3" fillId="2" borderId="2" xfId="1" applyNumberFormat="1" applyFont="1" applyFill="1" applyBorder="1" applyAlignment="1">
      <alignment vertical="top" wrapText="1"/>
    </xf>
    <xf numFmtId="164" fontId="5" fillId="2" borderId="2" xfId="1" applyNumberFormat="1" applyFont="1" applyFill="1" applyBorder="1" applyAlignment="1">
      <alignment vertical="top" wrapText="1"/>
    </xf>
    <xf numFmtId="0" fontId="3" fillId="2" borderId="2" xfId="4" applyAlignment="1">
      <alignment horizontal="center" vertical="top" wrapText="1" readingOrder="1"/>
    </xf>
    <xf numFmtId="0" fontId="3" fillId="2" borderId="2" xfId="4" applyAlignment="1">
      <alignment horizontal="justify" vertical="top" wrapText="1" readingOrder="1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 vertical="center"/>
    </xf>
    <xf numFmtId="10" fontId="0" fillId="0" borderId="0" xfId="2" applyNumberFormat="1" applyFont="1"/>
    <xf numFmtId="0" fontId="3" fillId="2" borderId="2" xfId="4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3" fillId="3" borderId="2" xfId="4" applyFill="1" applyAlignment="1">
      <alignment horizontal="justify" vertical="top" wrapText="1" readingOrder="1"/>
    </xf>
    <xf numFmtId="20" fontId="0" fillId="0" borderId="0" xfId="0" applyNumberFormat="1"/>
    <xf numFmtId="166" fontId="0" fillId="0" borderId="0" xfId="0" applyNumberFormat="1"/>
    <xf numFmtId="166" fontId="3" fillId="3" borderId="2" xfId="4" applyNumberFormat="1" applyFill="1" applyAlignment="1">
      <alignment horizontal="center" vertical="top" wrapText="1"/>
    </xf>
    <xf numFmtId="166" fontId="3" fillId="2" borderId="2" xfId="4" applyNumberFormat="1" applyAlignment="1">
      <alignment horizontal="center" vertical="top" wrapText="1"/>
    </xf>
    <xf numFmtId="0" fontId="0" fillId="0" borderId="0" xfId="0" applyAlignment="1">
      <alignment wrapText="1"/>
    </xf>
    <xf numFmtId="0" fontId="6" fillId="0" borderId="0" xfId="0" applyFont="1"/>
    <xf numFmtId="167" fontId="0" fillId="0" borderId="0" xfId="0" applyNumberFormat="1"/>
    <xf numFmtId="2" fontId="0" fillId="0" borderId="0" xfId="0" applyNumberFormat="1"/>
    <xf numFmtId="43" fontId="0" fillId="0" borderId="0" xfId="1" applyFont="1"/>
    <xf numFmtId="168" fontId="0" fillId="0" borderId="0" xfId="1" applyNumberFormat="1" applyFont="1"/>
    <xf numFmtId="164" fontId="0" fillId="0" borderId="0" xfId="1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67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/>
    </xf>
    <xf numFmtId="0" fontId="7" fillId="4" borderId="12" xfId="0" applyFont="1" applyFill="1" applyBorder="1" applyAlignment="1">
      <alignment horizontal="center" vertical="center" wrapText="1" readingOrder="1"/>
    </xf>
    <xf numFmtId="0" fontId="7" fillId="4" borderId="13" xfId="0" applyFont="1" applyFill="1" applyBorder="1" applyAlignment="1">
      <alignment horizontal="center" vertical="center" wrapText="1" readingOrder="1"/>
    </xf>
    <xf numFmtId="0" fontId="7" fillId="4" borderId="14" xfId="0" applyFont="1" applyFill="1" applyBorder="1" applyAlignment="1">
      <alignment horizontal="center" vertical="center" wrapText="1" readingOrder="1"/>
    </xf>
    <xf numFmtId="0" fontId="9" fillId="4" borderId="17" xfId="0" applyFont="1" applyFill="1" applyBorder="1" applyAlignment="1">
      <alignment horizontal="center" vertical="center" wrapText="1" readingOrder="1"/>
    </xf>
    <xf numFmtId="0" fontId="8" fillId="4" borderId="18" xfId="0" applyFont="1" applyFill="1" applyBorder="1" applyAlignment="1">
      <alignment horizontal="center" vertical="center" wrapText="1" readingOrder="1"/>
    </xf>
    <xf numFmtId="0" fontId="9" fillId="4" borderId="19" xfId="0" applyFont="1" applyFill="1" applyBorder="1" applyAlignment="1">
      <alignment horizontal="center" vertical="center" wrapText="1" readingOrder="1"/>
    </xf>
    <xf numFmtId="0" fontId="8" fillId="4" borderId="20" xfId="0" applyFont="1" applyFill="1" applyBorder="1" applyAlignment="1">
      <alignment horizontal="center" vertical="center" wrapText="1" readingOrder="1"/>
    </xf>
    <xf numFmtId="0" fontId="8" fillId="4" borderId="23" xfId="0" applyFont="1" applyFill="1" applyBorder="1" applyAlignment="1">
      <alignment horizontal="center" vertical="center" wrapText="1" readingOrder="1"/>
    </xf>
    <xf numFmtId="0" fontId="8" fillId="4" borderId="24" xfId="0" applyFont="1" applyFill="1" applyBorder="1" applyAlignment="1">
      <alignment horizontal="center" vertical="center" wrapText="1" readingOrder="1"/>
    </xf>
    <xf numFmtId="0" fontId="8" fillId="4" borderId="25" xfId="0" applyFont="1" applyFill="1" applyBorder="1" applyAlignment="1">
      <alignment horizontal="center" vertical="center" wrapText="1" readingOrder="1"/>
    </xf>
    <xf numFmtId="0" fontId="0" fillId="4" borderId="26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 wrapText="1" readingOrder="1"/>
    </xf>
    <xf numFmtId="0" fontId="10" fillId="4" borderId="13" xfId="0" applyFont="1" applyFill="1" applyBorder="1" applyAlignment="1">
      <alignment horizontal="center" vertical="center" wrapText="1" readingOrder="1"/>
    </xf>
    <xf numFmtId="0" fontId="10" fillId="4" borderId="14" xfId="0" applyFont="1" applyFill="1" applyBorder="1" applyAlignment="1">
      <alignment horizontal="center" vertical="center" wrapText="1" readingOrder="1"/>
    </xf>
    <xf numFmtId="0" fontId="11" fillId="4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horizontal="center" vertical="center" wrapText="1" readingOrder="1"/>
    </xf>
    <xf numFmtId="0" fontId="10" fillId="4" borderId="15" xfId="0" applyFont="1" applyFill="1" applyBorder="1" applyAlignment="1">
      <alignment horizontal="justify" vertical="center" wrapText="1" readingOrder="1"/>
    </xf>
    <xf numFmtId="0" fontId="10" fillId="4" borderId="16" xfId="0" applyFont="1" applyFill="1" applyBorder="1" applyAlignment="1">
      <alignment horizontal="justify" vertical="center" wrapText="1" readingOrder="1"/>
    </xf>
    <xf numFmtId="0" fontId="10" fillId="4" borderId="17" xfId="0" applyFont="1" applyFill="1" applyBorder="1" applyAlignment="1">
      <alignment horizontal="center" vertical="center" wrapText="1" readingOrder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167" fontId="0" fillId="0" borderId="0" xfId="0" applyNumberFormat="1" applyFont="1" applyAlignment="1">
      <alignment vertical="center"/>
    </xf>
    <xf numFmtId="167" fontId="3" fillId="2" borderId="2" xfId="4" applyNumberFormat="1" applyAlignment="1">
      <alignment horizontal="center" vertical="center" wrapText="1" readingOrder="1"/>
    </xf>
    <xf numFmtId="10" fontId="3" fillId="2" borderId="2" xfId="2" applyNumberFormat="1" applyFont="1" applyFill="1" applyBorder="1" applyAlignment="1">
      <alignment horizontal="center" vertical="center" wrapText="1" readingOrder="1"/>
    </xf>
    <xf numFmtId="1" fontId="3" fillId="2" borderId="2" xfId="1" applyNumberFormat="1" applyFont="1" applyFill="1" applyBorder="1" applyAlignment="1">
      <alignment horizontal="center" vertical="center" wrapText="1"/>
    </xf>
    <xf numFmtId="1" fontId="3" fillId="2" borderId="2" xfId="4" applyNumberFormat="1" applyAlignment="1">
      <alignment horizontal="center" vertical="center" wrapText="1" readingOrder="1"/>
    </xf>
    <xf numFmtId="2" fontId="3" fillId="2" borderId="2" xfId="2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167" fontId="0" fillId="0" borderId="28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7" fontId="0" fillId="0" borderId="39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167" fontId="0" fillId="0" borderId="31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5" xfId="0" applyBorder="1" applyAlignment="1"/>
    <xf numFmtId="0" fontId="0" fillId="0" borderId="0" xfId="0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3" fontId="0" fillId="0" borderId="0" xfId="0" applyNumberFormat="1"/>
    <xf numFmtId="164" fontId="0" fillId="0" borderId="0" xfId="0" applyNumberFormat="1"/>
    <xf numFmtId="3" fontId="0" fillId="0" borderId="5" xfId="0" applyNumberFormat="1" applyBorder="1"/>
    <xf numFmtId="3" fontId="0" fillId="0" borderId="0" xfId="0" applyNumberFormat="1" applyAlignment="1">
      <alignment vertical="center"/>
    </xf>
    <xf numFmtId="0" fontId="2" fillId="2" borderId="1" xfId="3" applyFill="1" applyAlignment="1">
      <alignment horizontal="center" vertical="center" wrapText="1" readingOrder="1"/>
    </xf>
    <xf numFmtId="0" fontId="3" fillId="2" borderId="2" xfId="4" applyAlignment="1">
      <alignment horizontal="center" vertical="center" wrapText="1" readingOrder="1"/>
    </xf>
    <xf numFmtId="0" fontId="3" fillId="2" borderId="2" xfId="4" applyAlignment="1">
      <alignment horizontal="left" vertical="center" wrapText="1" readingOrder="1"/>
    </xf>
    <xf numFmtId="0" fontId="3" fillId="2" borderId="3" xfId="4" applyBorder="1" applyAlignment="1">
      <alignment horizontal="center" vertical="center" wrapText="1" readingOrder="1"/>
    </xf>
    <xf numFmtId="0" fontId="3" fillId="2" borderId="4" xfId="4" applyBorder="1" applyAlignment="1">
      <alignment horizontal="center" vertical="center" wrapText="1" readingOrder="1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2" borderId="2" xfId="4" applyAlignment="1">
      <alignment horizontal="center" vertical="top" wrapText="1" readingOrder="1"/>
    </xf>
    <xf numFmtId="0" fontId="3" fillId="2" borderId="2" xfId="4" applyAlignment="1">
      <alignment vertical="top" wrapText="1"/>
    </xf>
    <xf numFmtId="0" fontId="8" fillId="4" borderId="15" xfId="0" applyFont="1" applyFill="1" applyBorder="1" applyAlignment="1">
      <alignment horizontal="justify" vertical="center" wrapText="1" readingOrder="1"/>
    </xf>
    <xf numFmtId="0" fontId="8" fillId="4" borderId="16" xfId="0" applyFont="1" applyFill="1" applyBorder="1" applyAlignment="1">
      <alignment horizontal="justify" vertical="center" wrapText="1" readingOrder="1"/>
    </xf>
    <xf numFmtId="0" fontId="8" fillId="4" borderId="15" xfId="0" applyFont="1" applyFill="1" applyBorder="1" applyAlignment="1">
      <alignment horizontal="left" vertical="center" wrapText="1" readingOrder="1"/>
    </xf>
    <xf numFmtId="0" fontId="8" fillId="4" borderId="21" xfId="0" applyFont="1" applyFill="1" applyBorder="1" applyAlignment="1">
      <alignment horizontal="left" vertical="center" wrapText="1" readingOrder="1"/>
    </xf>
    <xf numFmtId="0" fontId="8" fillId="4" borderId="2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10" fillId="4" borderId="15" xfId="0" applyFont="1" applyFill="1" applyBorder="1" applyAlignment="1">
      <alignment horizontal="justify" vertical="center" wrapText="1" readingOrder="1"/>
    </xf>
    <xf numFmtId="0" fontId="10" fillId="4" borderId="16" xfId="0" applyFont="1" applyFill="1" applyBorder="1" applyAlignment="1">
      <alignment horizontal="justify" vertical="center" wrapText="1" readingOrder="1"/>
    </xf>
    <xf numFmtId="0" fontId="10" fillId="4" borderId="19" xfId="0" applyFont="1" applyFill="1" applyBorder="1" applyAlignment="1">
      <alignment horizontal="center" vertical="center" wrapText="1" readingOrder="1"/>
    </xf>
    <xf numFmtId="0" fontId="10" fillId="4" borderId="20" xfId="0" applyFont="1" applyFill="1" applyBorder="1" applyAlignment="1">
      <alignment horizontal="center" vertical="center" wrapText="1" readingOrder="1"/>
    </xf>
    <xf numFmtId="0" fontId="3" fillId="2" borderId="27" xfId="4" applyBorder="1" applyAlignment="1">
      <alignment horizontal="center" vertical="center" wrapText="1" readingOrder="1"/>
    </xf>
    <xf numFmtId="0" fontId="3" fillId="2" borderId="0" xfId="4" applyBorder="1" applyAlignment="1">
      <alignment horizontal="center" vertical="center" wrapText="1" readingOrder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" xfId="0" applyBorder="1" applyAlignment="1">
      <alignment horizontal="center" vertical="center"/>
    </xf>
  </cellXfs>
  <cellStyles count="5">
    <cellStyle name="Відсотковий" xfId="2" builtinId="5"/>
    <cellStyle name="Заголовок 3" xfId="3" builtinId="18"/>
    <cellStyle name="Звичайний" xfId="0" builtinId="0"/>
    <cellStyle name="Результат" xfId="4" builtinId="21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13</xdr:row>
      <xdr:rowOff>99060</xdr:rowOff>
    </xdr:from>
    <xdr:to>
      <xdr:col>8</xdr:col>
      <xdr:colOff>275680</xdr:colOff>
      <xdr:row>36</xdr:row>
      <xdr:rowOff>15665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3C108AE-FED4-416D-8A6C-97673EC67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2476500"/>
          <a:ext cx="5960200" cy="4122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541020</xdr:colOff>
      <xdr:row>0</xdr:row>
      <xdr:rowOff>0</xdr:rowOff>
    </xdr:from>
    <xdr:to>
      <xdr:col>18</xdr:col>
      <xdr:colOff>160667</xdr:colOff>
      <xdr:row>11</xdr:row>
      <xdr:rowOff>53485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6056FB1-ED19-489C-A6CA-9668609EB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7940" y="0"/>
          <a:ext cx="6325247" cy="40768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480060</xdr:colOff>
      <xdr:row>0</xdr:row>
      <xdr:rowOff>0</xdr:rowOff>
    </xdr:from>
    <xdr:to>
      <xdr:col>14</xdr:col>
      <xdr:colOff>313164</xdr:colOff>
      <xdr:row>18</xdr:row>
      <xdr:rowOff>7480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ECD876-CE8E-45C8-B6F9-E2D6F66AF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7300" y="0"/>
          <a:ext cx="5319504" cy="3299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1614</xdr:colOff>
      <xdr:row>8</xdr:row>
      <xdr:rowOff>114300</xdr:rowOff>
    </xdr:from>
    <xdr:to>
      <xdr:col>15</xdr:col>
      <xdr:colOff>69296</xdr:colOff>
      <xdr:row>24</xdr:row>
      <xdr:rowOff>137472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A6BB5F-76F4-42DD-BE39-FBE4A8186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0014" y="1577340"/>
          <a:ext cx="6773282" cy="29492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106680</xdr:colOff>
      <xdr:row>2</xdr:row>
      <xdr:rowOff>160020</xdr:rowOff>
    </xdr:from>
    <xdr:to>
      <xdr:col>21</xdr:col>
      <xdr:colOff>351175</xdr:colOff>
      <xdr:row>23</xdr:row>
      <xdr:rowOff>122313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AD19C2A-A9D6-4590-86C0-52D8A15D3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3080" y="525780"/>
          <a:ext cx="7559695" cy="45342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487680</xdr:colOff>
      <xdr:row>1</xdr:row>
      <xdr:rowOff>121920</xdr:rowOff>
    </xdr:from>
    <xdr:to>
      <xdr:col>22</xdr:col>
      <xdr:colOff>526417</xdr:colOff>
      <xdr:row>23</xdr:row>
      <xdr:rowOff>137510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767FF8A-CB54-453F-A1F3-85B57027A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3680" y="304800"/>
          <a:ext cx="7353937" cy="40389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1333500</xdr:colOff>
      <xdr:row>18</xdr:row>
      <xdr:rowOff>175260</xdr:rowOff>
    </xdr:from>
    <xdr:to>
      <xdr:col>10</xdr:col>
      <xdr:colOff>84297</xdr:colOff>
      <xdr:row>23</xdr:row>
      <xdr:rowOff>114374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7F41774-C010-4D21-BD05-77D6B7071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3100" y="3467100"/>
          <a:ext cx="5502117" cy="8535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586740</xdr:colOff>
      <xdr:row>0</xdr:row>
      <xdr:rowOff>0</xdr:rowOff>
    </xdr:from>
    <xdr:to>
      <xdr:col>23</xdr:col>
      <xdr:colOff>214014</xdr:colOff>
      <xdr:row>20</xdr:row>
      <xdr:rowOff>46104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78433AB-643F-40EA-9642-5D928A110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6260" y="0"/>
          <a:ext cx="7552074" cy="4435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580981</xdr:colOff>
      <xdr:row>18</xdr:row>
      <xdr:rowOff>28961</xdr:rowOff>
    </xdr:to>
    <xdr:sp macro="" textlink="">
      <xdr:nvSpPr>
        <xdr:cNvPr id="5" name="Скругленный прямоугольник 4">
          <a:extLst>
            <a:ext uri="{FF2B5EF4-FFF2-40B4-BE49-F238E27FC236}">
              <a16:creationId xmlns:a16="http://schemas.microsoft.com/office/drawing/2014/main" id="{125BC7F8-A50B-4785-829A-56A1668C40AC}"/>
            </a:ext>
          </a:extLst>
        </xdr:cNvPr>
        <xdr:cNvSpPr/>
      </xdr:nvSpPr>
      <xdr:spPr>
        <a:xfrm>
          <a:off x="0" y="5140476"/>
          <a:ext cx="9108124" cy="936104"/>
        </a:xfrm>
        <a:prstGeom prst="round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uk-UA" sz="160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Термін обороту … (в днях) = кількість днів у звітному періоді / Коефіцієнт оборотності…</a:t>
          </a:r>
          <a:endParaRPr lang="ru-RU" sz="160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0</xdr:row>
      <xdr:rowOff>0</xdr:rowOff>
    </xdr:from>
    <xdr:to>
      <xdr:col>16</xdr:col>
      <xdr:colOff>457869</xdr:colOff>
      <xdr:row>12</xdr:row>
      <xdr:rowOff>27285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409B99-9F44-4DB3-8FD1-A60927417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1960" y="0"/>
          <a:ext cx="4344069" cy="2259945"/>
        </a:xfrm>
        <a:prstGeom prst="rect">
          <a:avLst/>
        </a:prstGeom>
      </xdr:spPr>
    </xdr:pic>
    <xdr:clientData/>
  </xdr:twoCellAnchor>
  <xdr:twoCellAnchor editAs="oneCell">
    <xdr:from>
      <xdr:col>5</xdr:col>
      <xdr:colOff>579120</xdr:colOff>
      <xdr:row>13</xdr:row>
      <xdr:rowOff>144780</xdr:rowOff>
    </xdr:from>
    <xdr:to>
      <xdr:col>12</xdr:col>
      <xdr:colOff>556948</xdr:colOff>
      <xdr:row>25</xdr:row>
      <xdr:rowOff>170745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72BAD79-55AF-4E2D-A934-EC1B18425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27120" y="2522220"/>
          <a:ext cx="4214548" cy="2220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601980</xdr:colOff>
      <xdr:row>0</xdr:row>
      <xdr:rowOff>0</xdr:rowOff>
    </xdr:from>
    <xdr:to>
      <xdr:col>19</xdr:col>
      <xdr:colOff>152995</xdr:colOff>
      <xdr:row>18</xdr:row>
      <xdr:rowOff>122279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DDE171A-A3A2-4D20-B101-DC0E31234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8780" y="0"/>
          <a:ext cx="6866215" cy="414563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</xdr:colOff>
      <xdr:row>0</xdr:row>
      <xdr:rowOff>106680</xdr:rowOff>
    </xdr:from>
    <xdr:to>
      <xdr:col>19</xdr:col>
      <xdr:colOff>297782</xdr:colOff>
      <xdr:row>18</xdr:row>
      <xdr:rowOff>122286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65EC67-DBCA-45C0-B24B-FEACF620F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5580" y="106680"/>
          <a:ext cx="6950042" cy="42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zoomScaleNormal="100" workbookViewId="0">
      <selection activeCell="G20" sqref="A1:G20"/>
    </sheetView>
  </sheetViews>
  <sheetFormatPr defaultColWidth="8.85546875" defaultRowHeight="15" x14ac:dyDescent="0.2"/>
  <cols>
    <col min="1" max="1" width="35.85546875" style="1" bestFit="1" customWidth="1"/>
    <col min="2" max="2" width="15.42578125" style="1" bestFit="1" customWidth="1"/>
    <col min="3" max="5" width="9.85546875" style="1" bestFit="1" customWidth="1"/>
    <col min="6" max="6" width="12.28515625" style="1" bestFit="1" customWidth="1"/>
    <col min="7" max="7" width="11.7109375" style="1" bestFit="1" customWidth="1"/>
    <col min="8" max="16384" width="8.85546875" style="1"/>
  </cols>
  <sheetData>
    <row r="1" spans="1:7" ht="15.6" customHeight="1" thickBot="1" x14ac:dyDescent="0.25">
      <c r="A1" s="116" t="s">
        <v>0</v>
      </c>
      <c r="B1" s="116" t="s">
        <v>1</v>
      </c>
      <c r="C1" s="116">
        <v>2021</v>
      </c>
      <c r="D1" s="116">
        <v>2022</v>
      </c>
      <c r="E1" s="116">
        <v>2023</v>
      </c>
      <c r="F1" s="116" t="s">
        <v>274</v>
      </c>
      <c r="G1" s="116"/>
    </row>
    <row r="2" spans="1:7" ht="15.75" thickBot="1" x14ac:dyDescent="0.25">
      <c r="A2" s="116"/>
      <c r="B2" s="116"/>
      <c r="C2" s="116"/>
      <c r="D2" s="116"/>
      <c r="E2" s="116"/>
      <c r="F2" s="116"/>
      <c r="G2" s="116"/>
    </row>
    <row r="3" spans="1:7" ht="15.75" thickBot="1" x14ac:dyDescent="0.25">
      <c r="A3" s="116" t="s">
        <v>2</v>
      </c>
      <c r="B3" s="116"/>
      <c r="C3" s="116" t="s">
        <v>3</v>
      </c>
      <c r="D3" s="116" t="s">
        <v>3</v>
      </c>
      <c r="E3" s="116" t="s">
        <v>3</v>
      </c>
      <c r="F3" s="116" t="s">
        <v>4</v>
      </c>
      <c r="G3" s="116" t="s">
        <v>5</v>
      </c>
    </row>
    <row r="4" spans="1:7" ht="16.149999999999999" customHeight="1" thickBot="1" x14ac:dyDescent="0.25">
      <c r="A4" s="116"/>
      <c r="B4" s="116"/>
      <c r="C4" s="116"/>
      <c r="D4" s="116"/>
      <c r="E4" s="116"/>
      <c r="F4" s="116"/>
      <c r="G4" s="116"/>
    </row>
    <row r="5" spans="1:7" ht="30.75" thickBot="1" x14ac:dyDescent="0.25">
      <c r="A5" s="2" t="s">
        <v>43</v>
      </c>
      <c r="B5" s="3">
        <v>1095</v>
      </c>
      <c r="C5" s="4">
        <v>1514308</v>
      </c>
      <c r="D5" s="4">
        <v>2058079</v>
      </c>
      <c r="E5" s="4">
        <v>2606877</v>
      </c>
      <c r="F5" s="4">
        <f>E5-C5</f>
        <v>1092569</v>
      </c>
      <c r="G5" s="5">
        <f>F5/C5</f>
        <v>0.72149721192782446</v>
      </c>
    </row>
    <row r="6" spans="1:7" ht="15.75" thickBot="1" x14ac:dyDescent="0.25">
      <c r="A6" s="2" t="s">
        <v>6</v>
      </c>
      <c r="B6" s="3">
        <v>1000</v>
      </c>
      <c r="C6" s="4">
        <v>185693</v>
      </c>
      <c r="D6" s="4">
        <v>459400</v>
      </c>
      <c r="E6" s="4">
        <v>264675</v>
      </c>
      <c r="F6" s="6">
        <f>E6-C6</f>
        <v>78982</v>
      </c>
      <c r="G6" s="5">
        <f>F6/C6</f>
        <v>0.4253364424076298</v>
      </c>
    </row>
    <row r="7" spans="1:7" ht="15.75" thickBot="1" x14ac:dyDescent="0.25">
      <c r="A7" s="2" t="s">
        <v>7</v>
      </c>
      <c r="B7" s="3">
        <v>1010</v>
      </c>
      <c r="C7" s="4">
        <v>848489</v>
      </c>
      <c r="D7" s="4">
        <v>934268</v>
      </c>
      <c r="E7" s="4">
        <v>948328</v>
      </c>
      <c r="F7" s="6">
        <f t="shared" ref="F7:F18" si="0">E7-C7</f>
        <v>99839</v>
      </c>
      <c r="G7" s="5">
        <f t="shared" ref="G7:G20" si="1">F7/C7</f>
        <v>0.11766681713021618</v>
      </c>
    </row>
    <row r="8" spans="1:7" ht="15.75" thickBot="1" x14ac:dyDescent="0.25">
      <c r="A8" s="2" t="s">
        <v>8</v>
      </c>
      <c r="B8" s="3">
        <v>1015</v>
      </c>
      <c r="C8" s="4" t="s">
        <v>79</v>
      </c>
      <c r="D8" s="4" t="s">
        <v>79</v>
      </c>
      <c r="E8" s="4" t="s">
        <v>79</v>
      </c>
      <c r="F8" s="6"/>
      <c r="G8" s="5"/>
    </row>
    <row r="9" spans="1:7" ht="15.75" thickBot="1" x14ac:dyDescent="0.25">
      <c r="A9" s="2" t="s">
        <v>9</v>
      </c>
      <c r="B9" s="3" t="s">
        <v>10</v>
      </c>
      <c r="C9" s="4">
        <f>459070+9989</f>
        <v>469059</v>
      </c>
      <c r="D9" s="4">
        <f>647587+9989</f>
        <v>657576</v>
      </c>
      <c r="E9" s="4">
        <f>1343079+9989</f>
        <v>1353068</v>
      </c>
      <c r="F9" s="6">
        <f t="shared" si="0"/>
        <v>884009</v>
      </c>
      <c r="G9" s="5">
        <f t="shared" si="1"/>
        <v>1.8846435096650955</v>
      </c>
    </row>
    <row r="10" spans="1:7" ht="30.75" thickBot="1" x14ac:dyDescent="0.25">
      <c r="A10" s="2" t="s">
        <v>11</v>
      </c>
      <c r="B10" s="3">
        <v>1040</v>
      </c>
      <c r="C10" s="4" t="s">
        <v>79</v>
      </c>
      <c r="D10" s="4" t="s">
        <v>79</v>
      </c>
      <c r="E10" s="4" t="s">
        <v>79</v>
      </c>
      <c r="F10" s="4" t="s">
        <v>79</v>
      </c>
      <c r="G10" s="5" t="s">
        <v>79</v>
      </c>
    </row>
    <row r="11" spans="1:7" ht="30.75" thickBot="1" x14ac:dyDescent="0.25">
      <c r="A11" s="2" t="s">
        <v>12</v>
      </c>
      <c r="B11" s="3">
        <v>1195</v>
      </c>
      <c r="C11" s="4">
        <v>3368288</v>
      </c>
      <c r="D11" s="4">
        <v>2058079</v>
      </c>
      <c r="E11" s="4">
        <v>4062231</v>
      </c>
      <c r="F11" s="6">
        <f t="shared" si="0"/>
        <v>693943</v>
      </c>
      <c r="G11" s="5">
        <f t="shared" si="1"/>
        <v>0.20602246601240748</v>
      </c>
    </row>
    <row r="12" spans="1:7" ht="15.75" thickBot="1" x14ac:dyDescent="0.25">
      <c r="A12" s="2" t="s">
        <v>13</v>
      </c>
      <c r="B12" s="3">
        <v>1100</v>
      </c>
      <c r="C12" s="4">
        <v>676194</v>
      </c>
      <c r="D12" s="4">
        <v>1036078</v>
      </c>
      <c r="E12" s="4">
        <v>974022</v>
      </c>
      <c r="F12" s="6">
        <f t="shared" si="0"/>
        <v>297828</v>
      </c>
      <c r="G12" s="5">
        <f t="shared" si="1"/>
        <v>0.44044756386480804</v>
      </c>
    </row>
    <row r="13" spans="1:7" ht="30.75" thickBot="1" x14ac:dyDescent="0.25">
      <c r="A13" s="2" t="s">
        <v>14</v>
      </c>
      <c r="B13" s="3">
        <v>1125</v>
      </c>
      <c r="C13" s="4">
        <v>1740797</v>
      </c>
      <c r="D13" s="4">
        <v>1739012</v>
      </c>
      <c r="E13" s="4">
        <v>2492779</v>
      </c>
      <c r="F13" s="6">
        <f t="shared" si="0"/>
        <v>751982</v>
      </c>
      <c r="G13" s="5">
        <f t="shared" si="1"/>
        <v>0.43197569848753187</v>
      </c>
    </row>
    <row r="14" spans="1:7" ht="30.75" thickBot="1" x14ac:dyDescent="0.25">
      <c r="A14" s="2" t="s">
        <v>15</v>
      </c>
      <c r="B14" s="7" t="s">
        <v>16</v>
      </c>
      <c r="C14" s="4">
        <f>111021+46201</f>
        <v>157222</v>
      </c>
      <c r="D14" s="4">
        <f>126638+11241</f>
        <v>137879</v>
      </c>
      <c r="E14" s="4">
        <f>170301+21210</f>
        <v>191511</v>
      </c>
      <c r="F14" s="6">
        <f t="shared" si="0"/>
        <v>34289</v>
      </c>
      <c r="G14" s="5">
        <f t="shared" si="1"/>
        <v>0.21809288776379895</v>
      </c>
    </row>
    <row r="15" spans="1:7" ht="45.75" thickBot="1" x14ac:dyDescent="0.25">
      <c r="A15" s="2" t="s">
        <v>17</v>
      </c>
      <c r="B15" s="3">
        <v>1140</v>
      </c>
      <c r="C15" s="4">
        <v>22998</v>
      </c>
      <c r="D15" s="4">
        <v>113661</v>
      </c>
      <c r="E15" s="4">
        <v>26775</v>
      </c>
      <c r="F15" s="6">
        <f t="shared" si="0"/>
        <v>3777</v>
      </c>
      <c r="G15" s="5">
        <f t="shared" si="1"/>
        <v>0.16423167231933211</v>
      </c>
    </row>
    <row r="16" spans="1:7" ht="30.75" thickBot="1" x14ac:dyDescent="0.25">
      <c r="A16" s="2" t="s">
        <v>18</v>
      </c>
      <c r="B16" s="3">
        <v>1155</v>
      </c>
      <c r="C16" s="4">
        <v>548908</v>
      </c>
      <c r="D16" s="4">
        <v>290588</v>
      </c>
      <c r="E16" s="4">
        <v>174395</v>
      </c>
      <c r="F16" s="6">
        <f t="shared" si="0"/>
        <v>-374513</v>
      </c>
      <c r="G16" s="5">
        <f t="shared" si="1"/>
        <v>-0.68228737784838256</v>
      </c>
    </row>
    <row r="17" spans="1:7" ht="15.75" thickBot="1" x14ac:dyDescent="0.25">
      <c r="A17" s="2" t="s">
        <v>19</v>
      </c>
      <c r="B17" s="3">
        <v>1165</v>
      </c>
      <c r="C17" s="4">
        <v>217271</v>
      </c>
      <c r="D17" s="4">
        <v>110700</v>
      </c>
      <c r="E17" s="4">
        <v>192840</v>
      </c>
      <c r="F17" s="6">
        <f t="shared" si="0"/>
        <v>-24431</v>
      </c>
      <c r="G17" s="5">
        <f t="shared" si="1"/>
        <v>-0.11244482696724367</v>
      </c>
    </row>
    <row r="18" spans="1:7" ht="15.75" thickBot="1" x14ac:dyDescent="0.25">
      <c r="A18" s="2" t="s">
        <v>20</v>
      </c>
      <c r="B18" s="3">
        <v>1190</v>
      </c>
      <c r="C18" s="4">
        <v>4898</v>
      </c>
      <c r="D18" s="4">
        <v>6961</v>
      </c>
      <c r="E18" s="4">
        <v>9909</v>
      </c>
      <c r="F18" s="6">
        <f t="shared" si="0"/>
        <v>5011</v>
      </c>
      <c r="G18" s="5">
        <f t="shared" si="1"/>
        <v>1.0230706410779911</v>
      </c>
    </row>
    <row r="19" spans="1:7" ht="30.75" thickBot="1" x14ac:dyDescent="0.25">
      <c r="A19" s="2" t="s">
        <v>21</v>
      </c>
      <c r="B19" s="3">
        <v>1200</v>
      </c>
      <c r="C19" s="4" t="s">
        <v>79</v>
      </c>
      <c r="D19" s="4" t="s">
        <v>79</v>
      </c>
      <c r="E19" s="4" t="s">
        <v>79</v>
      </c>
      <c r="F19" s="6"/>
      <c r="G19" s="5"/>
    </row>
    <row r="20" spans="1:7" ht="15.75" thickBot="1" x14ac:dyDescent="0.25">
      <c r="A20" s="2" t="s">
        <v>22</v>
      </c>
      <c r="B20" s="3">
        <v>1300</v>
      </c>
      <c r="C20" s="4">
        <v>4882596</v>
      </c>
      <c r="D20" s="4">
        <v>5492958</v>
      </c>
      <c r="E20" s="4">
        <v>6669108</v>
      </c>
      <c r="F20" s="4">
        <f>E20-C20</f>
        <v>1786512</v>
      </c>
      <c r="G20" s="5">
        <f t="shared" si="1"/>
        <v>0.36589388104197029</v>
      </c>
    </row>
  </sheetData>
  <mergeCells count="12">
    <mergeCell ref="G3:G4"/>
    <mergeCell ref="E1:E2"/>
    <mergeCell ref="A1:A2"/>
    <mergeCell ref="B1:B4"/>
    <mergeCell ref="D1:D2"/>
    <mergeCell ref="F1:G2"/>
    <mergeCell ref="A3:A4"/>
    <mergeCell ref="C3:C4"/>
    <mergeCell ref="D3:D4"/>
    <mergeCell ref="E3:E4"/>
    <mergeCell ref="F3:F4"/>
    <mergeCell ref="C1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398E0-97C8-45B7-AE22-37119444FBD7}">
  <dimension ref="A1:I13"/>
  <sheetViews>
    <sheetView workbookViewId="0">
      <selection sqref="A1:E4"/>
    </sheetView>
  </sheetViews>
  <sheetFormatPr defaultRowHeight="15" x14ac:dyDescent="0.25"/>
  <cols>
    <col min="2" max="2" width="27.28515625" customWidth="1"/>
  </cols>
  <sheetData>
    <row r="1" spans="1:9" x14ac:dyDescent="0.25">
      <c r="A1" s="41" t="s">
        <v>93</v>
      </c>
      <c r="B1" s="41" t="s">
        <v>48</v>
      </c>
      <c r="C1" s="55">
        <v>2021</v>
      </c>
      <c r="D1" s="55">
        <v>2022</v>
      </c>
      <c r="E1" s="55">
        <v>2023</v>
      </c>
    </row>
    <row r="2" spans="1:9" x14ac:dyDescent="0.25">
      <c r="A2" s="56">
        <v>1</v>
      </c>
      <c r="B2" s="57" t="s">
        <v>128</v>
      </c>
      <c r="C2" s="58">
        <f>G8/G7</f>
        <v>2.3088758551539943</v>
      </c>
      <c r="D2" s="58">
        <f t="shared" ref="D2:E2" si="0">H8/H7</f>
        <v>1.6022046602668911</v>
      </c>
      <c r="E2" s="58">
        <f t="shared" si="0"/>
        <v>2.2903640780187717</v>
      </c>
    </row>
    <row r="3" spans="1:9" x14ac:dyDescent="0.25">
      <c r="A3" s="56">
        <v>2</v>
      </c>
      <c r="B3" s="57" t="s">
        <v>129</v>
      </c>
      <c r="C3" s="59">
        <f>G9*G7/G8</f>
        <v>155.92003320420588</v>
      </c>
      <c r="D3" s="59">
        <f t="shared" ref="D3:E3" si="1">H9*H7/H8</f>
        <v>224.69039625688777</v>
      </c>
      <c r="E3" s="59">
        <f t="shared" si="1"/>
        <v>157.18025070992641</v>
      </c>
    </row>
    <row r="4" spans="1:9" x14ac:dyDescent="0.25">
      <c r="A4" s="41">
        <v>3</v>
      </c>
      <c r="B4" s="60" t="s">
        <v>136</v>
      </c>
      <c r="C4" s="61">
        <f>(G10+G11)/(G12+G13)</f>
        <v>1.6906554402495702</v>
      </c>
      <c r="D4" s="61">
        <f t="shared" ref="D4:E4" si="2">(H10+H11)/(H12+H13)</f>
        <v>1.699335898725207</v>
      </c>
      <c r="E4" s="61">
        <f t="shared" si="2"/>
        <v>1.5757215956419985</v>
      </c>
    </row>
    <row r="6" spans="1:9" x14ac:dyDescent="0.25">
      <c r="G6" s="54">
        <v>2021</v>
      </c>
      <c r="H6" s="54">
        <v>2022</v>
      </c>
      <c r="I6" s="54">
        <v>2023</v>
      </c>
    </row>
    <row r="7" spans="1:9" x14ac:dyDescent="0.25">
      <c r="F7" t="s">
        <v>130</v>
      </c>
      <c r="G7" s="112">
        <v>676194</v>
      </c>
      <c r="H7" s="112">
        <v>1036078</v>
      </c>
      <c r="I7" s="112">
        <v>974022</v>
      </c>
    </row>
    <row r="8" spans="1:9" x14ac:dyDescent="0.25">
      <c r="F8" t="s">
        <v>131</v>
      </c>
      <c r="G8" s="112">
        <v>1561248</v>
      </c>
      <c r="H8" s="112">
        <v>1660009</v>
      </c>
      <c r="I8" s="112">
        <v>2230865</v>
      </c>
    </row>
    <row r="9" spans="1:9" x14ac:dyDescent="0.25">
      <c r="F9" t="s">
        <v>124</v>
      </c>
      <c r="G9">
        <v>360</v>
      </c>
      <c r="H9">
        <v>360</v>
      </c>
      <c r="I9">
        <v>360</v>
      </c>
    </row>
    <row r="10" spans="1:9" x14ac:dyDescent="0.25">
      <c r="F10" t="s">
        <v>132</v>
      </c>
      <c r="G10" s="112">
        <v>396467</v>
      </c>
      <c r="H10" s="112">
        <v>641405</v>
      </c>
      <c r="I10" s="112">
        <v>576987</v>
      </c>
    </row>
    <row r="11" spans="1:9" x14ac:dyDescent="0.25">
      <c r="F11" t="s">
        <v>133</v>
      </c>
      <c r="G11" s="112">
        <v>28415</v>
      </c>
      <c r="H11" s="112">
        <v>10846</v>
      </c>
      <c r="I11" s="112">
        <v>18880</v>
      </c>
    </row>
    <row r="12" spans="1:9" x14ac:dyDescent="0.25">
      <c r="F12" t="s">
        <v>134</v>
      </c>
      <c r="G12" s="112">
        <v>231221</v>
      </c>
      <c r="H12" s="112">
        <v>353972</v>
      </c>
      <c r="I12" s="112">
        <v>327436</v>
      </c>
    </row>
    <row r="13" spans="1:9" x14ac:dyDescent="0.25">
      <c r="F13" t="s">
        <v>135</v>
      </c>
      <c r="G13" s="112">
        <v>20091</v>
      </c>
      <c r="H13" s="112">
        <v>29855</v>
      </c>
      <c r="I13" s="112">
        <v>50719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0A46-67F1-4FE5-80AC-FE923AECC630}">
  <dimension ref="A1:J14"/>
  <sheetViews>
    <sheetView topLeftCell="B1" workbookViewId="0">
      <selection activeCell="C2" sqref="C2:E5"/>
    </sheetView>
  </sheetViews>
  <sheetFormatPr defaultRowHeight="15" x14ac:dyDescent="0.25"/>
  <cols>
    <col min="2" max="2" width="30.7109375" customWidth="1"/>
    <col min="3" max="3" width="12.85546875" bestFit="1" customWidth="1"/>
    <col min="4" max="5" width="11.42578125" bestFit="1" customWidth="1"/>
  </cols>
  <sheetData>
    <row r="1" spans="1:10" x14ac:dyDescent="0.25">
      <c r="A1" s="41" t="s">
        <v>93</v>
      </c>
      <c r="B1" s="41" t="s">
        <v>48</v>
      </c>
      <c r="C1" s="55">
        <v>2021</v>
      </c>
      <c r="D1" s="55">
        <v>2022</v>
      </c>
      <c r="E1" s="55">
        <v>2023</v>
      </c>
    </row>
    <row r="2" spans="1:10" x14ac:dyDescent="0.25">
      <c r="A2" s="41">
        <v>1</v>
      </c>
      <c r="B2" s="60" t="s">
        <v>137</v>
      </c>
      <c r="C2" s="61">
        <f>H8/H11</f>
        <v>1.7801228782250473</v>
      </c>
      <c r="D2" s="61">
        <f>I8/I11</f>
        <v>2.3002498750624687</v>
      </c>
      <c r="E2" s="61">
        <f>J8/J11</f>
        <v>2.4152845646794621</v>
      </c>
    </row>
    <row r="3" spans="1:10" x14ac:dyDescent="0.25">
      <c r="A3" s="41">
        <v>2</v>
      </c>
      <c r="B3" s="60" t="s">
        <v>138</v>
      </c>
      <c r="C3" s="62">
        <f>H10*H11/H8</f>
        <v>202.23323030315436</v>
      </c>
      <c r="D3" s="62">
        <f>I10*I11/I8</f>
        <v>156.50473624750151</v>
      </c>
      <c r="E3" s="62">
        <f>J10*J11/J8</f>
        <v>149.05076000755898</v>
      </c>
    </row>
    <row r="4" spans="1:10" ht="60" x14ac:dyDescent="0.25">
      <c r="A4" s="41">
        <v>3</v>
      </c>
      <c r="B4" s="63" t="s">
        <v>139</v>
      </c>
      <c r="C4" s="64">
        <f>(H13-H14)*H8/H10</f>
        <v>1543282.4410582827</v>
      </c>
      <c r="D4" s="64">
        <f>(I13-I14)*I8/I10</f>
        <v>-666517.18939130323</v>
      </c>
      <c r="E4" s="64">
        <f>(J13-J14)*J8/J10</f>
        <v>-144300.84274789219</v>
      </c>
    </row>
    <row r="5" spans="1:10" ht="30" x14ac:dyDescent="0.25">
      <c r="A5" s="41">
        <v>4</v>
      </c>
      <c r="B5" s="63" t="s">
        <v>140</v>
      </c>
      <c r="C5" s="61">
        <f>H11/H9</f>
        <v>0.73328794924899532</v>
      </c>
      <c r="D5" s="61">
        <f>I11/I9</f>
        <v>0.66411072995584419</v>
      </c>
      <c r="E5" s="61">
        <f>J11/J9</f>
        <v>0.71031411064511107</v>
      </c>
    </row>
    <row r="7" spans="1:10" x14ac:dyDescent="0.25">
      <c r="H7">
        <v>2021</v>
      </c>
      <c r="I7">
        <v>2022</v>
      </c>
      <c r="J7">
        <v>2023</v>
      </c>
    </row>
    <row r="8" spans="1:10" x14ac:dyDescent="0.25">
      <c r="F8" t="s">
        <v>109</v>
      </c>
      <c r="H8" s="112">
        <v>4396770</v>
      </c>
      <c r="I8" s="112">
        <v>5247192</v>
      </c>
      <c r="J8" s="112">
        <v>6969207</v>
      </c>
    </row>
    <row r="9" spans="1:10" x14ac:dyDescent="0.25">
      <c r="F9" t="s">
        <v>123</v>
      </c>
      <c r="H9" s="112">
        <v>3368288</v>
      </c>
      <c r="I9" s="112">
        <v>3434879</v>
      </c>
      <c r="J9" s="112">
        <v>4062231</v>
      </c>
    </row>
    <row r="10" spans="1:10" x14ac:dyDescent="0.25">
      <c r="F10" t="s">
        <v>124</v>
      </c>
      <c r="H10">
        <v>360</v>
      </c>
      <c r="I10">
        <v>360</v>
      </c>
      <c r="J10">
        <v>360</v>
      </c>
    </row>
    <row r="11" spans="1:10" x14ac:dyDescent="0.25">
      <c r="F11" t="s">
        <v>141</v>
      </c>
      <c r="H11">
        <f>1740797+111021+46201+22998+548908</f>
        <v>2469925</v>
      </c>
      <c r="I11">
        <f>1739012+126638+11241+113661+290588</f>
        <v>2281140</v>
      </c>
      <c r="J11">
        <f>2492779+170301+21210+26775+174395</f>
        <v>2885460</v>
      </c>
    </row>
    <row r="13" spans="1:10" x14ac:dyDescent="0.25">
      <c r="F13" s="48" t="s">
        <v>125</v>
      </c>
      <c r="H13" s="50">
        <f>C3</f>
        <v>202.23323030315436</v>
      </c>
      <c r="I13" s="50">
        <f>D3</f>
        <v>156.50473624750151</v>
      </c>
      <c r="J13" s="50">
        <f>E3</f>
        <v>149.05076000755898</v>
      </c>
    </row>
    <row r="14" spans="1:10" x14ac:dyDescent="0.25">
      <c r="F14" s="48" t="s">
        <v>126</v>
      </c>
      <c r="H14" s="50">
        <f>H10*(365008+17868+28644+5911)/1980643</f>
        <v>75.871906244588246</v>
      </c>
      <c r="I14" s="50">
        <f>H13</f>
        <v>202.23323030315436</v>
      </c>
      <c r="J14" s="50">
        <f>I13</f>
        <v>156.50473624750151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6935-F7C1-4B02-B23A-FCAB2E71F360}">
  <dimension ref="A1:T18"/>
  <sheetViews>
    <sheetView topLeftCell="I7" zoomScale="85" zoomScaleNormal="85" workbookViewId="0">
      <selection activeCell="Q1" sqref="Q1:T6"/>
    </sheetView>
  </sheetViews>
  <sheetFormatPr defaultRowHeight="15" x14ac:dyDescent="0.25"/>
  <cols>
    <col min="1" max="1" width="28.7109375" bestFit="1" customWidth="1"/>
    <col min="2" max="2" width="34.140625" customWidth="1"/>
    <col min="3" max="3" width="44" customWidth="1"/>
    <col min="12" max="12" width="42.7109375" customWidth="1"/>
  </cols>
  <sheetData>
    <row r="1" spans="1:20" ht="42" thickTop="1" thickBot="1" x14ac:dyDescent="0.3">
      <c r="A1" s="65" t="s">
        <v>142</v>
      </c>
      <c r="B1" s="66" t="s">
        <v>143</v>
      </c>
      <c r="C1" s="67" t="s">
        <v>144</v>
      </c>
      <c r="Q1" s="137" t="s">
        <v>93</v>
      </c>
      <c r="R1" s="137" t="s">
        <v>185</v>
      </c>
      <c r="S1" s="137"/>
      <c r="T1" s="137"/>
    </row>
    <row r="2" spans="1:20" ht="20.25" x14ac:dyDescent="0.25">
      <c r="A2" s="132" t="s">
        <v>145</v>
      </c>
      <c r="B2" s="68" t="s">
        <v>146</v>
      </c>
      <c r="C2" s="70" t="s">
        <v>148</v>
      </c>
      <c r="K2" s="88" t="s">
        <v>93</v>
      </c>
      <c r="L2" s="85" t="s">
        <v>48</v>
      </c>
      <c r="M2" s="85">
        <v>2021</v>
      </c>
      <c r="N2" s="85">
        <v>2022</v>
      </c>
      <c r="O2" s="85">
        <v>2023</v>
      </c>
      <c r="Q2" s="137"/>
      <c r="R2" s="85">
        <v>2021</v>
      </c>
      <c r="S2" s="85">
        <v>2022</v>
      </c>
      <c r="T2" s="85">
        <v>2023</v>
      </c>
    </row>
    <row r="3" spans="1:20" ht="41.25" thickBot="1" x14ac:dyDescent="0.3">
      <c r="A3" s="133"/>
      <c r="B3" s="69" t="s">
        <v>147</v>
      </c>
      <c r="C3" s="71" t="s">
        <v>149</v>
      </c>
      <c r="K3" s="88">
        <v>1</v>
      </c>
      <c r="L3" s="86" t="s">
        <v>145</v>
      </c>
      <c r="M3" s="89">
        <f>M12/M13</f>
        <v>1.0978538045171169</v>
      </c>
      <c r="N3" s="89">
        <f t="shared" ref="N3:O3" si="0">N12/N13</f>
        <v>1.0010874766192528</v>
      </c>
      <c r="O3" s="89">
        <f t="shared" si="0"/>
        <v>1.1463268503668458</v>
      </c>
      <c r="Q3">
        <v>1</v>
      </c>
      <c r="R3" s="50">
        <f t="shared" ref="R3:T6" si="1">$N$9/M3</f>
        <v>327.91251304935213</v>
      </c>
      <c r="S3" s="50">
        <f t="shared" si="1"/>
        <v>359.60893369253495</v>
      </c>
      <c r="T3" s="50">
        <f t="shared" si="1"/>
        <v>314.04655651640138</v>
      </c>
    </row>
    <row r="4" spans="1:20" ht="20.25" x14ac:dyDescent="0.25">
      <c r="A4" s="132" t="s">
        <v>150</v>
      </c>
      <c r="B4" s="68" t="s">
        <v>99</v>
      </c>
      <c r="C4" s="70" t="s">
        <v>148</v>
      </c>
      <c r="K4" s="88">
        <v>2</v>
      </c>
      <c r="L4" s="86" t="s">
        <v>150</v>
      </c>
      <c r="M4" s="89">
        <f>M12/M14</f>
        <v>1.3895709724076564</v>
      </c>
      <c r="N4" s="89">
        <f t="shared" ref="N4:O4" si="2">N12/N14</f>
        <v>1.5425733338605387</v>
      </c>
      <c r="O4" s="89">
        <f t="shared" si="2"/>
        <v>1.8598833424225349</v>
      </c>
      <c r="Q4">
        <v>2</v>
      </c>
      <c r="R4" s="50">
        <f t="shared" si="1"/>
        <v>259.07276932839335</v>
      </c>
      <c r="S4" s="50">
        <f t="shared" si="1"/>
        <v>233.37626296121812</v>
      </c>
      <c r="T4" s="50">
        <f t="shared" si="1"/>
        <v>193.56052704418164</v>
      </c>
    </row>
    <row r="5" spans="1:20" ht="41.25" thickBot="1" x14ac:dyDescent="0.3">
      <c r="A5" s="133"/>
      <c r="B5" s="69" t="s">
        <v>151</v>
      </c>
      <c r="C5" s="71" t="s">
        <v>152</v>
      </c>
      <c r="K5" s="88">
        <v>3</v>
      </c>
      <c r="L5" s="86" t="s">
        <v>153</v>
      </c>
      <c r="M5" s="89">
        <f>M15/M16</f>
        <v>2.4944307617829553</v>
      </c>
      <c r="N5" s="89">
        <f t="shared" ref="N5:O5" si="3">N15/N16</f>
        <v>1.938954792229272</v>
      </c>
      <c r="O5" s="89">
        <f t="shared" si="3"/>
        <v>2.2196557385204718</v>
      </c>
      <c r="Q5">
        <v>3</v>
      </c>
      <c r="R5" s="50">
        <f t="shared" si="1"/>
        <v>144.32150433499353</v>
      </c>
      <c r="S5" s="50">
        <f t="shared" si="1"/>
        <v>185.66704156423248</v>
      </c>
      <c r="T5" s="50">
        <f t="shared" si="1"/>
        <v>162.1873129929422</v>
      </c>
    </row>
    <row r="6" spans="1:20" ht="30" x14ac:dyDescent="0.25">
      <c r="A6" s="132" t="s">
        <v>153</v>
      </c>
      <c r="B6" s="68" t="s">
        <v>154</v>
      </c>
      <c r="C6" s="70" t="s">
        <v>156</v>
      </c>
      <c r="K6" s="88">
        <v>4</v>
      </c>
      <c r="L6" s="86" t="s">
        <v>158</v>
      </c>
      <c r="M6" s="89">
        <f>M12/M17</f>
        <v>2.5189150510612568</v>
      </c>
      <c r="N6" s="89">
        <f t="shared" ref="N6:O6" si="4">N12/N17</f>
        <v>2.6683312403268906</v>
      </c>
      <c r="O6" s="89">
        <f t="shared" si="4"/>
        <v>3.2730675960668938</v>
      </c>
      <c r="Q6">
        <v>4</v>
      </c>
      <c r="R6" s="50">
        <f t="shared" si="1"/>
        <v>142.91867439051848</v>
      </c>
      <c r="S6" s="50">
        <f t="shared" si="1"/>
        <v>134.91578352764677</v>
      </c>
      <c r="T6" s="50">
        <f t="shared" si="1"/>
        <v>109.98856254377291</v>
      </c>
    </row>
    <row r="7" spans="1:20" ht="61.5" thickBot="1" x14ac:dyDescent="0.3">
      <c r="A7" s="133"/>
      <c r="B7" s="69" t="s">
        <v>155</v>
      </c>
      <c r="C7" s="71" t="s">
        <v>157</v>
      </c>
      <c r="K7" s="88">
        <v>5</v>
      </c>
      <c r="L7" s="86" t="s">
        <v>161</v>
      </c>
      <c r="M7" s="89">
        <f>M18/M13</f>
        <v>2.5254205652981893E-3</v>
      </c>
      <c r="N7" s="89">
        <f t="shared" ref="N7:O7" si="5">N18/N13</f>
        <v>0.10565960989733457</v>
      </c>
      <c r="O7" s="89">
        <f t="shared" si="5"/>
        <v>0.22910772808434635</v>
      </c>
    </row>
    <row r="8" spans="1:20" ht="20.25" x14ac:dyDescent="0.25">
      <c r="A8" s="132" t="s">
        <v>158</v>
      </c>
      <c r="B8" s="68" t="s">
        <v>99</v>
      </c>
      <c r="C8" s="70" t="s">
        <v>148</v>
      </c>
      <c r="M8" s="85"/>
      <c r="N8" s="85"/>
      <c r="O8" s="85"/>
    </row>
    <row r="9" spans="1:20" ht="41.25" thickBot="1" x14ac:dyDescent="0.3">
      <c r="A9" s="133"/>
      <c r="B9" s="69" t="s">
        <v>159</v>
      </c>
      <c r="C9" s="71" t="s">
        <v>160</v>
      </c>
      <c r="K9" s="88"/>
      <c r="L9" s="87"/>
      <c r="N9">
        <v>360</v>
      </c>
    </row>
    <row r="10" spans="1:20" ht="20.25" x14ac:dyDescent="0.25">
      <c r="A10" s="134" t="s">
        <v>161</v>
      </c>
      <c r="B10" s="68" t="s">
        <v>162</v>
      </c>
      <c r="C10" s="70" t="s">
        <v>165</v>
      </c>
    </row>
    <row r="11" spans="1:20" ht="40.5" x14ac:dyDescent="0.25">
      <c r="A11" s="135"/>
      <c r="B11" s="72" t="s">
        <v>163</v>
      </c>
      <c r="C11" s="74" t="s">
        <v>166</v>
      </c>
      <c r="M11" s="85">
        <v>2021</v>
      </c>
      <c r="N11" s="85">
        <v>2022</v>
      </c>
      <c r="O11" s="85">
        <v>2023</v>
      </c>
    </row>
    <row r="12" spans="1:20" ht="21" thickBot="1" x14ac:dyDescent="0.3">
      <c r="A12" s="136"/>
      <c r="B12" s="73" t="s">
        <v>164</v>
      </c>
      <c r="C12" s="75"/>
      <c r="L12" t="s">
        <v>109</v>
      </c>
      <c r="M12" s="112">
        <v>4396770</v>
      </c>
      <c r="N12" s="112">
        <v>5247192</v>
      </c>
      <c r="O12" s="112">
        <v>6969207</v>
      </c>
    </row>
    <row r="13" spans="1:20" ht="15.75" thickTop="1" x14ac:dyDescent="0.25">
      <c r="L13" t="s">
        <v>190</v>
      </c>
      <c r="M13">
        <f>(4396770+3612985)/2</f>
        <v>4004877.5</v>
      </c>
      <c r="N13">
        <f>(4990026+5492958)/2</f>
        <v>5241492</v>
      </c>
      <c r="O13">
        <f>(5490089+6669108)/2</f>
        <v>6079598.5</v>
      </c>
    </row>
    <row r="14" spans="1:20" x14ac:dyDescent="0.25">
      <c r="L14" t="s">
        <v>186</v>
      </c>
      <c r="M14">
        <f>(2959953+3368288)/2</f>
        <v>3164120.5</v>
      </c>
      <c r="N14">
        <f>(3368288+3434879)/2</f>
        <v>3401583.5</v>
      </c>
      <c r="O14">
        <f>(3432010+4062231)/2</f>
        <v>3747120.5</v>
      </c>
    </row>
    <row r="15" spans="1:20" x14ac:dyDescent="0.25">
      <c r="L15" t="s">
        <v>187</v>
      </c>
      <c r="M15" s="112">
        <v>1561248</v>
      </c>
      <c r="N15" s="112">
        <v>1660009</v>
      </c>
      <c r="O15" s="112">
        <v>2230865</v>
      </c>
    </row>
    <row r="16" spans="1:20" x14ac:dyDescent="0.25">
      <c r="L16" t="s">
        <v>188</v>
      </c>
      <c r="M16">
        <f>(575593+676194)/2</f>
        <v>625893.5</v>
      </c>
      <c r="N16">
        <f>(676194+1036078)/2</f>
        <v>856136</v>
      </c>
      <c r="O16">
        <f>(1036078+974022)/2</f>
        <v>1005050</v>
      </c>
    </row>
    <row r="17" spans="12:15" x14ac:dyDescent="0.25">
      <c r="L17" t="s">
        <v>189</v>
      </c>
      <c r="M17">
        <f>(1620599+1870404)/2</f>
        <v>1745501.5</v>
      </c>
      <c r="N17">
        <f>(1870404+2062535)/2</f>
        <v>1966469.5</v>
      </c>
      <c r="O17">
        <f>(2062535+2195982)/2</f>
        <v>2129258.5</v>
      </c>
    </row>
    <row r="18" spans="12:15" x14ac:dyDescent="0.25">
      <c r="L18" t="s">
        <v>191</v>
      </c>
      <c r="M18" s="112">
        <v>10114</v>
      </c>
      <c r="N18" s="112">
        <v>553814</v>
      </c>
      <c r="O18" s="112">
        <v>1392883</v>
      </c>
    </row>
  </sheetData>
  <mergeCells count="7">
    <mergeCell ref="A8:A9"/>
    <mergeCell ref="A10:A12"/>
    <mergeCell ref="R1:T1"/>
    <mergeCell ref="Q1:Q2"/>
    <mergeCell ref="A2:A3"/>
    <mergeCell ref="A4:A5"/>
    <mergeCell ref="A6:A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489A-1481-4977-8E05-9A7007A331E1}">
  <dimension ref="A1:L7"/>
  <sheetViews>
    <sheetView topLeftCell="C1" workbookViewId="0">
      <selection activeCell="G1" sqref="G1:L4"/>
    </sheetView>
  </sheetViews>
  <sheetFormatPr defaultRowHeight="15" x14ac:dyDescent="0.25"/>
  <cols>
    <col min="1" max="1" width="28.140625" customWidth="1"/>
    <col min="2" max="2" width="48.7109375" customWidth="1"/>
    <col min="3" max="3" width="52" customWidth="1"/>
    <col min="4" max="4" width="28.140625" customWidth="1"/>
    <col min="8" max="8" width="26.7109375" customWidth="1"/>
    <col min="12" max="12" width="11" bestFit="1" customWidth="1"/>
  </cols>
  <sheetData>
    <row r="1" spans="1:12" ht="16.5" thickTop="1" thickBot="1" x14ac:dyDescent="0.3">
      <c r="A1" s="77" t="s">
        <v>167</v>
      </c>
      <c r="B1" s="78" t="s">
        <v>168</v>
      </c>
      <c r="C1" s="78" t="s">
        <v>169</v>
      </c>
      <c r="D1" s="79" t="s">
        <v>170</v>
      </c>
      <c r="G1" s="41" t="s">
        <v>93</v>
      </c>
      <c r="H1" s="57" t="s">
        <v>167</v>
      </c>
      <c r="I1" s="60">
        <v>2021</v>
      </c>
      <c r="J1" s="60">
        <v>2022</v>
      </c>
      <c r="K1" s="60">
        <v>2023</v>
      </c>
    </row>
    <row r="2" spans="1:12" ht="30" x14ac:dyDescent="0.25">
      <c r="A2" s="138" t="s">
        <v>171</v>
      </c>
      <c r="B2" s="80" t="s">
        <v>24</v>
      </c>
      <c r="C2" s="80" t="s">
        <v>172</v>
      </c>
      <c r="D2" s="140" t="s">
        <v>174</v>
      </c>
      <c r="G2" s="41">
        <v>1</v>
      </c>
      <c r="H2" s="76" t="s">
        <v>171</v>
      </c>
      <c r="I2" s="61">
        <f>1165499/'горизонт А'!C20</f>
        <v>0.23870477917894498</v>
      </c>
      <c r="J2" s="61">
        <f>'структ майна'!B20/'структ майна'!B27</f>
        <v>3.2700380631352242E-2</v>
      </c>
      <c r="K2" s="61">
        <f>'структ майна'!D20/'структ майна'!D27</f>
        <v>2.6919342136909465E-2</v>
      </c>
      <c r="L2" s="41" t="s">
        <v>174</v>
      </c>
    </row>
    <row r="3" spans="1:12" ht="30.75" thickBot="1" x14ac:dyDescent="0.3">
      <c r="A3" s="139"/>
      <c r="B3" s="81" t="s">
        <v>72</v>
      </c>
      <c r="C3" s="81" t="s">
        <v>173</v>
      </c>
      <c r="D3" s="141"/>
      <c r="G3" s="41">
        <v>2</v>
      </c>
      <c r="H3" s="76" t="s">
        <v>183</v>
      </c>
      <c r="I3" s="61">
        <f>('горизонт А'!C20-1165499)/1165499</f>
        <v>3.1892751516732316</v>
      </c>
      <c r="J3" s="61">
        <f>('структ майна'!B27-'структ майна'!B20)/'структ майна'!B20</f>
        <v>29.58068379305735</v>
      </c>
      <c r="K3" s="61">
        <f>('структ майна'!D27-'структ майна'!D20)/'структ майна'!D20</f>
        <v>36.148010338220224</v>
      </c>
      <c r="L3" s="41" t="s">
        <v>179</v>
      </c>
    </row>
    <row r="4" spans="1:12" ht="30" x14ac:dyDescent="0.25">
      <c r="A4" s="82" t="s">
        <v>175</v>
      </c>
      <c r="B4" s="80" t="s">
        <v>177</v>
      </c>
      <c r="C4" s="80" t="s">
        <v>178</v>
      </c>
      <c r="D4" s="140" t="s">
        <v>179</v>
      </c>
      <c r="G4" s="41">
        <v>3</v>
      </c>
      <c r="H4" s="76" t="s">
        <v>180</v>
      </c>
      <c r="I4" s="61">
        <f>(1165499+40168)/'горизонт А'!C20</f>
        <v>0.24693155034739717</v>
      </c>
      <c r="J4" s="61">
        <f>('структ майна'!B20+'структ майна'!B22)/'структ майна'!B27</f>
        <v>0.29842758468942854</v>
      </c>
      <c r="K4" s="61">
        <f>('структ майна'!D20+'структ майна'!D22)/'структ майна'!D27</f>
        <v>0.20522459675266919</v>
      </c>
      <c r="L4" s="41" t="s">
        <v>182</v>
      </c>
    </row>
    <row r="5" spans="1:12" ht="15.75" thickBot="1" x14ac:dyDescent="0.3">
      <c r="A5" s="83" t="s">
        <v>176</v>
      </c>
      <c r="B5" s="81" t="s">
        <v>24</v>
      </c>
      <c r="C5" s="81" t="s">
        <v>172</v>
      </c>
      <c r="D5" s="141"/>
    </row>
    <row r="6" spans="1:12" x14ac:dyDescent="0.25">
      <c r="A6" s="138" t="s">
        <v>180</v>
      </c>
      <c r="B6" s="84" t="s">
        <v>184</v>
      </c>
      <c r="C6" s="80" t="s">
        <v>181</v>
      </c>
      <c r="D6" s="140" t="s">
        <v>182</v>
      </c>
    </row>
    <row r="7" spans="1:12" ht="15.75" thickBot="1" x14ac:dyDescent="0.3">
      <c r="A7" s="139"/>
      <c r="B7" s="81" t="s">
        <v>72</v>
      </c>
      <c r="C7" s="81" t="s">
        <v>173</v>
      </c>
      <c r="D7" s="141"/>
    </row>
  </sheetData>
  <mergeCells count="5">
    <mergeCell ref="A2:A3"/>
    <mergeCell ref="D2:D3"/>
    <mergeCell ref="D4:D5"/>
    <mergeCell ref="A6:A7"/>
    <mergeCell ref="D6:D7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FB74-EB30-44A8-B310-F70E4739A006}">
  <dimension ref="A1:F23"/>
  <sheetViews>
    <sheetView topLeftCell="A4" workbookViewId="0">
      <selection activeCell="C22" sqref="C22"/>
    </sheetView>
  </sheetViews>
  <sheetFormatPr defaultRowHeight="15" x14ac:dyDescent="0.25"/>
  <cols>
    <col min="2" max="2" width="41.7109375" customWidth="1"/>
    <col min="3" max="3" width="26.42578125" customWidth="1"/>
    <col min="4" max="4" width="25.7109375" customWidth="1"/>
    <col min="5" max="5" width="25.140625" customWidth="1"/>
    <col min="6" max="6" width="12.140625" bestFit="1" customWidth="1"/>
  </cols>
  <sheetData>
    <row r="1" spans="1:6" x14ac:dyDescent="0.25">
      <c r="A1" s="40" t="s">
        <v>93</v>
      </c>
      <c r="B1" s="40" t="s">
        <v>48</v>
      </c>
      <c r="C1" s="40" t="s">
        <v>94</v>
      </c>
      <c r="D1" s="40" t="s">
        <v>95</v>
      </c>
      <c r="E1" s="142" t="s">
        <v>103</v>
      </c>
      <c r="F1" s="143"/>
    </row>
    <row r="2" spans="1:6" x14ac:dyDescent="0.25">
      <c r="A2" s="40">
        <v>1</v>
      </c>
      <c r="B2" s="40" t="s">
        <v>193</v>
      </c>
      <c r="C2" s="92">
        <v>781780</v>
      </c>
      <c r="D2" s="92">
        <v>1666762</v>
      </c>
      <c r="E2" s="93">
        <f t="shared" ref="E2:E7" si="0">D2-C2</f>
        <v>884982</v>
      </c>
      <c r="F2" s="91">
        <f>E2/C2</f>
        <v>1.1320090050909464</v>
      </c>
    </row>
    <row r="3" spans="1:6" x14ac:dyDescent="0.25">
      <c r="A3" s="40">
        <v>2</v>
      </c>
      <c r="B3" s="40" t="s">
        <v>194</v>
      </c>
      <c r="C3" s="92">
        <v>227966</v>
      </c>
      <c r="D3" s="92">
        <v>273879</v>
      </c>
      <c r="E3" s="93">
        <f t="shared" si="0"/>
        <v>45913</v>
      </c>
      <c r="F3" s="91">
        <f t="shared" ref="F3:F11" si="1">E3/C3</f>
        <v>0.20140284077450146</v>
      </c>
    </row>
    <row r="4" spans="1:6" x14ac:dyDescent="0.25">
      <c r="A4" s="40">
        <v>3</v>
      </c>
      <c r="B4" s="40" t="s">
        <v>195</v>
      </c>
      <c r="C4" s="92">
        <f>C2-C3</f>
        <v>553814</v>
      </c>
      <c r="D4" s="92">
        <f>D2-D3</f>
        <v>1392883</v>
      </c>
      <c r="E4" s="93">
        <f t="shared" si="0"/>
        <v>839069</v>
      </c>
      <c r="F4" s="91">
        <f t="shared" si="1"/>
        <v>1.5150736528870703</v>
      </c>
    </row>
    <row r="5" spans="1:6" x14ac:dyDescent="0.25">
      <c r="A5" s="40">
        <v>4</v>
      </c>
      <c r="B5" s="40" t="s">
        <v>146</v>
      </c>
      <c r="C5" s="92">
        <v>5247192</v>
      </c>
      <c r="D5" s="92">
        <v>6969207</v>
      </c>
      <c r="E5" s="93">
        <f t="shared" si="0"/>
        <v>1722015</v>
      </c>
      <c r="F5" s="91">
        <f t="shared" si="1"/>
        <v>0.32817838569657826</v>
      </c>
    </row>
    <row r="6" spans="1:6" x14ac:dyDescent="0.25">
      <c r="A6" s="40">
        <v>5</v>
      </c>
      <c r="B6" s="40" t="s">
        <v>196</v>
      </c>
      <c r="C6" s="92">
        <v>1640769.5</v>
      </c>
      <c r="D6" s="92">
        <v>1868634</v>
      </c>
      <c r="E6" s="93">
        <f t="shared" si="0"/>
        <v>227864.5</v>
      </c>
      <c r="F6" s="91">
        <f t="shared" si="1"/>
        <v>0.13887660637280252</v>
      </c>
    </row>
    <row r="7" spans="1:6" x14ac:dyDescent="0.25">
      <c r="A7" s="40">
        <v>6</v>
      </c>
      <c r="B7" s="40" t="s">
        <v>197</v>
      </c>
      <c r="C7" s="92">
        <f>(2685310+3235241)/2</f>
        <v>2960275.5</v>
      </c>
      <c r="D7" s="92">
        <f>(3235241+4628124)/2</f>
        <v>3931682.5</v>
      </c>
      <c r="E7" s="93">
        <f t="shared" si="0"/>
        <v>971407</v>
      </c>
      <c r="F7" s="91">
        <f>E7/D7</f>
        <v>0.24707157813480615</v>
      </c>
    </row>
    <row r="8" spans="1:6" x14ac:dyDescent="0.25">
      <c r="A8" s="40">
        <v>7</v>
      </c>
      <c r="B8" s="40" t="s">
        <v>198</v>
      </c>
      <c r="C8" s="90">
        <f>C4/C5*100</f>
        <v>10.554483235986028</v>
      </c>
      <c r="D8" s="90">
        <f>D4/D5*100</f>
        <v>19.986248076718056</v>
      </c>
      <c r="E8" s="90">
        <f t="shared" ref="E8:E11" si="2">D8-C8</f>
        <v>9.4317648407320274</v>
      </c>
      <c r="F8" s="94">
        <f t="shared" si="1"/>
        <v>0.89362639836064761</v>
      </c>
    </row>
    <row r="9" spans="1:6" x14ac:dyDescent="0.25">
      <c r="A9" s="40">
        <v>8</v>
      </c>
      <c r="B9" s="40" t="s">
        <v>199</v>
      </c>
      <c r="C9" s="90">
        <f>C5/C6</f>
        <v>3.198006788887775</v>
      </c>
      <c r="D9" s="90">
        <f>D5/D6</f>
        <v>3.7295730464071615</v>
      </c>
      <c r="E9" s="90">
        <f t="shared" si="2"/>
        <v>0.53156625751938646</v>
      </c>
      <c r="F9" s="94">
        <f t="shared" si="1"/>
        <v>0.16621798908196134</v>
      </c>
    </row>
    <row r="10" spans="1:6" x14ac:dyDescent="0.25">
      <c r="A10" s="40">
        <v>9</v>
      </c>
      <c r="B10" s="40" t="s">
        <v>200</v>
      </c>
      <c r="C10" s="90">
        <f>C6/C7</f>
        <v>0.55426243266885122</v>
      </c>
      <c r="D10" s="90">
        <f>D6/D7</f>
        <v>0.47527591559084437</v>
      </c>
      <c r="E10" s="90">
        <f t="shared" si="2"/>
        <v>-7.8986517078006857E-2</v>
      </c>
      <c r="F10" s="94">
        <f t="shared" si="1"/>
        <v>-0.1425074340645382</v>
      </c>
    </row>
    <row r="11" spans="1:6" x14ac:dyDescent="0.25">
      <c r="A11" s="40">
        <v>10</v>
      </c>
      <c r="B11" s="40" t="s">
        <v>201</v>
      </c>
      <c r="C11" s="90">
        <f>C8*C9*C10</f>
        <v>18.708191180179007</v>
      </c>
      <c r="D11" s="90">
        <f>D8*D9*D10</f>
        <v>35.427148555357661</v>
      </c>
      <c r="E11" s="90">
        <f t="shared" si="2"/>
        <v>16.718957375178654</v>
      </c>
      <c r="F11" s="94">
        <f t="shared" si="1"/>
        <v>0.89367043634299015</v>
      </c>
    </row>
    <row r="15" spans="1:6" x14ac:dyDescent="0.25">
      <c r="B15" t="s">
        <v>116</v>
      </c>
      <c r="C15" s="49">
        <f>(D8-C8)*C9*C10</f>
        <v>16.718133504185797</v>
      </c>
    </row>
    <row r="16" spans="1:6" x14ac:dyDescent="0.25">
      <c r="B16" t="s">
        <v>117</v>
      </c>
      <c r="C16" s="49">
        <f>C10*D8*(D9-C9)</f>
        <v>5.8884924495997666</v>
      </c>
    </row>
    <row r="17" spans="2:3" x14ac:dyDescent="0.25">
      <c r="B17" t="s">
        <v>202</v>
      </c>
      <c r="C17" s="49">
        <f>E10*D8*D9</f>
        <v>-5.8876685786069096</v>
      </c>
    </row>
    <row r="18" spans="2:3" x14ac:dyDescent="0.25">
      <c r="C18" s="49">
        <f>C15+C16+C17</f>
        <v>16.718957375178654</v>
      </c>
    </row>
    <row r="20" spans="2:3" x14ac:dyDescent="0.25">
      <c r="B20" t="s">
        <v>116</v>
      </c>
      <c r="C20" s="49">
        <f>C11*F8</f>
        <v>16.718133504185801</v>
      </c>
    </row>
    <row r="21" spans="2:3" x14ac:dyDescent="0.25">
      <c r="B21" t="s">
        <v>117</v>
      </c>
      <c r="C21" s="49">
        <f>(C11+C20)*F9</f>
        <v>5.8884924495997666</v>
      </c>
    </row>
    <row r="22" spans="2:3" x14ac:dyDescent="0.25">
      <c r="B22" t="s">
        <v>202</v>
      </c>
      <c r="C22" s="49">
        <f>(C11+C20+C21)*F10</f>
        <v>-5.8876685786069096</v>
      </c>
    </row>
    <row r="23" spans="2:3" x14ac:dyDescent="0.25">
      <c r="C23" s="49">
        <f>C20+C21+C22</f>
        <v>16.718957375178658</v>
      </c>
    </row>
  </sheetData>
  <mergeCells count="1">
    <mergeCell ref="E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9F5E-6575-495A-A8B9-CE5ABDF4A320}">
  <dimension ref="A2:H13"/>
  <sheetViews>
    <sheetView workbookViewId="0">
      <selection activeCell="A11" sqref="A11:F13"/>
    </sheetView>
  </sheetViews>
  <sheetFormatPr defaultRowHeight="15" x14ac:dyDescent="0.25"/>
  <cols>
    <col min="1" max="1" width="7.42578125" bestFit="1" customWidth="1"/>
    <col min="2" max="2" width="2" bestFit="1" customWidth="1"/>
    <col min="3" max="3" width="6.42578125" customWidth="1"/>
    <col min="4" max="4" width="6.42578125" bestFit="1" customWidth="1"/>
    <col min="5" max="5" width="2" bestFit="1" customWidth="1"/>
    <col min="6" max="6" width="6.42578125" customWidth="1"/>
  </cols>
  <sheetData>
    <row r="2" spans="1:8" x14ac:dyDescent="0.25">
      <c r="A2" t="s">
        <v>203</v>
      </c>
    </row>
    <row r="3" spans="1:8" ht="15.75" thickBot="1" x14ac:dyDescent="0.3"/>
    <row r="4" spans="1:8" ht="15.75" thickBot="1" x14ac:dyDescent="0.3">
      <c r="A4" s="144" t="s">
        <v>206</v>
      </c>
      <c r="B4" s="145"/>
      <c r="C4" s="146"/>
      <c r="D4" s="144" t="s">
        <v>207</v>
      </c>
      <c r="E4" s="145"/>
      <c r="F4" s="146"/>
    </row>
    <row r="5" spans="1:8" x14ac:dyDescent="0.25">
      <c r="A5" s="96">
        <f>'структ майна'!B6/('структ майна'!B20+'структ майна'!B22)</f>
        <v>0.28039653465527825</v>
      </c>
      <c r="B5" s="97" t="s">
        <v>204</v>
      </c>
      <c r="C5" s="98">
        <v>1</v>
      </c>
      <c r="D5" s="99">
        <f>'структ майна'!D6/('структ майна'!D22+'структ майна'!D20)</f>
        <v>0.19338187211625926</v>
      </c>
      <c r="E5" s="100" t="s">
        <v>204</v>
      </c>
      <c r="F5" s="101">
        <v>1</v>
      </c>
      <c r="H5" t="s">
        <v>209</v>
      </c>
    </row>
    <row r="6" spans="1:8" ht="15.75" thickBot="1" x14ac:dyDescent="0.3">
      <c r="A6" s="102">
        <f>'структ майна'!B7/'структ майна'!B23</f>
        <v>2.5855848499086664</v>
      </c>
      <c r="B6" s="103" t="s">
        <v>205</v>
      </c>
      <c r="C6" s="104">
        <v>1</v>
      </c>
      <c r="D6" s="102">
        <f>'структ майна'!D7/'структ майна'!D23</f>
        <v>3.0602643432447376</v>
      </c>
      <c r="E6" s="103" t="s">
        <v>205</v>
      </c>
      <c r="F6" s="104">
        <v>1</v>
      </c>
      <c r="H6" t="s">
        <v>208</v>
      </c>
    </row>
    <row r="9" spans="1:8" x14ac:dyDescent="0.25">
      <c r="A9" t="s">
        <v>210</v>
      </c>
    </row>
    <row r="10" spans="1:8" ht="15.75" thickBot="1" x14ac:dyDescent="0.3"/>
    <row r="11" spans="1:8" ht="15.75" thickBot="1" x14ac:dyDescent="0.3">
      <c r="A11" s="147" t="s">
        <v>206</v>
      </c>
      <c r="B11" s="148"/>
      <c r="C11" s="149"/>
      <c r="D11" s="147" t="s">
        <v>207</v>
      </c>
      <c r="E11" s="148"/>
      <c r="F11" s="149"/>
    </row>
    <row r="12" spans="1:8" x14ac:dyDescent="0.25">
      <c r="A12" s="96">
        <f>('структ майна'!B20+'структ майна'!B22)/'структ майна'!B6</f>
        <v>3.5663778841967786</v>
      </c>
      <c r="B12" s="97" t="s">
        <v>205</v>
      </c>
      <c r="C12" s="105">
        <v>1</v>
      </c>
      <c r="D12" s="96">
        <f>('структ майна'!D20+'структ майна'!D22)/'структ майна'!D6</f>
        <v>5.1711155190327762</v>
      </c>
      <c r="E12" s="97" t="s">
        <v>205</v>
      </c>
      <c r="F12" s="98">
        <v>1</v>
      </c>
      <c r="H12" t="s">
        <v>211</v>
      </c>
    </row>
    <row r="13" spans="1:8" ht="15.75" thickBot="1" x14ac:dyDescent="0.3">
      <c r="A13" s="102">
        <f>('структ майна'!B20+'структ майна'!B22)/('структ майна'!B6+'структ майна'!B7*(1-90%))</f>
        <v>2.4629803704977049</v>
      </c>
      <c r="B13" s="103" t="s">
        <v>205</v>
      </c>
      <c r="C13" s="106">
        <v>1</v>
      </c>
      <c r="D13" s="102">
        <f>('структ майна'!D20+'структ майна'!D22)/('структ майна'!D6+'структ майна'!D7*(1-90%))</f>
        <v>2.6051811443789217</v>
      </c>
      <c r="E13" s="103" t="s">
        <v>205</v>
      </c>
      <c r="F13" s="104">
        <v>1</v>
      </c>
    </row>
  </sheetData>
  <mergeCells count="4">
    <mergeCell ref="A4:C4"/>
    <mergeCell ref="D4:F4"/>
    <mergeCell ref="A11:C11"/>
    <mergeCell ref="D11:F1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2E85-0C74-417E-AAC5-085642545ABA}">
  <dimension ref="A2:F14"/>
  <sheetViews>
    <sheetView workbookViewId="0">
      <selection activeCell="G11" sqref="G11"/>
    </sheetView>
  </sheetViews>
  <sheetFormatPr defaultRowHeight="15" x14ac:dyDescent="0.25"/>
  <cols>
    <col min="1" max="1" width="31.85546875" customWidth="1"/>
    <col min="2" max="4" width="13.5703125" bestFit="1" customWidth="1"/>
  </cols>
  <sheetData>
    <row r="2" spans="1:6" x14ac:dyDescent="0.25">
      <c r="A2" s="85" t="s">
        <v>48</v>
      </c>
      <c r="B2">
        <v>2021</v>
      </c>
      <c r="C2">
        <v>2022</v>
      </c>
      <c r="D2">
        <v>2023</v>
      </c>
    </row>
    <row r="3" spans="1:6" ht="30" x14ac:dyDescent="0.25">
      <c r="A3" s="47" t="s">
        <v>212</v>
      </c>
      <c r="B3" s="49">
        <f>'аналіз ДЗ'!H8/(('аналіз ДЗ'!H11+'аналіз ДЗ'!G11)/2)</f>
        <v>3.5602457564500947</v>
      </c>
      <c r="C3" s="49">
        <f>'аналіз ДЗ'!I8/(('аналіз ДЗ'!H11+'аналіз ДЗ'!I11)/2)</f>
        <v>2.2088487528585694</v>
      </c>
      <c r="D3" s="49">
        <f>'аналіз ДЗ'!J8/(('аналіз ДЗ'!I11+'аналіз ДЗ'!J11)/2)</f>
        <v>2.6977923586110788</v>
      </c>
    </row>
    <row r="4" spans="1:6" ht="30" x14ac:dyDescent="0.25">
      <c r="A4" s="47" t="s">
        <v>213</v>
      </c>
      <c r="B4" s="49">
        <f>'ефективн викорис А'!M15/'швидкість перетворення та погаш'!D14</f>
        <v>4.214565882286248</v>
      </c>
      <c r="C4" s="49">
        <f>'ефективн викорис А'!N15/'швидкість перетворення та погаш'!E14</f>
        <v>3.6918295362553488</v>
      </c>
      <c r="D4" s="49">
        <f>'ефективн викорис А'!O15/'швидкість перетворення та погаш'!F14</f>
        <v>3.7653096272691751</v>
      </c>
    </row>
    <row r="5" spans="1:6" ht="30" x14ac:dyDescent="0.25">
      <c r="A5" s="47" t="s">
        <v>214</v>
      </c>
      <c r="B5" s="50">
        <f>365/B3</f>
        <v>102.52101258423798</v>
      </c>
      <c r="C5" s="50">
        <f t="shared" ref="C5:D5" si="0">365/C3</f>
        <v>165.24445122267301</v>
      </c>
      <c r="D5" s="50">
        <f t="shared" si="0"/>
        <v>135.29580912146821</v>
      </c>
    </row>
    <row r="6" spans="1:6" ht="45" x14ac:dyDescent="0.25">
      <c r="A6" s="47" t="s">
        <v>215</v>
      </c>
      <c r="B6" s="50">
        <f>365/B4</f>
        <v>86.604411983233931</v>
      </c>
      <c r="C6" s="50">
        <f t="shared" ref="C6:D6" si="1">365/C4</f>
        <v>98.86696999835543</v>
      </c>
      <c r="D6" s="50">
        <f t="shared" si="1"/>
        <v>96.937579145309115</v>
      </c>
    </row>
    <row r="12" spans="1:6" x14ac:dyDescent="0.25">
      <c r="C12">
        <v>2020</v>
      </c>
      <c r="D12">
        <v>2021</v>
      </c>
      <c r="E12">
        <v>2022</v>
      </c>
      <c r="F12">
        <v>2023</v>
      </c>
    </row>
    <row r="13" spans="1:6" x14ac:dyDescent="0.25">
      <c r="B13" t="s">
        <v>216</v>
      </c>
      <c r="C13">
        <f>359002-68129</f>
        <v>290873</v>
      </c>
      <c r="D13">
        <f>575724-125715</f>
        <v>450009</v>
      </c>
      <c r="E13">
        <f>794968-345689</f>
        <v>449279</v>
      </c>
      <c r="F13">
        <f>851847-116169</f>
        <v>735678</v>
      </c>
    </row>
    <row r="14" spans="1:6" x14ac:dyDescent="0.25">
      <c r="B14" t="s">
        <v>217</v>
      </c>
      <c r="D14">
        <f>(C13+D13)/2</f>
        <v>370441</v>
      </c>
      <c r="E14">
        <f t="shared" ref="E14:F14" si="2">(D13+E13)/2</f>
        <v>449644</v>
      </c>
      <c r="F14">
        <f t="shared" si="2"/>
        <v>592478.5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370F-1370-4688-BA25-9C7E19CD1AF4}">
  <dimension ref="A1:H7"/>
  <sheetViews>
    <sheetView workbookViewId="0">
      <selection sqref="A1:H2"/>
    </sheetView>
  </sheetViews>
  <sheetFormatPr defaultRowHeight="15" x14ac:dyDescent="0.25"/>
  <cols>
    <col min="1" max="1" width="7.140625" bestFit="1" customWidth="1"/>
    <col min="2" max="3" width="16.28515625" bestFit="1" customWidth="1"/>
    <col min="4" max="4" width="7.140625" bestFit="1" customWidth="1"/>
    <col min="5" max="6" width="16.28515625" bestFit="1" customWidth="1"/>
    <col min="7" max="7" width="20" bestFit="1" customWidth="1"/>
    <col min="8" max="8" width="19.5703125" bestFit="1" customWidth="1"/>
  </cols>
  <sheetData>
    <row r="1" spans="1:8" x14ac:dyDescent="0.25">
      <c r="A1" s="150" t="s">
        <v>2</v>
      </c>
      <c r="B1" s="150" t="s">
        <v>276</v>
      </c>
      <c r="C1" s="150" t="s">
        <v>277</v>
      </c>
      <c r="D1" s="150" t="s">
        <v>23</v>
      </c>
      <c r="E1" s="150" t="s">
        <v>276</v>
      </c>
      <c r="F1" s="150" t="s">
        <v>277</v>
      </c>
      <c r="G1" s="150" t="s">
        <v>218</v>
      </c>
      <c r="H1" s="150"/>
    </row>
    <row r="2" spans="1:8" x14ac:dyDescent="0.25">
      <c r="A2" s="150"/>
      <c r="B2" s="150"/>
      <c r="C2" s="150"/>
      <c r="D2" s="150"/>
      <c r="E2" s="150"/>
      <c r="F2" s="150"/>
      <c r="G2" s="107" t="s">
        <v>278</v>
      </c>
      <c r="H2" s="107" t="s">
        <v>279</v>
      </c>
    </row>
    <row r="3" spans="1:8" x14ac:dyDescent="0.25">
      <c r="A3" s="35" t="s">
        <v>219</v>
      </c>
      <c r="B3" s="35">
        <f>110700</f>
        <v>110700</v>
      </c>
      <c r="C3" s="114">
        <v>192840</v>
      </c>
      <c r="D3" s="35" t="s">
        <v>220</v>
      </c>
      <c r="E3" s="108">
        <f>186613+90208+3093+15369+1214+148897+345689</f>
        <v>791083</v>
      </c>
      <c r="F3" s="35">
        <f>358429+136835+1509+226480+116169</f>
        <v>839422</v>
      </c>
      <c r="G3" s="35">
        <f>B3-E3</f>
        <v>-680383</v>
      </c>
      <c r="H3" s="35">
        <f>C3-F3</f>
        <v>-646582</v>
      </c>
    </row>
    <row r="4" spans="1:8" x14ac:dyDescent="0.25">
      <c r="A4" s="35" t="s">
        <v>221</v>
      </c>
      <c r="B4" s="35">
        <f>353972+29855+1739460+126638+11241+113661+287271</f>
        <v>2662098</v>
      </c>
      <c r="C4" s="35">
        <f>327436+50719+2492779+170301+21210+26775+174395</f>
        <v>3263615</v>
      </c>
      <c r="D4" s="35" t="s">
        <v>222</v>
      </c>
      <c r="E4" s="35">
        <v>4899</v>
      </c>
      <c r="F4" s="114">
        <v>12425</v>
      </c>
      <c r="G4" s="35">
        <f t="shared" ref="G4:H6" si="0">B4-E4</f>
        <v>2657199</v>
      </c>
      <c r="H4" s="35">
        <f t="shared" si="0"/>
        <v>3251190</v>
      </c>
    </row>
    <row r="5" spans="1:8" x14ac:dyDescent="0.25">
      <c r="A5" s="35" t="s">
        <v>223</v>
      </c>
      <c r="B5" s="35">
        <f>641405+10846+6961</f>
        <v>659212</v>
      </c>
      <c r="C5" s="35">
        <f>576987+18880+9909</f>
        <v>605776</v>
      </c>
      <c r="D5" s="35" t="s">
        <v>224</v>
      </c>
      <c r="E5" s="35">
        <f>1458866</f>
        <v>1458866</v>
      </c>
      <c r="F5" s="35">
        <f>1189137</f>
        <v>1189137</v>
      </c>
      <c r="G5" s="35">
        <f t="shared" si="0"/>
        <v>-799654</v>
      </c>
      <c r="H5" s="35">
        <f t="shared" si="0"/>
        <v>-583361</v>
      </c>
    </row>
    <row r="6" spans="1:8" x14ac:dyDescent="0.25">
      <c r="A6" s="35" t="s">
        <v>225</v>
      </c>
      <c r="B6" s="35">
        <v>2058079</v>
      </c>
      <c r="C6" s="35">
        <f>2606877</f>
        <v>2606877</v>
      </c>
      <c r="D6" s="35" t="s">
        <v>226</v>
      </c>
      <c r="E6" s="114">
        <v>3235241</v>
      </c>
      <c r="F6" s="114">
        <v>4628124</v>
      </c>
      <c r="G6" s="35">
        <f t="shared" si="0"/>
        <v>-1177162</v>
      </c>
      <c r="H6" s="35">
        <f t="shared" si="0"/>
        <v>-2021247</v>
      </c>
    </row>
    <row r="7" spans="1:8" x14ac:dyDescent="0.25">
      <c r="A7" s="35" t="s">
        <v>22</v>
      </c>
      <c r="B7" s="35">
        <f>B3+B4+B5+B6</f>
        <v>5490089</v>
      </c>
      <c r="C7" s="35">
        <f>C3+C4+C5+C6</f>
        <v>6669108</v>
      </c>
      <c r="D7" s="35" t="s">
        <v>22</v>
      </c>
      <c r="E7" s="35">
        <f>E3+E4+E5+E6</f>
        <v>5490089</v>
      </c>
      <c r="F7" s="35">
        <f>F3+F4+F5+F6</f>
        <v>6669108</v>
      </c>
      <c r="G7" s="35">
        <f>B7-E7</f>
        <v>0</v>
      </c>
      <c r="H7" s="35">
        <f>C7-F7</f>
        <v>0</v>
      </c>
    </row>
  </sheetData>
  <mergeCells count="7">
    <mergeCell ref="G1:H1"/>
    <mergeCell ref="A1:A2"/>
    <mergeCell ref="B1:B2"/>
    <mergeCell ref="C1:C2"/>
    <mergeCell ref="D1:D2"/>
    <mergeCell ref="F1:F2"/>
    <mergeCell ref="E1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5983-0FFA-42CE-8229-7FA4CC660A50}">
  <dimension ref="A3:E8"/>
  <sheetViews>
    <sheetView workbookViewId="0">
      <selection activeCell="D8" sqref="D8"/>
    </sheetView>
  </sheetViews>
  <sheetFormatPr defaultRowHeight="15" x14ac:dyDescent="0.25"/>
  <cols>
    <col min="1" max="1" width="32.42578125" customWidth="1"/>
    <col min="2" max="4" width="12.5703125" bestFit="1" customWidth="1"/>
    <col min="5" max="5" width="11.28515625" customWidth="1"/>
  </cols>
  <sheetData>
    <row r="3" spans="1:5" x14ac:dyDescent="0.25">
      <c r="A3" s="57" t="s">
        <v>167</v>
      </c>
      <c r="B3" s="60">
        <v>2021</v>
      </c>
      <c r="C3" s="60">
        <v>2022</v>
      </c>
      <c r="D3" s="60">
        <v>2023</v>
      </c>
    </row>
    <row r="4" spans="1:5" ht="60" x14ac:dyDescent="0.25">
      <c r="A4" s="47" t="s">
        <v>227</v>
      </c>
      <c r="B4">
        <f>'ефективн ОА'!C6</f>
        <v>2792564</v>
      </c>
      <c r="C4">
        <f>'ефективн ОА'!D6</f>
        <v>2639911</v>
      </c>
      <c r="D4">
        <f>'ефективн ОА'!E6</f>
        <v>3210384</v>
      </c>
      <c r="E4" s="109" t="s">
        <v>233</v>
      </c>
    </row>
    <row r="5" spans="1:5" ht="30" x14ac:dyDescent="0.25">
      <c r="A5" s="47" t="s">
        <v>228</v>
      </c>
      <c r="B5" s="49">
        <f>'горизонт А'!C17/'ефективн ОА'!F19</f>
        <v>0.37738742869847358</v>
      </c>
      <c r="C5" s="49">
        <f>'горизонт А'!D17/'ефективн ОА'!G19</f>
        <v>0.13925088808606131</v>
      </c>
      <c r="D5" s="49">
        <f>'горизонт А'!E17/'ефективн ОА'!H19</f>
        <v>0.22637868067857256</v>
      </c>
      <c r="E5" s="95" t="s">
        <v>232</v>
      </c>
    </row>
    <row r="6" spans="1:5" ht="30" x14ac:dyDescent="0.25">
      <c r="A6" s="47" t="s">
        <v>229</v>
      </c>
      <c r="B6" s="49">
        <f>('ефективн ОА'!F15-'аналіз запасів'!G7)/'ефективн ОА'!F19</f>
        <v>4.6760148960265679</v>
      </c>
      <c r="C6" s="49">
        <f>('ефективн ОА'!G15-'аналіз запасів'!H7)/'ефективн ОА'!G19</f>
        <v>3.0174812067907135</v>
      </c>
      <c r="D6" s="49">
        <f>('ефективн ОА'!H15-'аналіз запасів'!I7)/'ефективн ОА'!H19</f>
        <v>3.6253094745887466</v>
      </c>
      <c r="E6" s="95"/>
    </row>
    <row r="7" spans="1:5" ht="30" x14ac:dyDescent="0.25">
      <c r="A7" s="47" t="s">
        <v>230</v>
      </c>
      <c r="B7" s="49">
        <f>'ефективн ОА'!F15/'ефективн ОА'!F19</f>
        <v>5.8505255990717773</v>
      </c>
      <c r="C7" s="49">
        <f>'ефективн ОА'!G15/'ефективн ОА'!G19</f>
        <v>4.3207764337684029</v>
      </c>
      <c r="D7" s="49">
        <f>'ефективн ОА'!H15/'ефективн ОА'!H19</f>
        <v>4.768733117566887</v>
      </c>
      <c r="E7" s="95" t="s">
        <v>234</v>
      </c>
    </row>
    <row r="8" spans="1:5" ht="30" x14ac:dyDescent="0.25">
      <c r="A8" s="47" t="s">
        <v>231</v>
      </c>
      <c r="B8" s="49">
        <f>'горизонт А'!C17/B4</f>
        <v>7.7803409339947088E-2</v>
      </c>
      <c r="C8" s="49">
        <f>'горизонт А'!D17/C4</f>
        <v>4.193323184001279E-2</v>
      </c>
      <c r="D8" s="49">
        <f>'горизонт А'!E17/D4</f>
        <v>6.0067580700626469E-2</v>
      </c>
      <c r="E8" s="95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1A6D-14D2-4532-98D6-512B5580C8EA}">
  <dimension ref="A1:D14"/>
  <sheetViews>
    <sheetView workbookViewId="0">
      <selection activeCell="D1" sqref="D1"/>
    </sheetView>
  </sheetViews>
  <sheetFormatPr defaultRowHeight="15" x14ac:dyDescent="0.25"/>
  <cols>
    <col min="2" max="2" width="32.140625" bestFit="1" customWidth="1"/>
    <col min="3" max="4" width="14.5703125" bestFit="1" customWidth="1"/>
  </cols>
  <sheetData>
    <row r="1" spans="1:4" x14ac:dyDescent="0.25">
      <c r="B1" t="s">
        <v>235</v>
      </c>
      <c r="C1" t="s">
        <v>236</v>
      </c>
      <c r="D1" t="s">
        <v>237</v>
      </c>
    </row>
    <row r="2" spans="1:4" x14ac:dyDescent="0.25">
      <c r="A2">
        <v>1</v>
      </c>
      <c r="B2" s="47" t="s">
        <v>238</v>
      </c>
      <c r="C2">
        <f>'горизонт А'!D11</f>
        <v>2058079</v>
      </c>
      <c r="D2">
        <f>'горизонт А'!E11</f>
        <v>4062231</v>
      </c>
    </row>
    <row r="3" spans="1:4" x14ac:dyDescent="0.25">
      <c r="A3">
        <v>2</v>
      </c>
      <c r="B3" s="47" t="s">
        <v>239</v>
      </c>
      <c r="C3">
        <f>'аналіз ДЗ'!I11</f>
        <v>2281140</v>
      </c>
      <c r="D3">
        <f>'аналіз ДЗ'!J11</f>
        <v>2885460</v>
      </c>
    </row>
    <row r="4" spans="1:4" x14ac:dyDescent="0.25">
      <c r="A4">
        <v>3</v>
      </c>
      <c r="B4" s="47" t="s">
        <v>240</v>
      </c>
      <c r="C4">
        <f>'ефективн ОА'!G19</f>
        <v>794968</v>
      </c>
      <c r="D4">
        <f>'ефективн ОА'!H19</f>
        <v>851847</v>
      </c>
    </row>
    <row r="5" spans="1:4" ht="30" x14ac:dyDescent="0.25">
      <c r="A5">
        <v>4</v>
      </c>
      <c r="B5" s="47" t="s">
        <v>241</v>
      </c>
      <c r="C5">
        <f>'швидкість перетворення та погаш'!E13</f>
        <v>449279</v>
      </c>
      <c r="D5">
        <f>'швидкість перетворення та погаш'!F13</f>
        <v>735678</v>
      </c>
    </row>
    <row r="6" spans="1:4" x14ac:dyDescent="0.25">
      <c r="A6">
        <v>5</v>
      </c>
      <c r="B6" s="47" t="s">
        <v>242</v>
      </c>
      <c r="C6">
        <f>'ефективн викорис А'!N12</f>
        <v>5247192</v>
      </c>
      <c r="D6">
        <f>'ефективн викорис А'!O12</f>
        <v>6969207</v>
      </c>
    </row>
    <row r="7" spans="1:4" ht="30" x14ac:dyDescent="0.25">
      <c r="A7">
        <v>6</v>
      </c>
      <c r="B7" s="47" t="s">
        <v>243</v>
      </c>
      <c r="C7">
        <f>'ефективн викорис А'!N15</f>
        <v>1660009</v>
      </c>
      <c r="D7">
        <f>'ефективн викорис А'!O15</f>
        <v>2230865</v>
      </c>
    </row>
    <row r="8" spans="1:4" ht="30" x14ac:dyDescent="0.25">
      <c r="A8">
        <v>7</v>
      </c>
      <c r="B8" s="47" t="s">
        <v>244</v>
      </c>
      <c r="C8" s="50">
        <f>C3*365/C6</f>
        <v>158.67841313982794</v>
      </c>
      <c r="D8" s="50">
        <f>D3*365/D6</f>
        <v>151.12090945210841</v>
      </c>
    </row>
    <row r="9" spans="1:4" ht="30" x14ac:dyDescent="0.25">
      <c r="A9">
        <v>8</v>
      </c>
      <c r="B9" s="47" t="s">
        <v>245</v>
      </c>
      <c r="C9" s="50">
        <f>C5*365/C7</f>
        <v>98.786714409379712</v>
      </c>
      <c r="D9" s="50">
        <f>D5*365/D7</f>
        <v>120.36697424541602</v>
      </c>
    </row>
    <row r="10" spans="1:4" ht="30" x14ac:dyDescent="0.25">
      <c r="A10">
        <v>9</v>
      </c>
      <c r="B10" s="47" t="s">
        <v>246</v>
      </c>
      <c r="C10" s="50">
        <f>C8-C9</f>
        <v>59.891698730448226</v>
      </c>
      <c r="D10" s="50">
        <f>D8-D9</f>
        <v>30.75393520669239</v>
      </c>
    </row>
    <row r="11" spans="1:4" ht="45" x14ac:dyDescent="0.25">
      <c r="A11">
        <v>10</v>
      </c>
      <c r="B11" s="47" t="s">
        <v>247</v>
      </c>
      <c r="C11" s="50">
        <f>C10*C7/365</f>
        <v>272385.64087077434</v>
      </c>
      <c r="D11" s="50">
        <f>D10*D7/365</f>
        <v>187966.78812295292</v>
      </c>
    </row>
    <row r="12" spans="1:4" ht="30" x14ac:dyDescent="0.25">
      <c r="A12">
        <v>11</v>
      </c>
      <c r="B12" s="47" t="s">
        <v>248</v>
      </c>
      <c r="C12" s="50">
        <f>C2+C11</f>
        <v>2330464.6408707742</v>
      </c>
      <c r="D12" s="50">
        <f>D2+D11</f>
        <v>4250197.7881229529</v>
      </c>
    </row>
    <row r="13" spans="1:4" ht="30" x14ac:dyDescent="0.25">
      <c r="A13">
        <v>12</v>
      </c>
      <c r="B13" s="47" t="s">
        <v>249</v>
      </c>
      <c r="C13" s="50">
        <f>C2/C4</f>
        <v>2.5888828229563958</v>
      </c>
      <c r="D13" s="50">
        <f>D2/D4</f>
        <v>4.768733117566887</v>
      </c>
    </row>
    <row r="14" spans="1:4" ht="30" x14ac:dyDescent="0.25">
      <c r="A14">
        <v>13</v>
      </c>
      <c r="B14" s="47" t="s">
        <v>250</v>
      </c>
      <c r="C14" s="50">
        <f>C12/C4</f>
        <v>2.9315200622802102</v>
      </c>
      <c r="D14" s="50">
        <f>D12/D4</f>
        <v>4.9893910386759037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7F39-200F-43F0-A49C-799C222C997C}">
  <dimension ref="A1:G21"/>
  <sheetViews>
    <sheetView topLeftCell="A12" workbookViewId="0">
      <selection activeCell="C18" sqref="C18"/>
    </sheetView>
  </sheetViews>
  <sheetFormatPr defaultRowHeight="15" x14ac:dyDescent="0.25"/>
  <cols>
    <col min="1" max="1" width="27.28515625" customWidth="1"/>
    <col min="2" max="2" width="19" customWidth="1"/>
    <col min="3" max="5" width="12.28515625" bestFit="1" customWidth="1"/>
    <col min="6" max="6" width="10.85546875" bestFit="1" customWidth="1"/>
    <col min="7" max="7" width="12.28515625" bestFit="1" customWidth="1"/>
  </cols>
  <sheetData>
    <row r="1" spans="1:7" x14ac:dyDescent="0.25">
      <c r="A1" s="117" t="s">
        <v>0</v>
      </c>
      <c r="B1" s="118" t="s">
        <v>1</v>
      </c>
      <c r="C1" s="119">
        <v>2021</v>
      </c>
      <c r="D1" s="119">
        <v>2022</v>
      </c>
      <c r="E1" s="119">
        <v>2023</v>
      </c>
      <c r="F1" s="117" t="s">
        <v>274</v>
      </c>
      <c r="G1" s="117"/>
    </row>
    <row r="2" spans="1:7" x14ac:dyDescent="0.25">
      <c r="A2" s="117"/>
      <c r="B2" s="118"/>
      <c r="C2" s="120"/>
      <c r="D2" s="120"/>
      <c r="E2" s="120"/>
      <c r="F2" s="117"/>
      <c r="G2" s="117"/>
    </row>
    <row r="3" spans="1:7" x14ac:dyDescent="0.25">
      <c r="A3" s="8" t="s">
        <v>23</v>
      </c>
      <c r="B3" s="118"/>
      <c r="C3" s="8" t="s">
        <v>3</v>
      </c>
      <c r="D3" s="8" t="s">
        <v>3</v>
      </c>
      <c r="E3" s="8" t="s">
        <v>3</v>
      </c>
      <c r="F3" s="8" t="s">
        <v>3</v>
      </c>
      <c r="G3" s="8" t="s">
        <v>5</v>
      </c>
    </row>
    <row r="4" spans="1:7" x14ac:dyDescent="0.25">
      <c r="A4" s="9" t="s">
        <v>24</v>
      </c>
      <c r="B4" s="8" t="s">
        <v>25</v>
      </c>
      <c r="C4" s="10"/>
      <c r="D4" s="10"/>
      <c r="E4" s="10"/>
      <c r="F4" s="10"/>
      <c r="G4" s="10"/>
    </row>
    <row r="5" spans="1:7" ht="30" x14ac:dyDescent="0.25">
      <c r="A5" s="9" t="s">
        <v>26</v>
      </c>
      <c r="B5" s="8">
        <v>1400</v>
      </c>
      <c r="C5" s="16">
        <v>179528</v>
      </c>
      <c r="D5" s="16">
        <v>179528</v>
      </c>
      <c r="E5" s="16">
        <v>179528</v>
      </c>
      <c r="F5" s="16">
        <f t="shared" ref="F5:F20" si="0">E5-C5</f>
        <v>0</v>
      </c>
      <c r="G5" s="14">
        <f>F5/C5</f>
        <v>0</v>
      </c>
    </row>
    <row r="6" spans="1:7" x14ac:dyDescent="0.25">
      <c r="A6" s="9" t="s">
        <v>27</v>
      </c>
      <c r="B6" s="8">
        <v>1405</v>
      </c>
      <c r="C6" s="16" t="s">
        <v>79</v>
      </c>
      <c r="D6" s="16" t="s">
        <v>79</v>
      </c>
      <c r="E6" s="16" t="s">
        <v>79</v>
      </c>
      <c r="F6" s="16"/>
      <c r="G6" s="14"/>
    </row>
    <row r="7" spans="1:7" x14ac:dyDescent="0.25">
      <c r="A7" s="9" t="s">
        <v>28</v>
      </c>
      <c r="B7" s="8">
        <v>1415</v>
      </c>
      <c r="C7" s="16">
        <v>84883</v>
      </c>
      <c r="D7" s="16">
        <v>84883</v>
      </c>
      <c r="E7" s="16">
        <v>84883</v>
      </c>
      <c r="F7" s="16">
        <f t="shared" si="0"/>
        <v>0</v>
      </c>
      <c r="G7" s="14">
        <f t="shared" ref="G7:G20" si="1">F7/C7</f>
        <v>0</v>
      </c>
    </row>
    <row r="8" spans="1:7" ht="30" x14ac:dyDescent="0.25">
      <c r="A8" s="9" t="s">
        <v>29</v>
      </c>
      <c r="B8" s="8">
        <v>1420</v>
      </c>
      <c r="C8" s="16">
        <v>2260859</v>
      </c>
      <c r="D8" s="16">
        <v>2916497</v>
      </c>
      <c r="E8" s="16">
        <v>4305497</v>
      </c>
      <c r="F8" s="16">
        <f t="shared" si="0"/>
        <v>2044638</v>
      </c>
      <c r="G8" s="14">
        <f t="shared" si="1"/>
        <v>0.90436334154407683</v>
      </c>
    </row>
    <row r="9" spans="1:7" x14ac:dyDescent="0.25">
      <c r="A9" s="9" t="s">
        <v>30</v>
      </c>
      <c r="B9" s="8">
        <v>1435</v>
      </c>
      <c r="C9" s="16" t="s">
        <v>79</v>
      </c>
      <c r="D9" s="16" t="s">
        <v>79</v>
      </c>
      <c r="E9" s="16" t="s">
        <v>79</v>
      </c>
      <c r="F9" s="16"/>
      <c r="G9" s="14"/>
    </row>
    <row r="10" spans="1:7" ht="30" x14ac:dyDescent="0.25">
      <c r="A10" s="9" t="s">
        <v>31</v>
      </c>
      <c r="B10" s="8" t="s">
        <v>25</v>
      </c>
      <c r="C10" s="16"/>
      <c r="D10" s="16"/>
      <c r="E10" s="16"/>
      <c r="F10" s="16"/>
      <c r="G10" s="14"/>
    </row>
    <row r="11" spans="1:7" ht="30" x14ac:dyDescent="0.25">
      <c r="A11" s="9" t="s">
        <v>32</v>
      </c>
      <c r="B11" s="8">
        <v>1500</v>
      </c>
      <c r="C11" s="16" t="s">
        <v>79</v>
      </c>
      <c r="D11" s="16">
        <v>2887</v>
      </c>
      <c r="E11" s="16" t="s">
        <v>79</v>
      </c>
      <c r="F11" s="16"/>
      <c r="G11" s="14"/>
    </row>
    <row r="12" spans="1:7" ht="30" x14ac:dyDescent="0.25">
      <c r="A12" s="9" t="s">
        <v>33</v>
      </c>
      <c r="B12" s="8">
        <v>1520</v>
      </c>
      <c r="C12" s="16" t="s">
        <v>79</v>
      </c>
      <c r="D12" s="16" t="s">
        <v>79</v>
      </c>
      <c r="E12" s="16" t="s">
        <v>79</v>
      </c>
      <c r="F12" s="16"/>
      <c r="G12" s="14"/>
    </row>
    <row r="13" spans="1:7" x14ac:dyDescent="0.25">
      <c r="A13" s="9" t="s">
        <v>34</v>
      </c>
      <c r="B13" s="8">
        <v>1530</v>
      </c>
      <c r="C13" s="16" t="s">
        <v>79</v>
      </c>
      <c r="D13" s="16" t="s">
        <v>79</v>
      </c>
      <c r="E13" s="16" t="s">
        <v>79</v>
      </c>
      <c r="F13" s="16"/>
      <c r="G13" s="14"/>
    </row>
    <row r="14" spans="1:7" ht="30" x14ac:dyDescent="0.25">
      <c r="A14" s="11" t="s">
        <v>35</v>
      </c>
      <c r="B14" s="8">
        <v>1600</v>
      </c>
      <c r="C14" s="16" t="s">
        <v>79</v>
      </c>
      <c r="D14" s="16" t="s">
        <v>79</v>
      </c>
      <c r="E14" s="16" t="s">
        <v>79</v>
      </c>
      <c r="F14" s="16"/>
      <c r="G14" s="14"/>
    </row>
    <row r="15" spans="1:7" ht="30" x14ac:dyDescent="0.25">
      <c r="A15" s="9" t="s">
        <v>36</v>
      </c>
      <c r="B15" s="8">
        <v>1615</v>
      </c>
      <c r="C15" s="16">
        <v>256092</v>
      </c>
      <c r="D15" s="16">
        <v>185599</v>
      </c>
      <c r="E15" s="16">
        <v>358429</v>
      </c>
      <c r="F15" s="16">
        <f t="shared" si="0"/>
        <v>102337</v>
      </c>
      <c r="G15" s="14">
        <f t="shared" si="1"/>
        <v>0.3996102962997673</v>
      </c>
    </row>
    <row r="16" spans="1:7" ht="45" x14ac:dyDescent="0.25">
      <c r="A16" s="9" t="s">
        <v>37</v>
      </c>
      <c r="B16" s="8">
        <v>1620</v>
      </c>
      <c r="C16" s="16">
        <v>84855</v>
      </c>
      <c r="D16" s="16">
        <v>90208</v>
      </c>
      <c r="E16" s="16">
        <v>136835</v>
      </c>
      <c r="F16" s="16">
        <f t="shared" si="0"/>
        <v>51980</v>
      </c>
      <c r="G16" s="14">
        <f t="shared" si="1"/>
        <v>0.61257439160921567</v>
      </c>
    </row>
    <row r="17" spans="1:7" ht="60" x14ac:dyDescent="0.25">
      <c r="A17" s="9" t="s">
        <v>38</v>
      </c>
      <c r="B17" s="8">
        <v>1630</v>
      </c>
      <c r="C17" s="16">
        <v>14277</v>
      </c>
      <c r="D17" s="16">
        <v>15369</v>
      </c>
      <c r="E17" s="16" t="s">
        <v>79</v>
      </c>
      <c r="F17" s="16"/>
      <c r="G17" s="14"/>
    </row>
    <row r="18" spans="1:7" ht="45" x14ac:dyDescent="0.25">
      <c r="A18" s="9" t="s">
        <v>39</v>
      </c>
      <c r="B18" s="8">
        <v>1635</v>
      </c>
      <c r="C18" s="16">
        <v>10</v>
      </c>
      <c r="D18" s="16">
        <v>1214</v>
      </c>
      <c r="E18" s="16">
        <v>1509</v>
      </c>
      <c r="F18" s="16">
        <f t="shared" si="0"/>
        <v>1499</v>
      </c>
      <c r="G18" s="14">
        <f t="shared" si="1"/>
        <v>149.9</v>
      </c>
    </row>
    <row r="19" spans="1:7" x14ac:dyDescent="0.25">
      <c r="A19" s="9" t="s">
        <v>40</v>
      </c>
      <c r="B19" s="8">
        <v>1690</v>
      </c>
      <c r="C19" s="16">
        <v>3468</v>
      </c>
      <c r="D19" s="16">
        <v>5037</v>
      </c>
      <c r="E19" s="16">
        <v>8511</v>
      </c>
      <c r="F19" s="16">
        <f t="shared" si="0"/>
        <v>5043</v>
      </c>
      <c r="G19" s="14">
        <f t="shared" si="1"/>
        <v>1.4541522491349481</v>
      </c>
    </row>
    <row r="20" spans="1:7" x14ac:dyDescent="0.25">
      <c r="A20" s="9" t="s">
        <v>22</v>
      </c>
      <c r="B20" s="8">
        <v>1900</v>
      </c>
      <c r="C20" s="16">
        <v>4882596</v>
      </c>
      <c r="D20" s="16">
        <v>5492958</v>
      </c>
      <c r="E20" s="16">
        <v>6669108</v>
      </c>
      <c r="F20" s="16">
        <f t="shared" si="0"/>
        <v>1786512</v>
      </c>
      <c r="G20" s="14">
        <f t="shared" si="1"/>
        <v>0.36589388104197029</v>
      </c>
    </row>
    <row r="21" spans="1:7" x14ac:dyDescent="0.25">
      <c r="B21" s="15"/>
      <c r="C21" s="15"/>
      <c r="D21" s="15"/>
      <c r="E21" s="15"/>
      <c r="F21" s="15"/>
      <c r="G21" s="15"/>
    </row>
  </sheetData>
  <mergeCells count="6">
    <mergeCell ref="A1:A2"/>
    <mergeCell ref="B1:B3"/>
    <mergeCell ref="F1:G2"/>
    <mergeCell ref="C1:C2"/>
    <mergeCell ref="D1:D2"/>
    <mergeCell ref="E1:E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259F-0759-49F5-BF66-FBB0212DC184}">
  <dimension ref="A1:F24"/>
  <sheetViews>
    <sheetView workbookViewId="0">
      <selection activeCell="G5" sqref="G5"/>
    </sheetView>
  </sheetViews>
  <sheetFormatPr defaultRowHeight="15" x14ac:dyDescent="0.25"/>
  <cols>
    <col min="1" max="1" width="31.7109375" customWidth="1"/>
  </cols>
  <sheetData>
    <row r="1" spans="1:6" x14ac:dyDescent="0.25">
      <c r="A1" t="s">
        <v>48</v>
      </c>
      <c r="B1" s="60">
        <v>2021</v>
      </c>
      <c r="C1" s="60">
        <v>2022</v>
      </c>
      <c r="D1" s="60">
        <v>2023</v>
      </c>
    </row>
    <row r="2" spans="1:6" ht="60" x14ac:dyDescent="0.25">
      <c r="A2" s="47" t="s">
        <v>251</v>
      </c>
      <c r="B2" s="49">
        <f>C11/(C12+C13)</f>
        <v>0.2719373890948511</v>
      </c>
      <c r="C2" s="49">
        <f>D11/(D12+D13)</f>
        <v>0.26633630321029556</v>
      </c>
      <c r="D2" s="49">
        <f>E11/(E12+E13)</f>
        <v>0.24802916453817717</v>
      </c>
    </row>
    <row r="3" spans="1:6" ht="45" x14ac:dyDescent="0.25">
      <c r="A3" s="47" t="s">
        <v>252</v>
      </c>
      <c r="B3" s="49">
        <f>(C14+C16+C17+C18)/(C12+C13)</f>
        <v>4.771217551902026E-2</v>
      </c>
      <c r="C3" s="49">
        <f>(D14+D16+D17+D18)/(D12+D13)</f>
        <v>0.15624192712016216</v>
      </c>
      <c r="D3" s="49">
        <f>(E14+E16+E17+E18)/(E12+E13)</f>
        <v>0.24028565929402004</v>
      </c>
    </row>
    <row r="4" spans="1:6" ht="30" x14ac:dyDescent="0.25">
      <c r="A4" s="47" t="s">
        <v>161</v>
      </c>
      <c r="B4" s="49">
        <f>C14/((B19+C19)/2)</f>
        <v>2.2012196376040311E-3</v>
      </c>
      <c r="C4" s="49">
        <f t="shared" ref="C4:D4" si="0">D14/((C19+D19)/2)</f>
        <v>0.10675362491487202</v>
      </c>
      <c r="D4" s="49">
        <f t="shared" si="0"/>
        <v>0.22905368216222474</v>
      </c>
    </row>
    <row r="5" spans="1:6" ht="30" x14ac:dyDescent="0.25">
      <c r="A5" s="47" t="s">
        <v>253</v>
      </c>
      <c r="B5" s="49">
        <f>C21/C12</f>
        <v>0.64491024092686222</v>
      </c>
      <c r="C5" s="49">
        <f t="shared" ref="C5:D5" si="1">D21/D12</f>
        <v>0.68363860137002797</v>
      </c>
      <c r="D5" s="49">
        <f t="shared" si="1"/>
        <v>0.6798968663149193</v>
      </c>
    </row>
    <row r="6" spans="1:6" ht="45" x14ac:dyDescent="0.25">
      <c r="A6" s="47" t="s">
        <v>254</v>
      </c>
      <c r="B6" s="49">
        <f>C22/C12</f>
        <v>2.3003250113151244E-3</v>
      </c>
      <c r="C6" s="49">
        <f t="shared" ref="C6:D6" si="2">D22/D12</f>
        <v>0.10554483235986029</v>
      </c>
      <c r="D6" s="49">
        <f t="shared" si="2"/>
        <v>0.19986248076718055</v>
      </c>
    </row>
    <row r="7" spans="1:6" ht="30" x14ac:dyDescent="0.25">
      <c r="A7" s="47" t="s">
        <v>255</v>
      </c>
      <c r="B7" s="49">
        <f>C23/C15</f>
        <v>1.8161893562073419</v>
      </c>
      <c r="C7" s="49">
        <f t="shared" ref="C7:D7" si="3">D23/D15</f>
        <v>2.1609418985077791</v>
      </c>
      <c r="D7" s="49">
        <f t="shared" si="3"/>
        <v>2.12399315960401</v>
      </c>
    </row>
    <row r="8" spans="1:6" ht="30" x14ac:dyDescent="0.25">
      <c r="A8" s="47" t="s">
        <v>256</v>
      </c>
      <c r="B8" s="49">
        <f>C22/((B24+C24)/2)</f>
        <v>3.9225435332910074E-3</v>
      </c>
      <c r="C8" s="49">
        <f t="shared" ref="C8:D8" si="4">D22/((C24+D24)/2)</f>
        <v>0.19022878056404258</v>
      </c>
      <c r="D8" s="49">
        <f t="shared" si="4"/>
        <v>0.3540966294694155</v>
      </c>
    </row>
    <row r="10" spans="1:6" x14ac:dyDescent="0.25">
      <c r="B10">
        <v>2020</v>
      </c>
      <c r="C10" s="60">
        <v>2021</v>
      </c>
      <c r="D10" s="60">
        <v>2022</v>
      </c>
      <c r="E10" s="60">
        <v>2023</v>
      </c>
    </row>
    <row r="11" spans="1:6" x14ac:dyDescent="0.25">
      <c r="A11" s="47" t="s">
        <v>257</v>
      </c>
      <c r="C11" s="112">
        <v>1202084</v>
      </c>
      <c r="D11" s="112">
        <v>1412448</v>
      </c>
      <c r="E11" s="112">
        <v>1743554</v>
      </c>
      <c r="F11">
        <v>2190</v>
      </c>
    </row>
    <row r="12" spans="1:6" x14ac:dyDescent="0.25">
      <c r="A12" s="47" t="s">
        <v>109</v>
      </c>
      <c r="C12" s="112">
        <v>4396770</v>
      </c>
      <c r="D12" s="112">
        <v>5247192</v>
      </c>
      <c r="E12" s="112">
        <v>6969207</v>
      </c>
      <c r="F12">
        <v>2000</v>
      </c>
    </row>
    <row r="13" spans="1:6" x14ac:dyDescent="0.25">
      <c r="A13" s="47" t="s">
        <v>258</v>
      </c>
      <c r="C13" s="112">
        <v>23674</v>
      </c>
      <c r="D13" s="112">
        <v>56058</v>
      </c>
      <c r="E13" s="112">
        <v>60426</v>
      </c>
      <c r="F13">
        <v>2120</v>
      </c>
    </row>
    <row r="14" spans="1:6" x14ac:dyDescent="0.25">
      <c r="A14" t="s">
        <v>191</v>
      </c>
      <c r="C14" s="60">
        <f>10114</f>
        <v>10114</v>
      </c>
      <c r="D14" s="115">
        <v>553814</v>
      </c>
      <c r="E14" s="115">
        <v>1392883</v>
      </c>
      <c r="F14">
        <v>2350</v>
      </c>
    </row>
    <row r="15" spans="1:6" x14ac:dyDescent="0.25">
      <c r="A15" s="47" t="s">
        <v>259</v>
      </c>
      <c r="C15" s="112">
        <f>'ефективн викорис А'!M15</f>
        <v>1561248</v>
      </c>
      <c r="D15">
        <f>'ефективн викорис А'!N15</f>
        <v>1660009</v>
      </c>
      <c r="E15">
        <f>'ефективн викорис А'!O15</f>
        <v>2230865</v>
      </c>
      <c r="F15">
        <v>2050</v>
      </c>
    </row>
    <row r="16" spans="1:6" x14ac:dyDescent="0.25">
      <c r="C16" s="112">
        <v>139388</v>
      </c>
      <c r="D16" s="112">
        <v>199010</v>
      </c>
      <c r="E16" s="112">
        <v>354035</v>
      </c>
      <c r="F16">
        <v>2515</v>
      </c>
    </row>
    <row r="17" spans="1:6" x14ac:dyDescent="0.25">
      <c r="C17" s="112">
        <v>-183711</v>
      </c>
      <c r="D17" s="112">
        <v>-227966</v>
      </c>
      <c r="E17" s="112">
        <v>-273879</v>
      </c>
      <c r="F17">
        <v>2300</v>
      </c>
    </row>
    <row r="18" spans="1:6" x14ac:dyDescent="0.25">
      <c r="C18" s="112">
        <v>245118</v>
      </c>
      <c r="D18" s="112">
        <v>303732</v>
      </c>
      <c r="E18" s="112">
        <v>216081</v>
      </c>
      <c r="F18">
        <v>2250</v>
      </c>
    </row>
    <row r="19" spans="1:6" x14ac:dyDescent="0.25">
      <c r="A19" t="s">
        <v>72</v>
      </c>
      <c r="B19" s="112">
        <v>4306855</v>
      </c>
      <c r="C19">
        <f>'горизонт П'!C20</f>
        <v>4882596</v>
      </c>
      <c r="D19">
        <f>'горизонт П'!D20</f>
        <v>5492958</v>
      </c>
      <c r="E19">
        <f>'горизонт П'!E20</f>
        <v>6669108</v>
      </c>
    </row>
    <row r="21" spans="1:6" x14ac:dyDescent="0.25">
      <c r="C21" s="112">
        <v>2835522</v>
      </c>
      <c r="D21" s="112">
        <v>3587183</v>
      </c>
      <c r="E21" s="112">
        <v>4738342</v>
      </c>
      <c r="F21">
        <v>2090</v>
      </c>
    </row>
    <row r="22" spans="1:6" x14ac:dyDescent="0.25">
      <c r="C22" s="112">
        <v>10114</v>
      </c>
      <c r="D22" s="112">
        <v>553814</v>
      </c>
      <c r="E22" s="112">
        <v>1392883</v>
      </c>
      <c r="F22">
        <v>2350</v>
      </c>
    </row>
    <row r="23" spans="1:6" x14ac:dyDescent="0.25">
      <c r="C23" s="112">
        <v>2835522</v>
      </c>
      <c r="D23" s="112">
        <v>3587183</v>
      </c>
      <c r="E23" s="112">
        <v>4738342</v>
      </c>
      <c r="F23">
        <v>2090</v>
      </c>
    </row>
    <row r="24" spans="1:6" x14ac:dyDescent="0.25">
      <c r="A24" t="s">
        <v>108</v>
      </c>
      <c r="B24" s="112">
        <v>2573372</v>
      </c>
      <c r="C24" s="112">
        <v>2583486</v>
      </c>
      <c r="D24" s="112">
        <v>3239124</v>
      </c>
      <c r="E24" s="112">
        <v>4628124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D099-A70B-4986-ACD5-29B3369B5E7B}">
  <dimension ref="A1:E17"/>
  <sheetViews>
    <sheetView workbookViewId="0">
      <selection activeCell="B18" sqref="B18"/>
    </sheetView>
  </sheetViews>
  <sheetFormatPr defaultRowHeight="15" x14ac:dyDescent="0.25"/>
  <cols>
    <col min="1" max="1" width="46.42578125" bestFit="1" customWidth="1"/>
    <col min="2" max="2" width="12.140625" bestFit="1" customWidth="1"/>
    <col min="3" max="3" width="10.28515625" bestFit="1" customWidth="1"/>
    <col min="4" max="4" width="13.7109375" bestFit="1" customWidth="1"/>
  </cols>
  <sheetData>
    <row r="1" spans="1:5" x14ac:dyDescent="0.25">
      <c r="A1" t="s">
        <v>48</v>
      </c>
      <c r="B1" t="s">
        <v>94</v>
      </c>
      <c r="C1" t="s">
        <v>95</v>
      </c>
      <c r="D1" s="137" t="s">
        <v>103</v>
      </c>
      <c r="E1" s="137"/>
    </row>
    <row r="2" spans="1:5" x14ac:dyDescent="0.25">
      <c r="A2" t="s">
        <v>260</v>
      </c>
      <c r="B2">
        <f>(3368288+3434879)/2</f>
        <v>3401583.5</v>
      </c>
      <c r="C2">
        <f>(4062231+3432010)/2</f>
        <v>3747120.5</v>
      </c>
      <c r="D2" s="110">
        <f>C2-B2</f>
        <v>345537</v>
      </c>
      <c r="E2" s="39">
        <f>D2/B2</f>
        <v>0.1015812194526461</v>
      </c>
    </row>
    <row r="3" spans="1:5" x14ac:dyDescent="0.25">
      <c r="A3" t="s">
        <v>261</v>
      </c>
      <c r="B3" s="112">
        <v>5490089</v>
      </c>
      <c r="C3" s="112">
        <v>6669108</v>
      </c>
      <c r="D3" s="110">
        <f t="shared" ref="D3:D7" si="0">C3-B3</f>
        <v>1179019</v>
      </c>
      <c r="E3" s="39">
        <f>D3/B3</f>
        <v>0.21475407775720939</v>
      </c>
    </row>
    <row r="4" spans="1:5" x14ac:dyDescent="0.25">
      <c r="A4" t="s">
        <v>262</v>
      </c>
      <c r="B4" s="112">
        <v>5247192</v>
      </c>
      <c r="C4" s="112">
        <v>6969207</v>
      </c>
      <c r="D4" s="110">
        <f t="shared" si="0"/>
        <v>1722015</v>
      </c>
      <c r="E4" s="39">
        <f t="shared" ref="E4:E7" si="1">D4/B4</f>
        <v>0.32817838569657826</v>
      </c>
    </row>
    <row r="5" spans="1:5" x14ac:dyDescent="0.25">
      <c r="A5" t="s">
        <v>263</v>
      </c>
      <c r="B5" s="44">
        <f>B4/B3</f>
        <v>0.95575718353564032</v>
      </c>
      <c r="C5" s="44">
        <f>C4/C3</f>
        <v>1.0449983715963214</v>
      </c>
      <c r="D5" s="49">
        <f t="shared" si="0"/>
        <v>8.9241188060681043E-2</v>
      </c>
      <c r="E5" s="39">
        <f>D5/B5</f>
        <v>9.3372238888700151E-2</v>
      </c>
    </row>
    <row r="6" spans="1:5" x14ac:dyDescent="0.25">
      <c r="A6" t="s">
        <v>264</v>
      </c>
      <c r="B6" s="44">
        <f>B2/B3</f>
        <v>0.61958622164413002</v>
      </c>
      <c r="C6" s="44">
        <f>C2/C3</f>
        <v>0.56186232101804323</v>
      </c>
      <c r="D6" s="49">
        <f t="shared" si="0"/>
        <v>-5.7723900626086788E-2</v>
      </c>
      <c r="E6" s="39">
        <f>D6/B6</f>
        <v>-9.3165242559640885E-2</v>
      </c>
    </row>
    <row r="7" spans="1:5" x14ac:dyDescent="0.25">
      <c r="A7" t="s">
        <v>150</v>
      </c>
      <c r="B7" s="44">
        <f>B4/B2</f>
        <v>1.5425733338605387</v>
      </c>
      <c r="C7" s="44">
        <f>C4/C2</f>
        <v>1.8598833424225349</v>
      </c>
      <c r="D7" s="49">
        <f t="shared" si="0"/>
        <v>0.3173100085619962</v>
      </c>
      <c r="E7" s="39">
        <f t="shared" si="1"/>
        <v>0.20570173332886332</v>
      </c>
    </row>
    <row r="9" spans="1:5" x14ac:dyDescent="0.25">
      <c r="A9" t="s">
        <v>265</v>
      </c>
    </row>
    <row r="10" spans="1:5" x14ac:dyDescent="0.25">
      <c r="A10" t="s">
        <v>267</v>
      </c>
      <c r="B10" s="49">
        <f>(C6-B6)*B7</f>
        <v>-8.9043349832217136E-2</v>
      </c>
    </row>
    <row r="11" spans="1:5" x14ac:dyDescent="0.25">
      <c r="A11" t="s">
        <v>266</v>
      </c>
      <c r="B11" s="49">
        <f>C6*(C7-B7)</f>
        <v>0.17828453789289836</v>
      </c>
    </row>
    <row r="12" spans="1:5" x14ac:dyDescent="0.25">
      <c r="B12" s="49">
        <f>B10+B11</f>
        <v>8.9241188060681223E-2</v>
      </c>
    </row>
    <row r="14" spans="1:5" x14ac:dyDescent="0.25">
      <c r="A14" t="s">
        <v>268</v>
      </c>
    </row>
    <row r="15" spans="1:5" x14ac:dyDescent="0.25">
      <c r="A15" t="s">
        <v>267</v>
      </c>
      <c r="B15" s="49">
        <f>B5*E6</f>
        <v>-8.9043349832217136E-2</v>
      </c>
    </row>
    <row r="16" spans="1:5" x14ac:dyDescent="0.25">
      <c r="A16" t="s">
        <v>266</v>
      </c>
      <c r="B16" s="49">
        <f>(B5+B15)*E7</f>
        <v>0.17828453789289833</v>
      </c>
    </row>
    <row r="17" spans="2:2" x14ac:dyDescent="0.25">
      <c r="B17" s="49">
        <f>B15+B16</f>
        <v>8.9241188060681195E-2</v>
      </c>
    </row>
  </sheetData>
  <mergeCells count="1">
    <mergeCell ref="D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909E-29BD-4197-9557-75A8E282460A}">
  <dimension ref="A1:E5"/>
  <sheetViews>
    <sheetView workbookViewId="0">
      <selection activeCell="C3" sqref="C3"/>
    </sheetView>
  </sheetViews>
  <sheetFormatPr defaultRowHeight="15" x14ac:dyDescent="0.25"/>
  <cols>
    <col min="1" max="1" width="26.42578125" bestFit="1" customWidth="1"/>
    <col min="2" max="5" width="10.140625" bestFit="1" customWidth="1"/>
  </cols>
  <sheetData>
    <row r="1" spans="1:5" x14ac:dyDescent="0.25">
      <c r="A1" t="s">
        <v>269</v>
      </c>
      <c r="B1" s="111"/>
      <c r="C1" s="111">
        <v>44561</v>
      </c>
      <c r="D1" s="111">
        <v>44926</v>
      </c>
      <c r="E1" s="111">
        <v>45291</v>
      </c>
    </row>
    <row r="2" spans="1:5" x14ac:dyDescent="0.25">
      <c r="A2" t="s">
        <v>270</v>
      </c>
      <c r="C2">
        <f>'ефективн ОА'!C6</f>
        <v>2792564</v>
      </c>
      <c r="D2">
        <f>'ефективн ОА'!D6</f>
        <v>2639911</v>
      </c>
      <c r="E2">
        <f>'ефективн ОА'!E6</f>
        <v>3210384</v>
      </c>
    </row>
    <row r="3" spans="1:5" x14ac:dyDescent="0.25">
      <c r="A3" t="s">
        <v>13</v>
      </c>
      <c r="C3">
        <f>'аналіз запасів'!G7</f>
        <v>676194</v>
      </c>
      <c r="D3">
        <f>'аналіз запасів'!H7</f>
        <v>1036078</v>
      </c>
      <c r="E3">
        <f>'аналіз запасів'!I7</f>
        <v>974022</v>
      </c>
    </row>
    <row r="4" spans="1:5" x14ac:dyDescent="0.25">
      <c r="A4" t="s">
        <v>271</v>
      </c>
      <c r="C4">
        <f>C2+60970+171841+10</f>
        <v>3025385</v>
      </c>
      <c r="D4">
        <f>D2+147915+220</f>
        <v>2788046</v>
      </c>
      <c r="E4">
        <f>E2+184052+3</f>
        <v>3394439</v>
      </c>
    </row>
    <row r="5" spans="1:5" x14ac:dyDescent="0.25">
      <c r="A5" t="s">
        <v>272</v>
      </c>
      <c r="C5" t="s">
        <v>273</v>
      </c>
      <c r="D5" t="s">
        <v>273</v>
      </c>
      <c r="E5" t="s">
        <v>273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911D6-11D4-4F94-867F-952B4C53C090}">
  <dimension ref="A1:J20"/>
  <sheetViews>
    <sheetView topLeftCell="A13" workbookViewId="0">
      <selection activeCell="C12" sqref="C12"/>
    </sheetView>
  </sheetViews>
  <sheetFormatPr defaultRowHeight="15" x14ac:dyDescent="0.25"/>
  <cols>
    <col min="1" max="1" width="26.7109375" customWidth="1"/>
    <col min="2" max="2" width="24.28515625" customWidth="1"/>
    <col min="3" max="3" width="11.5703125" bestFit="1" customWidth="1"/>
    <col min="5" max="5" width="11.5703125" bestFit="1" customWidth="1"/>
    <col min="6" max="6" width="20.42578125" customWidth="1"/>
    <col min="9" max="9" width="11.7109375" bestFit="1" customWidth="1"/>
  </cols>
  <sheetData>
    <row r="1" spans="1:10" x14ac:dyDescent="0.25">
      <c r="A1" s="8" t="s">
        <v>0</v>
      </c>
      <c r="B1" s="117" t="s">
        <v>1</v>
      </c>
      <c r="C1" s="117" t="s">
        <v>41</v>
      </c>
      <c r="D1" s="117"/>
      <c r="E1" s="117"/>
      <c r="F1" s="8" t="s">
        <v>42</v>
      </c>
    </row>
    <row r="2" spans="1:10" ht="30" x14ac:dyDescent="0.25">
      <c r="A2" s="8" t="s">
        <v>2</v>
      </c>
      <c r="B2" s="117"/>
      <c r="C2" s="8">
        <v>2021</v>
      </c>
      <c r="D2" s="8">
        <v>2022</v>
      </c>
      <c r="E2" s="8">
        <v>2023</v>
      </c>
      <c r="F2" s="8" t="s">
        <v>275</v>
      </c>
    </row>
    <row r="3" spans="1:10" ht="30" x14ac:dyDescent="0.25">
      <c r="A3" s="11" t="s">
        <v>43</v>
      </c>
      <c r="B3" s="8">
        <v>1095</v>
      </c>
      <c r="C3" s="19">
        <f>'горизонт А'!C5/'горизонт А'!$C$20</f>
        <v>0.31014402993817225</v>
      </c>
      <c r="D3" s="19">
        <f>'горизонт А'!D5/'горизонт А'!$D$20</f>
        <v>0.37467590322008654</v>
      </c>
      <c r="E3" s="19">
        <f>'горизонт А'!E5/'горизонт А'!$E$20</f>
        <v>0.39088840666547908</v>
      </c>
      <c r="F3" s="13">
        <f>E3-C3</f>
        <v>8.0744376727306832E-2</v>
      </c>
      <c r="H3" s="24"/>
      <c r="I3" s="24"/>
      <c r="J3" s="24"/>
    </row>
    <row r="4" spans="1:10" x14ac:dyDescent="0.25">
      <c r="A4" s="9" t="s">
        <v>6</v>
      </c>
      <c r="B4" s="8">
        <v>1000</v>
      </c>
      <c r="C4" s="20">
        <f>'горизонт А'!C6/'горизонт А'!$C$20</f>
        <v>3.8031612691281441E-2</v>
      </c>
      <c r="D4" s="20">
        <f>'горизонт А'!D6/'горизонт А'!$D$20</f>
        <v>8.3634355114311817E-2</v>
      </c>
      <c r="E4" s="20">
        <f>'горизонт А'!E6/'горизонт А'!$E$20</f>
        <v>3.9686716724335547E-2</v>
      </c>
      <c r="F4" s="21">
        <f t="shared" ref="F4:F19" si="0">E4-C4</f>
        <v>1.6551040330541056E-3</v>
      </c>
    </row>
    <row r="5" spans="1:10" x14ac:dyDescent="0.25">
      <c r="A5" s="9" t="s">
        <v>7</v>
      </c>
      <c r="B5" s="8">
        <v>1010</v>
      </c>
      <c r="C5" s="19">
        <f>'горизонт А'!C7/'горизонт А'!$C$20</f>
        <v>0.17377825238868833</v>
      </c>
      <c r="D5" s="19">
        <f>'горизонт А'!D7/'горизонт А'!$D$20</f>
        <v>0.17008467932942506</v>
      </c>
      <c r="E5" s="19">
        <f>'горизонт А'!E7/'горизонт А'!$E$20</f>
        <v>0.14219712741194174</v>
      </c>
      <c r="F5" s="13">
        <f t="shared" si="0"/>
        <v>-3.1581124976746588E-2</v>
      </c>
      <c r="H5" s="22"/>
      <c r="I5" s="23"/>
    </row>
    <row r="6" spans="1:10" x14ac:dyDescent="0.25">
      <c r="A6" s="9" t="s">
        <v>8</v>
      </c>
      <c r="B6" s="8">
        <v>1015</v>
      </c>
      <c r="C6" s="19"/>
      <c r="D6" s="19"/>
      <c r="E6" s="19"/>
      <c r="F6" s="13"/>
    </row>
    <row r="7" spans="1:10" ht="30" x14ac:dyDescent="0.25">
      <c r="A7" s="9" t="s">
        <v>9</v>
      </c>
      <c r="B7" s="8" t="s">
        <v>10</v>
      </c>
      <c r="C7" s="19">
        <f>'горизонт А'!C9/'горизонт А'!$C$20</f>
        <v>9.6067542757991856E-2</v>
      </c>
      <c r="D7" s="19">
        <f>'горизонт А'!D9/'горизонт А'!$D$20</f>
        <v>0.1197125483209593</v>
      </c>
      <c r="E7" s="19">
        <f>'горизонт А'!E9/'горизонт А'!$E$20</f>
        <v>0.20288590318225466</v>
      </c>
      <c r="F7" s="13">
        <f t="shared" si="0"/>
        <v>0.10681836042426281</v>
      </c>
    </row>
    <row r="8" spans="1:10" ht="30" x14ac:dyDescent="0.25">
      <c r="A8" s="9" t="s">
        <v>11</v>
      </c>
      <c r="B8" s="8">
        <v>1040</v>
      </c>
      <c r="C8" s="19"/>
      <c r="D8" s="19"/>
      <c r="E8" s="19"/>
      <c r="F8" s="13"/>
    </row>
    <row r="9" spans="1:10" ht="45" x14ac:dyDescent="0.25">
      <c r="A9" s="9" t="s">
        <v>44</v>
      </c>
      <c r="B9" s="8">
        <v>1065</v>
      </c>
      <c r="C9" s="19">
        <f>'горизонт А'!C11/'горизонт А'!$C$20</f>
        <v>0.68985597006182775</v>
      </c>
      <c r="D9" s="19">
        <f>'горизонт А'!D11/'горизонт А'!$D$20</f>
        <v>0.37467590322008654</v>
      </c>
      <c r="E9" s="19">
        <f>'горизонт А'!E11/'горизонт А'!$E$20</f>
        <v>0.60911159333452092</v>
      </c>
      <c r="F9" s="13">
        <f t="shared" si="0"/>
        <v>-8.0744376727306832E-2</v>
      </c>
    </row>
    <row r="10" spans="1:10" ht="30" x14ac:dyDescent="0.25">
      <c r="A10" s="9" t="s">
        <v>45</v>
      </c>
      <c r="B10" s="8">
        <v>1195</v>
      </c>
      <c r="C10" s="19">
        <f>'горизонт А'!C11/'горизонт А'!$C$20</f>
        <v>0.68985597006182775</v>
      </c>
      <c r="D10" s="19">
        <f>'горизонт А'!D11/'горизонт А'!$D$20</f>
        <v>0.37467590322008654</v>
      </c>
      <c r="E10" s="19">
        <f>'горизонт А'!E11/'горизонт А'!$E$20</f>
        <v>0.60911159333452092</v>
      </c>
      <c r="F10" s="13">
        <f t="shared" si="0"/>
        <v>-8.0744376727306832E-2</v>
      </c>
      <c r="I10" s="24"/>
    </row>
    <row r="11" spans="1:10" x14ac:dyDescent="0.25">
      <c r="A11" s="9" t="s">
        <v>13</v>
      </c>
      <c r="B11" s="8">
        <v>1100</v>
      </c>
      <c r="C11" s="19">
        <f>'горизонт А'!C12/'горизонт А'!$C$20</f>
        <v>0.13849067176559354</v>
      </c>
      <c r="D11" s="19">
        <f>'горизонт А'!D12/'горизонт А'!$D$20</f>
        <v>0.18861931949962116</v>
      </c>
      <c r="E11" s="19">
        <f>'горизонт А'!E12/'горизонт А'!$E$20</f>
        <v>0.14604981655717675</v>
      </c>
      <c r="F11" s="13">
        <f t="shared" si="0"/>
        <v>7.5591447915832055E-3</v>
      </c>
    </row>
    <row r="12" spans="1:10" ht="60" x14ac:dyDescent="0.25">
      <c r="A12" s="9" t="s">
        <v>14</v>
      </c>
      <c r="B12" s="8">
        <v>1125</v>
      </c>
      <c r="C12" s="19">
        <f>'горизонт А'!C13/'горизонт А'!$C$20</f>
        <v>0.35653103390081836</v>
      </c>
      <c r="D12" s="19">
        <f>'горизонт А'!D13/'горизонт А'!$D$20</f>
        <v>0.31658934949074796</v>
      </c>
      <c r="E12" s="19">
        <f>'горизонт А'!E13/'горизонт А'!$E$20</f>
        <v>0.37377997177433625</v>
      </c>
      <c r="F12" s="13">
        <f t="shared" si="0"/>
        <v>1.7248937873517889E-2</v>
      </c>
    </row>
    <row r="13" spans="1:10" ht="45" x14ac:dyDescent="0.25">
      <c r="A13" s="9" t="s">
        <v>15</v>
      </c>
      <c r="B13" s="11" t="s">
        <v>16</v>
      </c>
      <c r="C13" s="19">
        <f>'горизонт А'!C14/'горизонт А'!$C$20</f>
        <v>3.2200493344114484E-2</v>
      </c>
      <c r="D13" s="19">
        <f>'горизонт А'!D14/'горизонт А'!$D$20</f>
        <v>2.510104755943883E-2</v>
      </c>
      <c r="E13" s="19">
        <f>'горизонт А'!E14/'горизонт А'!$E$20</f>
        <v>2.8716134151673657E-2</v>
      </c>
      <c r="F13" s="13">
        <f t="shared" si="0"/>
        <v>-3.4843591924408265E-3</v>
      </c>
    </row>
    <row r="14" spans="1:10" ht="60" x14ac:dyDescent="0.25">
      <c r="A14" s="9" t="s">
        <v>17</v>
      </c>
      <c r="B14" s="8">
        <v>1140</v>
      </c>
      <c r="C14" s="19">
        <f>'горизонт А'!C15/'горизонт А'!$C$20</f>
        <v>4.7101992464664288E-3</v>
      </c>
      <c r="D14" s="19">
        <f>'горизонт А'!D15/'горизонт А'!$D$20</f>
        <v>2.0692129814209394E-2</v>
      </c>
      <c r="E14" s="19">
        <f>'горизонт А'!E15/'горизонт А'!$E$20</f>
        <v>4.0147797876417656E-3</v>
      </c>
      <c r="F14" s="13">
        <f t="shared" si="0"/>
        <v>-6.9541945882466323E-4</v>
      </c>
    </row>
    <row r="15" spans="1:10" ht="30" x14ac:dyDescent="0.25">
      <c r="A15" s="9" t="s">
        <v>18</v>
      </c>
      <c r="B15" s="8">
        <v>1155</v>
      </c>
      <c r="C15" s="19">
        <f>'горизонт А'!C16/'горизонт А'!$C$20</f>
        <v>0.11242134307241476</v>
      </c>
      <c r="D15" s="19">
        <f>'горизонт А'!D16/'горизонт А'!$D$20</f>
        <v>5.2901915507091078E-2</v>
      </c>
      <c r="E15" s="19">
        <f>'горизонт А'!E16/'горизонт А'!$E$20</f>
        <v>2.6149673989385086E-2</v>
      </c>
      <c r="F15" s="13">
        <f t="shared" si="0"/>
        <v>-8.6271669083029676E-2</v>
      </c>
    </row>
    <row r="16" spans="1:10" x14ac:dyDescent="0.25">
      <c r="A16" s="9" t="s">
        <v>19</v>
      </c>
      <c r="B16" s="8">
        <v>1165</v>
      </c>
      <c r="C16" s="19">
        <f>'горизонт А'!C17/'горизонт А'!$C$20</f>
        <v>4.4499073853335396E-2</v>
      </c>
      <c r="D16" s="19">
        <f>'горизонт А'!D17/'горизонт А'!$D$20</f>
        <v>2.0153075992934952E-2</v>
      </c>
      <c r="E16" s="19">
        <f>'горизонт А'!E17/'горизонт А'!$E$20</f>
        <v>2.8915411176427191E-2</v>
      </c>
      <c r="F16" s="13">
        <f t="shared" si="0"/>
        <v>-1.5583662676908205E-2</v>
      </c>
    </row>
    <row r="17" spans="1:6" ht="30" x14ac:dyDescent="0.25">
      <c r="A17" s="9" t="s">
        <v>46</v>
      </c>
      <c r="B17" s="8">
        <v>1180</v>
      </c>
      <c r="C17" s="19">
        <f>'горизонт А'!C18/'горизонт А'!$C$20</f>
        <v>1.0031548790848147E-3</v>
      </c>
      <c r="D17" s="19">
        <f>'горизонт А'!D18/'горизонт А'!$D$20</f>
        <v>1.2672589158701014E-3</v>
      </c>
      <c r="E17" s="19">
        <f>'горизонт А'!E18/'горизонт А'!$E$20</f>
        <v>1.4858058978801962E-3</v>
      </c>
      <c r="F17" s="13">
        <f t="shared" si="0"/>
        <v>4.8265101879538144E-4</v>
      </c>
    </row>
    <row r="18" spans="1:6" x14ac:dyDescent="0.25">
      <c r="A18" s="9" t="s">
        <v>20</v>
      </c>
      <c r="B18" s="8">
        <v>1190</v>
      </c>
      <c r="C18" s="19"/>
      <c r="D18" s="19"/>
      <c r="E18" s="19"/>
      <c r="F18" s="13"/>
    </row>
    <row r="19" spans="1:6" ht="45" x14ac:dyDescent="0.25">
      <c r="A19" s="9" t="s">
        <v>47</v>
      </c>
      <c r="B19" s="8">
        <v>1200</v>
      </c>
      <c r="C19" s="19">
        <f>'горизонт А'!C20/'горизонт А'!$C$20</f>
        <v>1</v>
      </c>
      <c r="D19" s="19">
        <f>'горизонт А'!D20/'горизонт А'!$D$20</f>
        <v>1</v>
      </c>
      <c r="E19" s="19">
        <f>'горизонт А'!E20/'горизонт А'!$E$20</f>
        <v>1</v>
      </c>
      <c r="F19" s="13">
        <f t="shared" si="0"/>
        <v>0</v>
      </c>
    </row>
    <row r="20" spans="1:6" x14ac:dyDescent="0.25">
      <c r="A20" s="9" t="s">
        <v>22</v>
      </c>
      <c r="B20" s="8">
        <v>1300</v>
      </c>
      <c r="C20" s="18">
        <f>'горизонт А'!C20/'горизонт А'!$C$20</f>
        <v>1</v>
      </c>
      <c r="D20" s="17">
        <f>'горизонт А'!D20/'горизонт А'!D20</f>
        <v>1</v>
      </c>
      <c r="E20" s="17">
        <f>'горизонт А'!E20/'горизонт А'!E20</f>
        <v>1</v>
      </c>
      <c r="F20" s="13"/>
    </row>
  </sheetData>
  <mergeCells count="2">
    <mergeCell ref="B1:B2"/>
    <mergeCell ref="C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052A-2312-461D-A568-7EC409791580}">
  <dimension ref="A1:F21"/>
  <sheetViews>
    <sheetView tabSelected="1" topLeftCell="A10" workbookViewId="0">
      <selection activeCell="C18" sqref="C18"/>
    </sheetView>
  </sheetViews>
  <sheetFormatPr defaultRowHeight="15" x14ac:dyDescent="0.25"/>
  <cols>
    <col min="1" max="1" width="37" bestFit="1" customWidth="1"/>
    <col min="2" max="2" width="6.28515625" bestFit="1" customWidth="1"/>
    <col min="3" max="3" width="11.7109375" bestFit="1" customWidth="1"/>
    <col min="4" max="5" width="11.5703125" bestFit="1" customWidth="1"/>
    <col min="6" max="6" width="11.7109375" bestFit="1" customWidth="1"/>
  </cols>
  <sheetData>
    <row r="1" spans="1:6" ht="30" x14ac:dyDescent="0.25">
      <c r="A1" s="8" t="s">
        <v>0</v>
      </c>
      <c r="B1" s="117" t="s">
        <v>1</v>
      </c>
      <c r="C1" s="117" t="s">
        <v>41</v>
      </c>
      <c r="D1" s="117"/>
      <c r="E1" s="117"/>
      <c r="F1" s="8" t="s">
        <v>42</v>
      </c>
    </row>
    <row r="2" spans="1:6" ht="45" x14ac:dyDescent="0.25">
      <c r="A2" s="8" t="s">
        <v>23</v>
      </c>
      <c r="B2" s="117"/>
      <c r="C2" s="8">
        <v>2021</v>
      </c>
      <c r="D2" s="8">
        <v>2022</v>
      </c>
      <c r="E2" s="8">
        <v>2023</v>
      </c>
      <c r="F2" s="8" t="s">
        <v>275</v>
      </c>
    </row>
    <row r="3" spans="1:6" x14ac:dyDescent="0.25">
      <c r="A3" s="9" t="s">
        <v>24</v>
      </c>
      <c r="B3" s="8" t="s">
        <v>25</v>
      </c>
      <c r="C3" s="10"/>
      <c r="D3" s="10"/>
      <c r="E3" s="10"/>
      <c r="F3" s="10"/>
    </row>
    <row r="4" spans="1:6" x14ac:dyDescent="0.25">
      <c r="A4" s="9" t="s">
        <v>26</v>
      </c>
      <c r="B4" s="8">
        <v>1400</v>
      </c>
      <c r="C4" s="19">
        <f>'горизонт П'!C5/'горизонт П'!$C$20</f>
        <v>3.676896470647991E-2</v>
      </c>
      <c r="D4" s="19">
        <f>'горизонт П'!D5/'горизонт П'!$D$20</f>
        <v>3.2683301055642516E-2</v>
      </c>
      <c r="E4" s="19">
        <f>'горизонт П'!E5/'горизонт П'!$E$20</f>
        <v>2.6919342136909465E-2</v>
      </c>
      <c r="F4" s="19">
        <f>E4-C4</f>
        <v>-9.8496225695704452E-3</v>
      </c>
    </row>
    <row r="5" spans="1:6" x14ac:dyDescent="0.25">
      <c r="A5" s="9" t="s">
        <v>27</v>
      </c>
      <c r="B5" s="8">
        <v>1405</v>
      </c>
      <c r="C5" s="19"/>
      <c r="D5" s="19"/>
      <c r="E5" s="19"/>
      <c r="F5" s="19"/>
    </row>
    <row r="6" spans="1:6" x14ac:dyDescent="0.25">
      <c r="A6" s="9" t="s">
        <v>28</v>
      </c>
      <c r="B6" s="8">
        <v>1415</v>
      </c>
      <c r="C6" s="19">
        <f>'горизонт П'!C7/'горизонт П'!$C$20</f>
        <v>1.7384809228533346E-2</v>
      </c>
      <c r="D6" s="19">
        <f>'горизонт П'!D7/'горизонт П'!$D$20</f>
        <v>1.5453058261140901E-2</v>
      </c>
      <c r="E6" s="19">
        <f>'горизонт П'!E7/'горизонт П'!$E$20</f>
        <v>1.2727789083637572E-2</v>
      </c>
      <c r="F6" s="19">
        <f t="shared" ref="F6:F21" si="0">E6-C6</f>
        <v>-4.6570201448957738E-3</v>
      </c>
    </row>
    <row r="7" spans="1:6" ht="30" x14ac:dyDescent="0.25">
      <c r="A7" s="9" t="s">
        <v>73</v>
      </c>
      <c r="B7" s="8">
        <v>1420</v>
      </c>
      <c r="C7" s="19">
        <f>'горизонт П'!C8/'горизонт П'!$C$20</f>
        <v>0.46304445422066459</v>
      </c>
      <c r="D7" s="19">
        <f>'горизонт П'!D8/'горизонт П'!$D$20</f>
        <v>0.53095199344324129</v>
      </c>
      <c r="E7" s="19">
        <f>'горизонт П'!E8/'горизонт П'!$E$20</f>
        <v>0.64558813562473427</v>
      </c>
      <c r="F7" s="19">
        <f t="shared" si="0"/>
        <v>0.18254368140406968</v>
      </c>
    </row>
    <row r="8" spans="1:6" x14ac:dyDescent="0.25">
      <c r="A8" s="9" t="s">
        <v>30</v>
      </c>
      <c r="B8" s="8">
        <v>1435</v>
      </c>
      <c r="C8" s="19"/>
      <c r="D8" s="19"/>
      <c r="E8" s="19"/>
      <c r="F8" s="19"/>
    </row>
    <row r="9" spans="1:6" ht="30" x14ac:dyDescent="0.25">
      <c r="A9" s="9" t="s">
        <v>74</v>
      </c>
      <c r="B9" s="8" t="s">
        <v>25</v>
      </c>
      <c r="C9" s="19">
        <f>'горизонт П'!C10/'горизонт П'!$C$20</f>
        <v>0</v>
      </c>
      <c r="D9" s="19">
        <f>'горизонт П'!D10/'горизонт П'!$D$20</f>
        <v>0</v>
      </c>
      <c r="E9" s="19">
        <f>'горизонт П'!E10/'горизонт П'!$E$20</f>
        <v>0</v>
      </c>
      <c r="F9" s="19">
        <f t="shared" si="0"/>
        <v>0</v>
      </c>
    </row>
    <row r="10" spans="1:6" x14ac:dyDescent="0.25">
      <c r="A10" s="9" t="s">
        <v>32</v>
      </c>
      <c r="B10" s="8">
        <v>1500</v>
      </c>
      <c r="C10" s="19"/>
      <c r="D10" s="19">
        <f>'горизонт П'!D11/'горизонт П'!$D$20</f>
        <v>5.2558202702441929E-4</v>
      </c>
      <c r="E10" s="19"/>
      <c r="F10" s="19"/>
    </row>
    <row r="11" spans="1:6" x14ac:dyDescent="0.25">
      <c r="A11" s="9" t="s">
        <v>33</v>
      </c>
      <c r="B11" s="8">
        <v>1520</v>
      </c>
      <c r="C11" s="19"/>
      <c r="D11" s="19"/>
      <c r="E11" s="19"/>
      <c r="F11" s="19">
        <f t="shared" si="0"/>
        <v>0</v>
      </c>
    </row>
    <row r="12" spans="1:6" x14ac:dyDescent="0.25">
      <c r="A12" s="9" t="s">
        <v>34</v>
      </c>
      <c r="B12" s="8">
        <v>1530</v>
      </c>
      <c r="C12" s="19"/>
      <c r="D12" s="19"/>
      <c r="E12" s="19"/>
      <c r="F12" s="19"/>
    </row>
    <row r="13" spans="1:6" x14ac:dyDescent="0.25">
      <c r="A13" s="9" t="s">
        <v>35</v>
      </c>
      <c r="B13" s="8" t="s">
        <v>25</v>
      </c>
      <c r="C13" s="19"/>
      <c r="D13" s="19"/>
      <c r="E13" s="19"/>
      <c r="F13" s="19"/>
    </row>
    <row r="14" spans="1:6" ht="30" x14ac:dyDescent="0.25">
      <c r="A14" s="9" t="s">
        <v>75</v>
      </c>
      <c r="B14" s="8">
        <v>1615</v>
      </c>
      <c r="C14" s="19">
        <f>'горизонт П'!C15/'горизонт П'!$C$20</f>
        <v>5.2449967189585216E-2</v>
      </c>
      <c r="D14" s="19">
        <f>'горизонт П'!D15/'горизонт П'!$D$20</f>
        <v>3.3788534337965082E-2</v>
      </c>
      <c r="E14" s="19">
        <f>'горизонт П'!E15/'горизонт П'!$E$20</f>
        <v>5.3744668702321211E-2</v>
      </c>
      <c r="F14" s="19">
        <f t="shared" si="0"/>
        <v>1.2947015127359948E-3</v>
      </c>
    </row>
    <row r="15" spans="1:6" ht="30" x14ac:dyDescent="0.25">
      <c r="A15" s="9" t="s">
        <v>37</v>
      </c>
      <c r="B15" s="8">
        <v>1620</v>
      </c>
      <c r="C15" s="19">
        <f>'горизонт П'!C16/'горизонт П'!$C$20</f>
        <v>1.7379074574263364E-2</v>
      </c>
      <c r="D15" s="19">
        <f>'горизонт П'!D16/'горизонт П'!$D$20</f>
        <v>1.6422481293321377E-2</v>
      </c>
      <c r="E15" s="19">
        <f>'горизонт П'!E16/'горизонт П'!$E$20</f>
        <v>2.0517736404928516E-2</v>
      </c>
      <c r="F15" s="19">
        <f t="shared" si="0"/>
        <v>3.1386618306651522E-3</v>
      </c>
    </row>
    <row r="16" spans="1:6" ht="30" x14ac:dyDescent="0.25">
      <c r="A16" s="9" t="s">
        <v>76</v>
      </c>
      <c r="B16" s="8">
        <v>1625</v>
      </c>
      <c r="C16" s="19"/>
      <c r="D16" s="19"/>
      <c r="E16" s="19"/>
      <c r="F16" s="19"/>
    </row>
    <row r="17" spans="1:6" ht="30" x14ac:dyDescent="0.25">
      <c r="A17" s="9" t="s">
        <v>38</v>
      </c>
      <c r="B17" s="8">
        <v>1630</v>
      </c>
      <c r="C17" s="19">
        <f>'горизонт П'!C17/'горизонт П'!$C$20</f>
        <v>2.9240592504479173E-3</v>
      </c>
      <c r="D17" s="19">
        <f>'горизонт П'!D18/'горизонт П'!$D$20</f>
        <v>2.2101024620978352E-4</v>
      </c>
      <c r="E17" s="19">
        <f>'горизонт П'!E18/'горизонт П'!$E$20</f>
        <v>2.2626714097297569E-4</v>
      </c>
      <c r="F17" s="19">
        <f t="shared" si="0"/>
        <v>-2.6977921094749418E-3</v>
      </c>
    </row>
    <row r="18" spans="1:6" ht="30" x14ac:dyDescent="0.25">
      <c r="A18" s="9" t="s">
        <v>77</v>
      </c>
      <c r="B18" s="8">
        <v>1635</v>
      </c>
      <c r="C18" s="19">
        <f>'горизонт П'!C18/'горизонт П'!$C$20</f>
        <v>2.0480908107080741E-6</v>
      </c>
      <c r="D18" s="19">
        <f>'горизонт П'!D19/'горизонт П'!$D$20</f>
        <v>9.1699226536958779E-4</v>
      </c>
      <c r="E18" s="19">
        <f>'горизонт П'!E19/'горизонт П'!$E$20</f>
        <v>1.2761826619092089E-3</v>
      </c>
      <c r="F18" s="19">
        <f t="shared" si="0"/>
        <v>1.2741345710985009E-3</v>
      </c>
    </row>
    <row r="19" spans="1:6" ht="30" x14ac:dyDescent="0.25">
      <c r="A19" s="9" t="s">
        <v>78</v>
      </c>
      <c r="B19" s="8">
        <v>1650</v>
      </c>
      <c r="C19" s="19">
        <f>'горизонт П'!C20/'горизонт П'!$C$20</f>
        <v>1</v>
      </c>
      <c r="D19" s="19">
        <f>'горизонт П'!D20/'горизонт П'!$D$20</f>
        <v>1</v>
      </c>
      <c r="E19" s="19">
        <f>'горизонт П'!E20/'горизонт П'!$E$20</f>
        <v>1</v>
      </c>
      <c r="F19" s="19">
        <f t="shared" si="0"/>
        <v>0</v>
      </c>
    </row>
    <row r="20" spans="1:6" x14ac:dyDescent="0.25">
      <c r="A20" s="9" t="s">
        <v>40</v>
      </c>
      <c r="B20" s="8">
        <v>1690</v>
      </c>
      <c r="C20" s="19">
        <f>'горизонт П'!C21/'горизонт П'!$C$20</f>
        <v>0</v>
      </c>
      <c r="D20" s="19">
        <f>'горизонт П'!D21/'горизонт П'!$D$20</f>
        <v>0</v>
      </c>
      <c r="E20" s="19">
        <f>'горизонт П'!E21/'горизонт П'!$E$20</f>
        <v>0</v>
      </c>
      <c r="F20" s="19">
        <f t="shared" si="0"/>
        <v>0</v>
      </c>
    </row>
    <row r="21" spans="1:6" x14ac:dyDescent="0.25">
      <c r="A21" s="9" t="s">
        <v>22</v>
      </c>
      <c r="B21" s="8">
        <v>1900</v>
      </c>
      <c r="C21" s="19">
        <f>'горизонт П'!C22/'горизонт П'!$C$20</f>
        <v>0</v>
      </c>
      <c r="D21" s="19">
        <f>'горизонт П'!D22/'горизонт П'!$D$20</f>
        <v>0</v>
      </c>
      <c r="E21" s="19">
        <f>'горизонт П'!E22/'горизонт П'!$E$20</f>
        <v>0</v>
      </c>
      <c r="F21" s="19">
        <f t="shared" si="0"/>
        <v>0</v>
      </c>
    </row>
  </sheetData>
  <mergeCells count="2">
    <mergeCell ref="B1:B2"/>
    <mergeCell ref="C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727E8-6BC9-4EB6-8591-656C2A0B4756}">
  <dimension ref="A1:I27"/>
  <sheetViews>
    <sheetView topLeftCell="A15" workbookViewId="0">
      <selection sqref="A1:G27"/>
    </sheetView>
  </sheetViews>
  <sheetFormatPr defaultRowHeight="15" x14ac:dyDescent="0.25"/>
  <cols>
    <col min="1" max="1" width="28.28515625" customWidth="1"/>
    <col min="2" max="4" width="12.28515625" bestFit="1" customWidth="1"/>
    <col min="5" max="6" width="11.5703125" bestFit="1" customWidth="1"/>
    <col min="7" max="7" width="12.28515625" bestFit="1" customWidth="1"/>
  </cols>
  <sheetData>
    <row r="1" spans="1:9" x14ac:dyDescent="0.25">
      <c r="A1" s="117" t="s">
        <v>48</v>
      </c>
      <c r="B1" s="117" t="s">
        <v>49</v>
      </c>
      <c r="C1" s="117"/>
      <c r="D1" s="117"/>
      <c r="E1" s="117"/>
      <c r="F1" s="117" t="s">
        <v>50</v>
      </c>
      <c r="G1" s="117"/>
    </row>
    <row r="2" spans="1:9" x14ac:dyDescent="0.25">
      <c r="A2" s="117"/>
      <c r="B2" s="117" t="s">
        <v>51</v>
      </c>
      <c r="C2" s="117" t="s">
        <v>52</v>
      </c>
      <c r="D2" s="117" t="s">
        <v>53</v>
      </c>
      <c r="E2" s="117" t="s">
        <v>52</v>
      </c>
      <c r="F2" s="117" t="s">
        <v>54</v>
      </c>
      <c r="G2" s="8" t="s">
        <v>55</v>
      </c>
    </row>
    <row r="3" spans="1:9" x14ac:dyDescent="0.25">
      <c r="A3" s="117"/>
      <c r="B3" s="117"/>
      <c r="C3" s="117"/>
      <c r="D3" s="117"/>
      <c r="E3" s="117"/>
      <c r="F3" s="117"/>
      <c r="G3" s="8" t="s">
        <v>56</v>
      </c>
    </row>
    <row r="4" spans="1:9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</row>
    <row r="5" spans="1:9" x14ac:dyDescent="0.25">
      <c r="A5" s="25" t="s">
        <v>57</v>
      </c>
      <c r="B5" s="31"/>
      <c r="C5" s="12"/>
      <c r="D5" s="31"/>
      <c r="E5" s="12"/>
      <c r="F5" s="31"/>
      <c r="G5" s="12"/>
    </row>
    <row r="6" spans="1:9" x14ac:dyDescent="0.25">
      <c r="A6" s="25" t="s">
        <v>58</v>
      </c>
      <c r="B6" s="31">
        <v>459400</v>
      </c>
      <c r="C6" s="26">
        <f>B6/$B$27</f>
        <v>8.3678060592460343E-2</v>
      </c>
      <c r="D6" s="31">
        <v>264675</v>
      </c>
      <c r="E6" s="26">
        <f>D6/$D$27</f>
        <v>3.9686716724335547E-2</v>
      </c>
      <c r="F6" s="31">
        <f>D6-B6</f>
        <v>-194725</v>
      </c>
      <c r="G6" s="26">
        <f>F6/B6</f>
        <v>-0.42386808881149324</v>
      </c>
    </row>
    <row r="7" spans="1:9" x14ac:dyDescent="0.25">
      <c r="A7" s="25" t="s">
        <v>59</v>
      </c>
      <c r="B7" s="31">
        <v>2058079</v>
      </c>
      <c r="C7" s="26">
        <f>B7/$B$27</f>
        <v>0.37487170062270392</v>
      </c>
      <c r="D7" s="31">
        <v>2606877</v>
      </c>
      <c r="E7" s="26">
        <f>D7/$D$27</f>
        <v>0.39088840666547908</v>
      </c>
      <c r="F7" s="31">
        <f t="shared" ref="F7:F23" si="0">D7-B7</f>
        <v>548798</v>
      </c>
      <c r="G7" s="26">
        <f t="shared" ref="G7:G23" si="1">F7/B7</f>
        <v>0.2666554588040595</v>
      </c>
    </row>
    <row r="8" spans="1:9" ht="30" x14ac:dyDescent="0.25">
      <c r="A8" s="25" t="s">
        <v>60</v>
      </c>
      <c r="B8" s="31">
        <v>1036078</v>
      </c>
      <c r="C8" s="26">
        <f>B8/$B$27</f>
        <v>0.18871788781566201</v>
      </c>
      <c r="D8" s="31">
        <v>974022</v>
      </c>
      <c r="E8" s="26">
        <f>D8/$D$27</f>
        <v>0.14604981655717675</v>
      </c>
      <c r="F8" s="31">
        <f>D8-B8</f>
        <v>-62056</v>
      </c>
      <c r="G8" s="26">
        <f>F8/B8</f>
        <v>-5.9895104422639997E-2</v>
      </c>
      <c r="I8" s="113"/>
    </row>
    <row r="9" spans="1:9" x14ac:dyDescent="0.25">
      <c r="A9" s="27" t="s">
        <v>80</v>
      </c>
      <c r="B9" s="32">
        <v>641405</v>
      </c>
      <c r="C9" s="28">
        <f t="shared" ref="C9:C10" si="2">B9/$B$27</f>
        <v>0.11682961788051159</v>
      </c>
      <c r="D9" s="32">
        <v>576987</v>
      </c>
      <c r="E9" s="28">
        <f t="shared" ref="E9:E10" si="3">D9/$D$27</f>
        <v>8.6516367706146013E-2</v>
      </c>
      <c r="F9" s="32">
        <f t="shared" ref="F9:F10" si="4">D9-B9</f>
        <v>-64418</v>
      </c>
      <c r="G9" s="28">
        <f t="shared" ref="G9:G10" si="5">F9/B9</f>
        <v>-0.10043264396130371</v>
      </c>
      <c r="I9" s="113"/>
    </row>
    <row r="10" spans="1:9" x14ac:dyDescent="0.25">
      <c r="A10" s="27" t="s">
        <v>82</v>
      </c>
      <c r="B10" s="32">
        <v>353972</v>
      </c>
      <c r="C10" s="28">
        <f t="shared" si="2"/>
        <v>6.4474728916052187E-2</v>
      </c>
      <c r="D10" s="32">
        <v>327436</v>
      </c>
      <c r="E10" s="28">
        <f t="shared" si="3"/>
        <v>4.9097420524603891E-2</v>
      </c>
      <c r="F10" s="32">
        <f t="shared" si="4"/>
        <v>-26536</v>
      </c>
      <c r="G10" s="28">
        <f t="shared" si="5"/>
        <v>-7.4966381521702277E-2</v>
      </c>
      <c r="H10" s="24"/>
    </row>
    <row r="11" spans="1:9" x14ac:dyDescent="0.25">
      <c r="A11" s="27" t="s">
        <v>81</v>
      </c>
      <c r="B11" s="32">
        <v>40701</v>
      </c>
      <c r="C11" s="28">
        <f>B11/$B$27</f>
        <v>7.4135410190982335E-3</v>
      </c>
      <c r="D11" s="32">
        <v>65599</v>
      </c>
      <c r="E11" s="28">
        <f>D11/$D$27</f>
        <v>9.8362479659948529E-3</v>
      </c>
      <c r="F11" s="32">
        <f>D11-B11</f>
        <v>24898</v>
      </c>
      <c r="G11" s="28">
        <f>F11/B11</f>
        <v>0.61172944153706299</v>
      </c>
    </row>
    <row r="12" spans="1:9" ht="30" x14ac:dyDescent="0.25">
      <c r="A12" s="25" t="s">
        <v>61</v>
      </c>
      <c r="B12" s="31">
        <f>B14+B16</f>
        <v>1988039</v>
      </c>
      <c r="C12" s="26">
        <f>B12/$B$27</f>
        <v>0.36211416609093222</v>
      </c>
      <c r="D12" s="31">
        <f>D14+D16</f>
        <v>2877130</v>
      </c>
      <c r="E12" s="26">
        <f>D12/$D$27</f>
        <v>0.43141151710243708</v>
      </c>
      <c r="F12" s="31">
        <f t="shared" si="0"/>
        <v>889091</v>
      </c>
      <c r="G12" s="26">
        <f t="shared" si="1"/>
        <v>0.44722009980689514</v>
      </c>
      <c r="H12" s="24"/>
    </row>
    <row r="13" spans="1:9" x14ac:dyDescent="0.25">
      <c r="A13" s="25" t="s">
        <v>62</v>
      </c>
      <c r="B13" s="31" t="s">
        <v>79</v>
      </c>
      <c r="C13" s="26" t="s">
        <v>79</v>
      </c>
      <c r="D13" s="31" t="s">
        <v>79</v>
      </c>
      <c r="E13" s="26" t="s">
        <v>79</v>
      </c>
      <c r="F13" s="31"/>
      <c r="G13" s="26"/>
    </row>
    <row r="14" spans="1:9" ht="30" x14ac:dyDescent="0.25">
      <c r="A14" s="25" t="s">
        <v>63</v>
      </c>
      <c r="B14" s="31">
        <f>1739460+126638+11241</f>
        <v>1877339</v>
      </c>
      <c r="C14" s="26">
        <f>B14/$B$27</f>
        <v>0.34195055854285789</v>
      </c>
      <c r="D14" s="31">
        <f>2492779+170301+21210</f>
        <v>2684290</v>
      </c>
      <c r="E14" s="26">
        <f>D14/$D$27</f>
        <v>0.40249610592600987</v>
      </c>
      <c r="F14" s="31">
        <f t="shared" si="0"/>
        <v>806951</v>
      </c>
      <c r="G14" s="26">
        <f t="shared" si="1"/>
        <v>0.42983765851559042</v>
      </c>
    </row>
    <row r="15" spans="1:9" ht="30" x14ac:dyDescent="0.25">
      <c r="A15" s="25" t="s">
        <v>64</v>
      </c>
      <c r="B15" s="31" t="s">
        <v>79</v>
      </c>
      <c r="C15" s="26" t="s">
        <v>79</v>
      </c>
      <c r="D15" s="31" t="s">
        <v>79</v>
      </c>
      <c r="E15" s="26" t="s">
        <v>79</v>
      </c>
      <c r="F15" s="31"/>
      <c r="G15" s="26"/>
    </row>
    <row r="16" spans="1:9" ht="30" x14ac:dyDescent="0.25">
      <c r="A16" s="25" t="s">
        <v>65</v>
      </c>
      <c r="B16" s="31">
        <v>110700</v>
      </c>
      <c r="C16" s="26">
        <f>B16/$B$27</f>
        <v>2.0163607548074357E-2</v>
      </c>
      <c r="D16" s="31">
        <v>192840</v>
      </c>
      <c r="E16" s="26">
        <f>D16/$D$27</f>
        <v>2.8915411176427191E-2</v>
      </c>
      <c r="F16" s="31">
        <f t="shared" si="0"/>
        <v>82140</v>
      </c>
      <c r="G16" s="26">
        <f t="shared" si="1"/>
        <v>0.74200542005420056</v>
      </c>
    </row>
    <row r="17" spans="1:7" x14ac:dyDescent="0.25">
      <c r="A17" s="25" t="s">
        <v>66</v>
      </c>
      <c r="B17" s="31">
        <v>6961</v>
      </c>
      <c r="C17" s="29">
        <f>B17/$B$27</f>
        <v>1.2679211575622909E-3</v>
      </c>
      <c r="D17" s="31">
        <v>9909</v>
      </c>
      <c r="E17" s="26">
        <f>D17/$D$27</f>
        <v>1.4858058978801962E-3</v>
      </c>
      <c r="F17" s="31">
        <f t="shared" si="0"/>
        <v>2948</v>
      </c>
      <c r="G17" s="26">
        <f>F17/B17</f>
        <v>0.42350237034908778</v>
      </c>
    </row>
    <row r="18" spans="1:7" ht="30" x14ac:dyDescent="0.25">
      <c r="A18" s="25" t="s">
        <v>67</v>
      </c>
      <c r="B18" s="31">
        <v>0</v>
      </c>
      <c r="C18" s="26">
        <f>B18/$B$27</f>
        <v>0</v>
      </c>
      <c r="D18" s="31">
        <v>0</v>
      </c>
      <c r="E18" s="26">
        <f>D18/$D$27</f>
        <v>0</v>
      </c>
      <c r="F18" s="31">
        <f t="shared" si="0"/>
        <v>0</v>
      </c>
      <c r="G18" s="26"/>
    </row>
    <row r="19" spans="1:7" x14ac:dyDescent="0.25">
      <c r="A19" s="25" t="s">
        <v>68</v>
      </c>
      <c r="B19" s="31"/>
      <c r="C19" s="26"/>
      <c r="D19" s="31"/>
      <c r="E19" s="26"/>
      <c r="F19" s="31"/>
      <c r="G19" s="26"/>
    </row>
    <row r="20" spans="1:7" x14ac:dyDescent="0.25">
      <c r="A20" s="25" t="s">
        <v>24</v>
      </c>
      <c r="B20" s="31">
        <v>179528</v>
      </c>
      <c r="C20" s="26">
        <f>B20/$B$27</f>
        <v>3.2700380631352242E-2</v>
      </c>
      <c r="D20" s="31">
        <v>179528</v>
      </c>
      <c r="E20" s="26">
        <f>D20/$D$27</f>
        <v>2.6919342136909465E-2</v>
      </c>
      <c r="F20" s="31">
        <f t="shared" si="0"/>
        <v>0</v>
      </c>
      <c r="G20" s="26">
        <f t="shared" si="1"/>
        <v>0</v>
      </c>
    </row>
    <row r="21" spans="1:7" ht="30" x14ac:dyDescent="0.25">
      <c r="A21" s="25" t="s">
        <v>69</v>
      </c>
      <c r="B21" s="31">
        <f>B22+B23</f>
        <v>2254848</v>
      </c>
      <c r="C21" s="26">
        <f>B21/$B$27</f>
        <v>0.41071246750280371</v>
      </c>
      <c r="D21" s="31">
        <f>D22+D23</f>
        <v>2040984</v>
      </c>
      <c r="E21" s="26">
        <f>D21/$D$27</f>
        <v>0.30603552978899129</v>
      </c>
      <c r="F21" s="31">
        <f t="shared" si="0"/>
        <v>-213864</v>
      </c>
      <c r="G21" s="26">
        <f t="shared" si="1"/>
        <v>-9.4846304495912803E-2</v>
      </c>
    </row>
    <row r="22" spans="1:7" ht="30" x14ac:dyDescent="0.25">
      <c r="A22" s="25" t="s">
        <v>70</v>
      </c>
      <c r="B22" s="31">
        <f>2887+1455979</f>
        <v>1458866</v>
      </c>
      <c r="C22" s="26">
        <f>B22/$B$27</f>
        <v>0.26572720405807632</v>
      </c>
      <c r="D22" s="31">
        <v>1189137</v>
      </c>
      <c r="E22" s="26">
        <f>D22/$D$27</f>
        <v>0.17830525461575972</v>
      </c>
      <c r="F22" s="31">
        <f t="shared" si="0"/>
        <v>-269729</v>
      </c>
      <c r="G22" s="26">
        <f t="shared" si="1"/>
        <v>-0.184889496362243</v>
      </c>
    </row>
    <row r="23" spans="1:7" ht="30" x14ac:dyDescent="0.25">
      <c r="A23" s="25" t="s">
        <v>71</v>
      </c>
      <c r="B23" s="31">
        <v>795982</v>
      </c>
      <c r="C23" s="26">
        <f>B23/$B$27</f>
        <v>0.1449852634447274</v>
      </c>
      <c r="D23" s="31">
        <v>851847</v>
      </c>
      <c r="E23" s="26">
        <f>D23/$D$27</f>
        <v>0.12773027517323157</v>
      </c>
      <c r="F23" s="31">
        <f t="shared" si="0"/>
        <v>55865</v>
      </c>
      <c r="G23" s="26">
        <f t="shared" si="1"/>
        <v>7.0183747873695634E-2</v>
      </c>
    </row>
    <row r="24" spans="1:7" ht="30" x14ac:dyDescent="0.25">
      <c r="A24" s="30" t="s">
        <v>83</v>
      </c>
      <c r="B24" s="32" t="s">
        <v>79</v>
      </c>
      <c r="C24" s="28" t="s">
        <v>79</v>
      </c>
      <c r="D24" s="32" t="s">
        <v>79</v>
      </c>
      <c r="E24" s="28" t="s">
        <v>79</v>
      </c>
      <c r="F24" s="32"/>
      <c r="G24" s="28"/>
    </row>
    <row r="25" spans="1:7" x14ac:dyDescent="0.25">
      <c r="A25" s="30" t="s">
        <v>84</v>
      </c>
      <c r="B25" s="32">
        <f>B23-B26</f>
        <v>450293</v>
      </c>
      <c r="C25" s="28">
        <f t="shared" ref="C25:C26" si="6">B25/$B$27</f>
        <v>8.2019253239792658E-2</v>
      </c>
      <c r="D25" s="32">
        <f>D23-D26</f>
        <v>735678</v>
      </c>
      <c r="E25" s="28">
        <f t="shared" ref="E25:E26" si="7">D25/$D$27</f>
        <v>0.11031130400047502</v>
      </c>
      <c r="F25" s="32">
        <f t="shared" ref="F25:F26" si="8">D25-B25</f>
        <v>285385</v>
      </c>
      <c r="G25" s="28">
        <f t="shared" ref="G25:G26" si="9">F25/B25</f>
        <v>0.63377623014348439</v>
      </c>
    </row>
    <row r="26" spans="1:7" x14ac:dyDescent="0.25">
      <c r="A26" s="30" t="s">
        <v>85</v>
      </c>
      <c r="B26" s="32">
        <v>345689</v>
      </c>
      <c r="C26" s="28">
        <f t="shared" si="6"/>
        <v>6.2966010204934753E-2</v>
      </c>
      <c r="D26" s="32">
        <v>116169</v>
      </c>
      <c r="E26" s="28">
        <f t="shared" si="7"/>
        <v>1.7418971172756537E-2</v>
      </c>
      <c r="F26" s="32">
        <f t="shared" si="8"/>
        <v>-229520</v>
      </c>
      <c r="G26" s="28">
        <f t="shared" si="9"/>
        <v>-0.66394938803375292</v>
      </c>
    </row>
    <row r="27" spans="1:7" x14ac:dyDescent="0.25">
      <c r="A27" s="25" t="s">
        <v>72</v>
      </c>
      <c r="B27" s="31">
        <v>5490089</v>
      </c>
      <c r="C27" s="12"/>
      <c r="D27" s="31">
        <v>6669108</v>
      </c>
      <c r="E27" s="12"/>
      <c r="F27" s="31"/>
      <c r="G27" s="12"/>
    </row>
  </sheetData>
  <mergeCells count="8">
    <mergeCell ref="A1:A3"/>
    <mergeCell ref="B1:E1"/>
    <mergeCell ref="F1:G1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859C-8074-4C16-B6E1-6A5CE90A5135}">
  <dimension ref="A1:M19"/>
  <sheetViews>
    <sheetView workbookViewId="0">
      <selection sqref="A1:E9"/>
    </sheetView>
  </sheetViews>
  <sheetFormatPr defaultRowHeight="15" x14ac:dyDescent="0.25"/>
  <cols>
    <col min="1" max="1" width="5.5703125" customWidth="1"/>
    <col min="2" max="2" width="24.85546875" customWidth="1"/>
    <col min="10" max="10" width="12" bestFit="1" customWidth="1"/>
  </cols>
  <sheetData>
    <row r="1" spans="1:13" x14ac:dyDescent="0.25">
      <c r="A1" s="37"/>
      <c r="B1" s="36" t="s">
        <v>112</v>
      </c>
      <c r="C1" s="35">
        <v>2021</v>
      </c>
      <c r="D1" s="35">
        <v>2022</v>
      </c>
      <c r="E1" s="35">
        <v>2023</v>
      </c>
    </row>
    <row r="2" spans="1:13" x14ac:dyDescent="0.25">
      <c r="A2" s="38">
        <v>1</v>
      </c>
      <c r="B2" s="36" t="s">
        <v>89</v>
      </c>
      <c r="C2" s="35">
        <f>K12/K11</f>
        <v>0.54636057236832258</v>
      </c>
      <c r="D2" s="35">
        <f>L12/L11</f>
        <v>0.54702926253372675</v>
      </c>
      <c r="E2" s="35">
        <f>M12/M11</f>
        <v>0.56815310872311342</v>
      </c>
    </row>
    <row r="3" spans="1:13" x14ac:dyDescent="0.25">
      <c r="A3" s="38">
        <v>2</v>
      </c>
      <c r="B3" s="36" t="s">
        <v>86</v>
      </c>
      <c r="C3" s="35">
        <f>1-C2</f>
        <v>0.45363942763167742</v>
      </c>
      <c r="D3" s="35">
        <f t="shared" ref="D3:E3" si="0">1-D2</f>
        <v>0.45297073746627325</v>
      </c>
      <c r="E3" s="35">
        <f t="shared" si="0"/>
        <v>0.43184689127688658</v>
      </c>
    </row>
    <row r="4" spans="1:13" x14ac:dyDescent="0.25">
      <c r="A4" s="38">
        <v>3</v>
      </c>
      <c r="B4" s="36" t="s">
        <v>90</v>
      </c>
      <c r="C4" s="123" t="s">
        <v>115</v>
      </c>
      <c r="D4" s="124"/>
      <c r="E4" s="125"/>
    </row>
    <row r="5" spans="1:13" x14ac:dyDescent="0.25">
      <c r="A5" s="38">
        <v>4</v>
      </c>
      <c r="B5" s="36" t="s">
        <v>91</v>
      </c>
      <c r="C5" s="126"/>
      <c r="D5" s="127"/>
      <c r="E5" s="128"/>
    </row>
    <row r="6" spans="1:13" x14ac:dyDescent="0.25">
      <c r="A6" s="38">
        <v>5</v>
      </c>
      <c r="B6" s="36" t="s">
        <v>92</v>
      </c>
      <c r="C6" s="35">
        <f>K14/K16</f>
        <v>0.62995600273813535</v>
      </c>
      <c r="D6" s="35">
        <f t="shared" ref="D6:E6" si="1">L14/L16</f>
        <v>0.57609058923204615</v>
      </c>
      <c r="E6" s="35">
        <f t="shared" si="1"/>
        <v>0.46078308947324181</v>
      </c>
    </row>
    <row r="7" spans="1:13" x14ac:dyDescent="0.25">
      <c r="A7" s="38">
        <v>6</v>
      </c>
      <c r="B7" s="36" t="s">
        <v>87</v>
      </c>
      <c r="C7" s="35">
        <f>K17/K19</f>
        <v>2.5189150510612568</v>
      </c>
      <c r="D7" s="35">
        <f t="shared" ref="D7:E7" si="2">L17/L19</f>
        <v>2.6683312403268906</v>
      </c>
      <c r="E7" s="35">
        <f t="shared" si="2"/>
        <v>3.2730675960668938</v>
      </c>
    </row>
    <row r="8" spans="1:13" x14ac:dyDescent="0.25">
      <c r="A8" s="121">
        <v>7</v>
      </c>
      <c r="B8" s="122" t="s">
        <v>88</v>
      </c>
      <c r="C8" s="35">
        <f>K18/K19</f>
        <v>0.68867543224683569</v>
      </c>
      <c r="D8" s="35">
        <f t="shared" ref="D8:E8" si="3">L18/L19</f>
        <v>0.71826590750581176</v>
      </c>
      <c r="E8" s="35">
        <f t="shared" si="3"/>
        <v>0.81885501455084009</v>
      </c>
    </row>
    <row r="9" spans="1:13" x14ac:dyDescent="0.25">
      <c r="A9" s="121"/>
      <c r="B9" s="122"/>
      <c r="C9" s="35">
        <f>K18/K17*K17/K19</f>
        <v>0.68867543224683569</v>
      </c>
      <c r="D9" s="35">
        <f t="shared" ref="D9:E9" si="4">L18/L17*L17/L19</f>
        <v>0.71826590750581176</v>
      </c>
      <c r="E9" s="35">
        <f t="shared" si="4"/>
        <v>0.81885501455084009</v>
      </c>
      <c r="K9">
        <v>2021</v>
      </c>
      <c r="L9">
        <v>2022</v>
      </c>
      <c r="M9">
        <v>2023</v>
      </c>
    </row>
    <row r="10" spans="1:13" x14ac:dyDescent="0.25">
      <c r="J10" t="s">
        <v>105</v>
      </c>
      <c r="K10" s="112">
        <v>1620599</v>
      </c>
      <c r="L10" s="112">
        <v>1870404</v>
      </c>
      <c r="M10" s="112">
        <v>2062535</v>
      </c>
    </row>
    <row r="11" spans="1:13" x14ac:dyDescent="0.25">
      <c r="J11" t="s">
        <v>104</v>
      </c>
      <c r="K11" s="112">
        <v>1870404</v>
      </c>
      <c r="L11" s="112">
        <v>2062535</v>
      </c>
      <c r="M11" s="112">
        <v>2195982</v>
      </c>
    </row>
    <row r="12" spans="1:13" x14ac:dyDescent="0.25">
      <c r="J12" t="s">
        <v>113</v>
      </c>
      <c r="K12" s="112">
        <v>1021915</v>
      </c>
      <c r="L12" s="112">
        <v>1128267</v>
      </c>
      <c r="M12" s="112">
        <v>1247654</v>
      </c>
    </row>
    <row r="14" spans="1:13" x14ac:dyDescent="0.25">
      <c r="J14" t="s">
        <v>107</v>
      </c>
      <c r="K14">
        <f>K11-K12</f>
        <v>848489</v>
      </c>
      <c r="L14">
        <f t="shared" ref="L14:M14" si="5">L11-L12</f>
        <v>934268</v>
      </c>
      <c r="M14">
        <f t="shared" si="5"/>
        <v>948328</v>
      </c>
    </row>
    <row r="15" spans="1:13" x14ac:dyDescent="0.25">
      <c r="J15" t="s">
        <v>106</v>
      </c>
    </row>
    <row r="16" spans="1:13" x14ac:dyDescent="0.25">
      <c r="J16" t="s">
        <v>108</v>
      </c>
      <c r="K16" s="112">
        <v>1346902</v>
      </c>
      <c r="L16" s="112">
        <v>1621738</v>
      </c>
      <c r="M16" s="112">
        <v>2058079</v>
      </c>
    </row>
    <row r="17" spans="10:13" x14ac:dyDescent="0.25">
      <c r="J17" t="s">
        <v>109</v>
      </c>
      <c r="K17" s="112">
        <v>4396770</v>
      </c>
      <c r="L17" s="112">
        <v>5247192</v>
      </c>
      <c r="M17" s="112">
        <v>6969207</v>
      </c>
    </row>
    <row r="18" spans="10:13" x14ac:dyDescent="0.25">
      <c r="J18" t="s">
        <v>111</v>
      </c>
      <c r="K18" s="112">
        <v>1202084</v>
      </c>
      <c r="L18" s="112">
        <v>1412448</v>
      </c>
      <c r="M18" s="112">
        <v>1743554</v>
      </c>
    </row>
    <row r="19" spans="10:13" x14ac:dyDescent="0.25">
      <c r="J19" t="s">
        <v>110</v>
      </c>
      <c r="K19">
        <f>(K10+K11)/2</f>
        <v>1745501.5</v>
      </c>
      <c r="L19">
        <f t="shared" ref="L19:M19" si="6">(L10+L11)/2</f>
        <v>1966469.5</v>
      </c>
      <c r="M19">
        <f t="shared" si="6"/>
        <v>2129258.5</v>
      </c>
    </row>
  </sheetData>
  <mergeCells count="3">
    <mergeCell ref="A8:A9"/>
    <mergeCell ref="B8:B9"/>
    <mergeCell ref="C4:E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E899-754F-4558-BE4C-74952DAC23FE}">
  <dimension ref="A2:D4"/>
  <sheetViews>
    <sheetView workbookViewId="0">
      <selection activeCell="A2" sqref="A2:D4"/>
    </sheetView>
  </sheetViews>
  <sheetFormatPr defaultRowHeight="15" x14ac:dyDescent="0.25"/>
  <cols>
    <col min="1" max="1" width="26" bestFit="1" customWidth="1"/>
  </cols>
  <sheetData>
    <row r="2" spans="1:4" x14ac:dyDescent="0.25">
      <c r="B2">
        <v>2021</v>
      </c>
      <c r="C2">
        <v>2022</v>
      </c>
      <c r="D2">
        <v>2023</v>
      </c>
    </row>
    <row r="3" spans="1:4" x14ac:dyDescent="0.25">
      <c r="A3" s="129" t="s">
        <v>114</v>
      </c>
      <c r="B3" s="39">
        <f>'якісна оц ОЗ'!C8</f>
        <v>0.68867543224683569</v>
      </c>
      <c r="C3" s="39">
        <f>'якісна оц ОЗ'!D8</f>
        <v>0.71826590750581176</v>
      </c>
      <c r="D3" s="39">
        <f>'якісна оц ОЗ'!E8</f>
        <v>0.81885501455084009</v>
      </c>
    </row>
    <row r="4" spans="1:4" x14ac:dyDescent="0.25">
      <c r="A4" s="129"/>
      <c r="B4" s="39">
        <f>'якісна оц ОЗ'!C9</f>
        <v>0.68867543224683569</v>
      </c>
      <c r="C4" s="39">
        <f>'якісна оц ОЗ'!D9</f>
        <v>0.71826590750581176</v>
      </c>
      <c r="D4" s="39">
        <f>'якісна оц ОЗ'!E9</f>
        <v>0.81885501455084009</v>
      </c>
    </row>
  </sheetData>
  <mergeCells count="1">
    <mergeCell ref="A3:A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4EC95-0E7C-439A-B35C-B46F87BE5A75}">
  <dimension ref="A1:H18"/>
  <sheetViews>
    <sheetView topLeftCell="A4" workbookViewId="0">
      <selection activeCell="F18" sqref="F18"/>
    </sheetView>
  </sheetViews>
  <sheetFormatPr defaultRowHeight="15" x14ac:dyDescent="0.25"/>
  <cols>
    <col min="1" max="1" width="5" bestFit="1" customWidth="1"/>
    <col min="2" max="2" width="15.7109375" bestFit="1" customWidth="1"/>
    <col min="3" max="3" width="21.28515625" bestFit="1" customWidth="1"/>
    <col min="4" max="4" width="18.28515625" bestFit="1" customWidth="1"/>
    <col min="5" max="5" width="8.42578125" bestFit="1" customWidth="1"/>
    <col min="6" max="6" width="12.28515625" bestFit="1" customWidth="1"/>
  </cols>
  <sheetData>
    <row r="1" spans="1:8" x14ac:dyDescent="0.25">
      <c r="A1" s="130" t="s">
        <v>93</v>
      </c>
      <c r="B1" s="130" t="s">
        <v>48</v>
      </c>
      <c r="C1" s="130" t="s">
        <v>94</v>
      </c>
      <c r="D1" s="130" t="s">
        <v>95</v>
      </c>
      <c r="E1" s="131" t="s">
        <v>103</v>
      </c>
      <c r="F1" s="131"/>
    </row>
    <row r="2" spans="1:8" ht="30" x14ac:dyDescent="0.25">
      <c r="A2" s="130"/>
      <c r="B2" s="130"/>
      <c r="C2" s="130"/>
      <c r="D2" s="130"/>
      <c r="E2" s="33" t="s">
        <v>96</v>
      </c>
      <c r="F2" s="33" t="s">
        <v>97</v>
      </c>
    </row>
    <row r="3" spans="1:8" ht="30" x14ac:dyDescent="0.25">
      <c r="A3" s="33">
        <v>1</v>
      </c>
      <c r="B3" s="34" t="s">
        <v>98</v>
      </c>
      <c r="C3" s="10">
        <f>'якісна оц ОЗ'!L19</f>
        <v>1966469.5</v>
      </c>
      <c r="D3" s="10">
        <f>'якісна оц ОЗ'!M19</f>
        <v>2129258.5</v>
      </c>
      <c r="E3" s="10">
        <f>D3-C3</f>
        <v>162789</v>
      </c>
      <c r="F3" s="19">
        <f>E3/C3</f>
        <v>8.2782367079682645E-2</v>
      </c>
    </row>
    <row r="4" spans="1:8" x14ac:dyDescent="0.25">
      <c r="A4" s="33">
        <v>2</v>
      </c>
      <c r="B4" s="34" t="s">
        <v>99</v>
      </c>
      <c r="C4" s="10">
        <f>'якісна оц ОЗ'!L17</f>
        <v>5247192</v>
      </c>
      <c r="D4" s="10">
        <f>'якісна оц ОЗ'!M17</f>
        <v>6969207</v>
      </c>
      <c r="E4" s="10">
        <f t="shared" ref="E4:E8" si="0">D4-C4</f>
        <v>1722015</v>
      </c>
      <c r="F4" s="19">
        <f t="shared" ref="F4:F8" si="1">E4/C4</f>
        <v>0.32817838569657826</v>
      </c>
    </row>
    <row r="5" spans="1:8" ht="30" x14ac:dyDescent="0.25">
      <c r="A5" s="33">
        <v>3</v>
      </c>
      <c r="B5" s="34" t="s">
        <v>100</v>
      </c>
      <c r="C5" s="10">
        <f>'якісна оц ОЗ'!L18</f>
        <v>1412448</v>
      </c>
      <c r="D5" s="10">
        <f>'якісна оц ОЗ'!M18</f>
        <v>1743554</v>
      </c>
      <c r="E5" s="10">
        <f t="shared" si="0"/>
        <v>331106</v>
      </c>
      <c r="F5" s="19">
        <f t="shared" si="1"/>
        <v>0.23441995740728155</v>
      </c>
    </row>
    <row r="6" spans="1:8" x14ac:dyDescent="0.25">
      <c r="A6" s="33">
        <v>4</v>
      </c>
      <c r="B6" s="42" t="s">
        <v>87</v>
      </c>
      <c r="C6" s="45">
        <f>C4/C3</f>
        <v>2.6683312403268906</v>
      </c>
      <c r="D6" s="45">
        <f>D4/D3</f>
        <v>3.2730675960668938</v>
      </c>
      <c r="E6" s="46">
        <f t="shared" si="0"/>
        <v>0.60473635574000317</v>
      </c>
      <c r="F6" s="19">
        <f t="shared" si="1"/>
        <v>0.22663466461754517</v>
      </c>
      <c r="H6" s="43"/>
    </row>
    <row r="7" spans="1:8" ht="45" x14ac:dyDescent="0.25">
      <c r="A7" s="33">
        <v>5</v>
      </c>
      <c r="B7" s="34" t="s">
        <v>101</v>
      </c>
      <c r="C7" s="46">
        <f>C5/C4</f>
        <v>0.26918168803428577</v>
      </c>
      <c r="D7" s="46">
        <f>D5/D4</f>
        <v>0.25017968328390877</v>
      </c>
      <c r="E7" s="46">
        <f t="shared" si="0"/>
        <v>-1.9002004750377E-2</v>
      </c>
      <c r="F7" s="19">
        <f t="shared" si="1"/>
        <v>-7.0591743774029339E-2</v>
      </c>
      <c r="H7" s="43"/>
    </row>
    <row r="8" spans="1:8" ht="30" x14ac:dyDescent="0.25">
      <c r="A8" s="33">
        <v>6</v>
      </c>
      <c r="B8" s="34" t="s">
        <v>102</v>
      </c>
      <c r="C8" s="46">
        <f>C6*C7</f>
        <v>0.71826590750581187</v>
      </c>
      <c r="D8" s="46">
        <f>D6*D7</f>
        <v>0.81885501455084009</v>
      </c>
      <c r="E8" s="46">
        <f t="shared" si="0"/>
        <v>0.10058910704502821</v>
      </c>
      <c r="F8" s="19">
        <f t="shared" si="1"/>
        <v>0.14004438466852095</v>
      </c>
    </row>
    <row r="10" spans="1:8" x14ac:dyDescent="0.25">
      <c r="C10" s="44"/>
    </row>
    <row r="11" spans="1:8" x14ac:dyDescent="0.25">
      <c r="B11" t="s">
        <v>116</v>
      </c>
      <c r="C11" s="44">
        <f>(D7-C7)*C6</f>
        <v>-5.0703642904270929E-2</v>
      </c>
      <c r="E11" s="44">
        <f>C7*C6</f>
        <v>0.71826590750581187</v>
      </c>
    </row>
    <row r="12" spans="1:8" x14ac:dyDescent="0.25">
      <c r="B12" t="s">
        <v>117</v>
      </c>
      <c r="C12" s="44">
        <f>D7*(D6-C6)</f>
        <v>0.15129274994929917</v>
      </c>
      <c r="E12">
        <f>D7*C6</f>
        <v>0.667562264601541</v>
      </c>
    </row>
    <row r="13" spans="1:8" x14ac:dyDescent="0.25">
      <c r="C13" s="44">
        <f>C11+C12</f>
        <v>0.10058910704502824</v>
      </c>
      <c r="E13">
        <f>D7*D6</f>
        <v>0.81885501455084009</v>
      </c>
    </row>
    <row r="15" spans="1:8" x14ac:dyDescent="0.25">
      <c r="E15" s="44">
        <f>E12-E11</f>
        <v>-5.0703642904270874E-2</v>
      </c>
    </row>
    <row r="16" spans="1:8" x14ac:dyDescent="0.25">
      <c r="E16">
        <f>E13-E12</f>
        <v>0.15129274994929909</v>
      </c>
    </row>
    <row r="18" spans="5:5" x14ac:dyDescent="0.25">
      <c r="E18" s="44">
        <f>E15+E16</f>
        <v>0.10058910704502821</v>
      </c>
    </row>
  </sheetData>
  <mergeCells count="5">
    <mergeCell ref="A1:A2"/>
    <mergeCell ref="B1:B2"/>
    <mergeCell ref="C1:C2"/>
    <mergeCell ref="D1:D2"/>
    <mergeCell ref="E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A0DF-5904-455B-B582-B01812C567A7}">
  <dimension ref="A1:H20"/>
  <sheetViews>
    <sheetView workbookViewId="0">
      <selection sqref="A1:E6"/>
    </sheetView>
  </sheetViews>
  <sheetFormatPr defaultRowHeight="15" x14ac:dyDescent="0.25"/>
  <cols>
    <col min="2" max="2" width="29.28515625" bestFit="1" customWidth="1"/>
    <col min="3" max="3" width="12.85546875" bestFit="1" customWidth="1"/>
    <col min="4" max="4" width="11.28515625" bestFit="1" customWidth="1"/>
    <col min="5" max="5" width="13.7109375" bestFit="1" customWidth="1"/>
    <col min="6" max="6" width="10" bestFit="1" customWidth="1"/>
  </cols>
  <sheetData>
    <row r="1" spans="1:8" x14ac:dyDescent="0.25">
      <c r="B1" t="s">
        <v>48</v>
      </c>
      <c r="C1">
        <v>2021</v>
      </c>
      <c r="D1">
        <v>2022</v>
      </c>
      <c r="E1">
        <v>2023</v>
      </c>
    </row>
    <row r="2" spans="1:8" x14ac:dyDescent="0.25">
      <c r="A2">
        <v>1</v>
      </c>
      <c r="B2" t="s">
        <v>118</v>
      </c>
      <c r="C2" s="52">
        <f>F14/F20</f>
        <v>1.3895709724076564</v>
      </c>
      <c r="D2" s="52">
        <f t="shared" ref="D2:E2" si="0">G14/G20</f>
        <v>1.5425733338605387</v>
      </c>
      <c r="E2" s="52">
        <f t="shared" si="0"/>
        <v>1.8598833424225349</v>
      </c>
    </row>
    <row r="3" spans="1:8" x14ac:dyDescent="0.25">
      <c r="A3">
        <v>2</v>
      </c>
      <c r="B3" t="s">
        <v>119</v>
      </c>
      <c r="C3" s="51">
        <f>F16*F15/F14</f>
        <v>275.78965467832069</v>
      </c>
      <c r="D3" s="51">
        <f t="shared" ref="D3:E3" si="1">G16*G15/G14</f>
        <v>235.66060475774472</v>
      </c>
      <c r="E3" s="51">
        <f t="shared" si="1"/>
        <v>209.8378136852586</v>
      </c>
    </row>
    <row r="4" spans="1:8" ht="75" x14ac:dyDescent="0.25">
      <c r="A4">
        <v>3</v>
      </c>
      <c r="B4" s="47" t="s">
        <v>120</v>
      </c>
      <c r="C4" s="51">
        <f>F14/F16*(F17-F18)</f>
        <v>1244303.053384179</v>
      </c>
      <c r="D4" s="51">
        <f t="shared" ref="D4:E4" si="2">G14/G16*(G17-G18)</f>
        <v>-584902.3047523523</v>
      </c>
      <c r="E4" s="51">
        <f t="shared" si="2"/>
        <v>-499901.04528307728</v>
      </c>
    </row>
    <row r="5" spans="1:8" x14ac:dyDescent="0.25">
      <c r="A5">
        <v>4</v>
      </c>
      <c r="B5" t="s">
        <v>121</v>
      </c>
      <c r="C5" s="52">
        <f>F15/F14</f>
        <v>0.76608237410644631</v>
      </c>
      <c r="D5" s="52">
        <f t="shared" ref="D5:E5" si="3">G15/G14</f>
        <v>0.65461279099373526</v>
      </c>
      <c r="E5" s="52">
        <f t="shared" si="3"/>
        <v>0.58288281579238499</v>
      </c>
    </row>
    <row r="6" spans="1:8" x14ac:dyDescent="0.25">
      <c r="A6">
        <v>5</v>
      </c>
      <c r="B6" t="s">
        <v>122</v>
      </c>
      <c r="C6" s="53">
        <f>F15-F19</f>
        <v>2792564</v>
      </c>
      <c r="D6" s="53">
        <f t="shared" ref="D6:E6" si="4">G15-G19</f>
        <v>2639911</v>
      </c>
      <c r="E6" s="53">
        <f t="shared" si="4"/>
        <v>3210384</v>
      </c>
    </row>
    <row r="13" spans="1:8" x14ac:dyDescent="0.25">
      <c r="F13">
        <v>2021</v>
      </c>
      <c r="G13">
        <v>2022</v>
      </c>
      <c r="H13">
        <v>2023</v>
      </c>
    </row>
    <row r="14" spans="1:8" x14ac:dyDescent="0.25">
      <c r="E14" t="s">
        <v>109</v>
      </c>
      <c r="F14" s="112">
        <v>4396770</v>
      </c>
      <c r="G14" s="112">
        <v>5247192</v>
      </c>
      <c r="H14" s="112">
        <v>6969207</v>
      </c>
    </row>
    <row r="15" spans="1:8" x14ac:dyDescent="0.25">
      <c r="E15" t="s">
        <v>123</v>
      </c>
      <c r="F15" s="112">
        <v>3368288</v>
      </c>
      <c r="G15" s="112">
        <v>3434879</v>
      </c>
      <c r="H15" s="112">
        <v>4062231</v>
      </c>
    </row>
    <row r="16" spans="1:8" x14ac:dyDescent="0.25">
      <c r="E16" t="s">
        <v>124</v>
      </c>
      <c r="F16">
        <v>360</v>
      </c>
      <c r="G16">
        <v>360</v>
      </c>
      <c r="H16">
        <v>360</v>
      </c>
    </row>
    <row r="17" spans="5:8" x14ac:dyDescent="0.25">
      <c r="E17" s="48" t="s">
        <v>125</v>
      </c>
      <c r="F17" s="50">
        <f>C3</f>
        <v>275.78965467832069</v>
      </c>
      <c r="G17" s="50">
        <f t="shared" ref="G17:H17" si="5">D3</f>
        <v>235.66060475774472</v>
      </c>
      <c r="H17" s="50">
        <f t="shared" si="5"/>
        <v>209.8378136852586</v>
      </c>
    </row>
    <row r="18" spans="5:8" x14ac:dyDescent="0.25">
      <c r="E18" s="48" t="s">
        <v>126</v>
      </c>
      <c r="F18" s="50">
        <f>F16*956806/1980643</f>
        <v>173.90825100737487</v>
      </c>
      <c r="G18" s="50">
        <f>F17</f>
        <v>275.78965467832069</v>
      </c>
      <c r="H18" s="50">
        <f>G17</f>
        <v>235.66060475774472</v>
      </c>
    </row>
    <row r="19" spans="5:8" x14ac:dyDescent="0.25">
      <c r="E19" s="48" t="s">
        <v>127</v>
      </c>
      <c r="F19" s="112">
        <v>575724</v>
      </c>
      <c r="G19" s="112">
        <v>794968</v>
      </c>
      <c r="H19" s="112">
        <v>851847</v>
      </c>
    </row>
    <row r="20" spans="5:8" x14ac:dyDescent="0.25">
      <c r="E20" s="48" t="s">
        <v>192</v>
      </c>
      <c r="F20">
        <f>(3368288+2959953)/2</f>
        <v>3164120.5</v>
      </c>
      <c r="G20">
        <f>(3368288+3434879)/2</f>
        <v>3401583.5</v>
      </c>
      <c r="H20">
        <f>(3432010+4062231)/2</f>
        <v>3747120.5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22</vt:i4>
      </vt:variant>
    </vt:vector>
  </HeadingPairs>
  <TitlesOfParts>
    <vt:vector size="22" baseType="lpstr">
      <vt:lpstr>горизонт А</vt:lpstr>
      <vt:lpstr>горизонт П</vt:lpstr>
      <vt:lpstr>верт А</vt:lpstr>
      <vt:lpstr>верт П</vt:lpstr>
      <vt:lpstr>структ майна</vt:lpstr>
      <vt:lpstr>якісна оц ОЗ</vt:lpstr>
      <vt:lpstr>ефективн використ ОЗ</vt:lpstr>
      <vt:lpstr>факторний аналіз</vt:lpstr>
      <vt:lpstr>ефективн ОА</vt:lpstr>
      <vt:lpstr>аналіз запасів</vt:lpstr>
      <vt:lpstr>аналіз ДЗ</vt:lpstr>
      <vt:lpstr>ефективн викорис А</vt:lpstr>
      <vt:lpstr>структ капіталу</vt:lpstr>
      <vt:lpstr>фактор аналіз ВК</vt:lpstr>
      <vt:lpstr>ЗОЛОТІ ПРАВИЛА</vt:lpstr>
      <vt:lpstr>швидкість перетворення та погаш</vt:lpstr>
      <vt:lpstr>Ліквідність балансу</vt:lpstr>
      <vt:lpstr>ліквід активів</vt:lpstr>
      <vt:lpstr>коеф покриття</vt:lpstr>
      <vt:lpstr>коеф рент</vt:lpstr>
      <vt:lpstr>фактор аналіз ресурсовід</vt:lpstr>
      <vt:lpstr>фін стійкість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Bulbych</dc:creator>
  <cp:lastModifiedBy>асус</cp:lastModifiedBy>
  <dcterms:created xsi:type="dcterms:W3CDTF">2015-06-05T18:19:34Z</dcterms:created>
  <dcterms:modified xsi:type="dcterms:W3CDTF">2024-10-23T17:50:39Z</dcterms:modified>
</cp:coreProperties>
</file>