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/>
  <mc:AlternateContent xmlns:mc="http://schemas.openxmlformats.org/markup-compatibility/2006">
    <mc:Choice Requires="x15">
      <x15ac:absPath xmlns:x15ac="http://schemas.microsoft.com/office/spreadsheetml/2010/11/ac" url="D:\CLOUD\OneDrive\Consulting\Clients\Business Planning\Winery\"/>
    </mc:Choice>
  </mc:AlternateContent>
  <xr:revisionPtr revIDLastSave="14" documentId="11_9B032A33D5223B262235370F609CC2007DC699BE" xr6:coauthVersionLast="43" xr6:coauthVersionMax="43" xr10:uidLastSave="{03C1E525-C36C-4206-BDF0-B9B490136C2E}"/>
  <bookViews>
    <workbookView xWindow="-120" yWindow="-120" windowWidth="20730" windowHeight="11160" tabRatio="891" activeTab="13" xr2:uid="{00000000-000D-0000-FFFF-FFFF00000000}"/>
  </bookViews>
  <sheets>
    <sheet name="Product Mix" sheetId="1" r:id="rId1"/>
    <sheet name="Parameters" sheetId="9" r:id="rId2"/>
    <sheet name="Sales" sheetId="5" r:id="rId3"/>
    <sheet name="Production" sheetId="8" r:id="rId4"/>
    <sheet name="Staff" sheetId="4" r:id="rId5"/>
    <sheet name="OPEX" sheetId="3" r:id="rId6"/>
    <sheet name="CAPEX" sheetId="2" r:id="rId7"/>
    <sheet name="Costing" sheetId="13" r:id="rId8"/>
    <sheet name="CVP" sheetId="16" r:id="rId9"/>
    <sheet name="PL-CF-BS" sheetId="7" r:id="rId10"/>
    <sheet name="Loans" sheetId="6" r:id="rId11"/>
    <sheet name="Calc1" sheetId="12" r:id="rId12"/>
    <sheet name="Calc2" sheetId="15" r:id="rId13"/>
    <sheet name="Chart" sheetId="14" r:id="rId14"/>
  </sheets>
  <definedNames>
    <definedName name="channel">'Product Mix'!$A$24:$C$26</definedName>
    <definedName name="Period1">Production!$P$10:$V$16</definedName>
    <definedName name="Period2">Production!$P$22:$V$28</definedName>
    <definedName name="Period3">Production!$P$34:$V$40</definedName>
    <definedName name="price">'Product Mix'!$A$5:$O$21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8" i="7" l="1"/>
  <c r="J9" i="15" l="1"/>
  <c r="J5" i="15"/>
  <c r="E67" i="7"/>
  <c r="F67" i="7"/>
  <c r="G67" i="7"/>
  <c r="G14" i="7" s="1"/>
  <c r="G31" i="7" s="1"/>
  <c r="D67" i="7"/>
  <c r="C67" i="7"/>
  <c r="C14" i="7" s="1"/>
  <c r="C31" i="7" s="1"/>
  <c r="B67" i="7"/>
  <c r="B63" i="7"/>
  <c r="C63" i="7" s="1"/>
  <c r="D63" i="7" s="1"/>
  <c r="E63" i="7" s="1"/>
  <c r="F63" i="7" s="1"/>
  <c r="G63" i="7" s="1"/>
  <c r="K1" i="6"/>
  <c r="C44" i="7"/>
  <c r="D44" i="7"/>
  <c r="E44" i="7"/>
  <c r="F44" i="7"/>
  <c r="G44" i="7"/>
  <c r="B44" i="7"/>
  <c r="B14" i="7" l="1"/>
  <c r="B31" i="7" s="1"/>
  <c r="F14" i="7"/>
  <c r="F31" i="7" s="1"/>
  <c r="E14" i="7"/>
  <c r="E31" i="7" s="1"/>
  <c r="D14" i="7"/>
  <c r="D31" i="7" s="1"/>
  <c r="A22" i="14" l="1"/>
  <c r="A24" i="14"/>
  <c r="A26" i="14"/>
  <c r="A28" i="14"/>
  <c r="A30" i="14"/>
  <c r="A32" i="14"/>
  <c r="A34" i="14"/>
  <c r="A6" i="14"/>
  <c r="A8" i="14"/>
  <c r="A10" i="14"/>
  <c r="A12" i="14"/>
  <c r="A14" i="14"/>
  <c r="A16" i="14"/>
  <c r="A18" i="14"/>
  <c r="B33" i="14"/>
  <c r="C33" i="14" s="1"/>
  <c r="B31" i="14"/>
  <c r="C31" i="14" s="1"/>
  <c r="B29" i="14"/>
  <c r="C29" i="14" s="1"/>
  <c r="B27" i="14"/>
  <c r="C27" i="14" s="1"/>
  <c r="B25" i="14"/>
  <c r="C25" i="14" s="1"/>
  <c r="B23" i="14"/>
  <c r="C23" i="14" s="1"/>
  <c r="B21" i="14"/>
  <c r="C21" i="14" s="1"/>
  <c r="B7" i="14"/>
  <c r="C7" i="14" s="1"/>
  <c r="B9" i="14"/>
  <c r="C9" i="14" s="1"/>
  <c r="B11" i="14"/>
  <c r="C11" i="14" s="1"/>
  <c r="B13" i="14"/>
  <c r="C13" i="14" s="1"/>
  <c r="B15" i="14"/>
  <c r="C15" i="14" s="1"/>
  <c r="B17" i="14"/>
  <c r="C17" i="14" s="1"/>
  <c r="B5" i="14"/>
  <c r="C5" i="14" s="1"/>
  <c r="B14" i="14" l="1"/>
  <c r="B6" i="14"/>
  <c r="B24" i="14"/>
  <c r="B32" i="14"/>
  <c r="B18" i="14"/>
  <c r="B10" i="14"/>
  <c r="B28" i="14"/>
  <c r="B16" i="14"/>
  <c r="B12" i="14"/>
  <c r="B8" i="14"/>
  <c r="B34" i="14"/>
  <c r="B30" i="14"/>
  <c r="B26" i="14"/>
  <c r="B22" i="14"/>
  <c r="W3" i="8"/>
  <c r="W4" i="8"/>
  <c r="W5" i="8"/>
  <c r="B22" i="9" l="1"/>
  <c r="B14" i="9"/>
  <c r="C44" i="3"/>
  <c r="D44" i="3"/>
  <c r="E44" i="3"/>
  <c r="F44" i="3"/>
  <c r="G44" i="3"/>
  <c r="H44" i="3"/>
  <c r="B44" i="3"/>
  <c r="C49" i="3"/>
  <c r="D49" i="3"/>
  <c r="E49" i="3"/>
  <c r="F49" i="3"/>
  <c r="G49" i="3"/>
  <c r="H49" i="3"/>
  <c r="B49" i="3"/>
  <c r="C48" i="3"/>
  <c r="D48" i="3"/>
  <c r="E48" i="3"/>
  <c r="F48" i="3"/>
  <c r="G48" i="3"/>
  <c r="H48" i="3"/>
  <c r="B48" i="3"/>
  <c r="B36" i="9"/>
  <c r="C45" i="3" s="1"/>
  <c r="B25" i="9"/>
  <c r="F45" i="3" l="1"/>
  <c r="B45" i="3"/>
  <c r="E45" i="3"/>
  <c r="H45" i="3"/>
  <c r="D45" i="3"/>
  <c r="G45" i="3"/>
  <c r="A40" i="3"/>
  <c r="A41" i="3"/>
  <c r="A42" i="3"/>
  <c r="A43" i="3"/>
  <c r="A39" i="3"/>
  <c r="A38" i="3"/>
  <c r="A26" i="3"/>
  <c r="A27" i="3"/>
  <c r="A28" i="3"/>
  <c r="A25" i="3"/>
  <c r="G32" i="2" l="1"/>
  <c r="W32" i="2" s="1"/>
  <c r="G44" i="2"/>
  <c r="V44" i="2" s="1"/>
  <c r="Y44" i="2" l="1"/>
  <c r="X32" i="2"/>
  <c r="V32" i="2"/>
  <c r="Z32" i="2"/>
  <c r="U32" i="2"/>
  <c r="Y32" i="2"/>
  <c r="T32" i="2"/>
  <c r="W44" i="2"/>
  <c r="U44" i="2"/>
  <c r="X44" i="2"/>
  <c r="AJ44" i="2" s="1"/>
  <c r="T44" i="2"/>
  <c r="Z44" i="2"/>
  <c r="AI32" i="2" l="1"/>
  <c r="AJ32" i="2"/>
  <c r="AG44" i="2"/>
  <c r="AH32" i="2"/>
  <c r="AD44" i="2"/>
  <c r="AF44" i="2"/>
  <c r="AE44" i="2"/>
  <c r="AD32" i="2"/>
  <c r="AF32" i="2"/>
  <c r="AG32" i="2"/>
  <c r="AE32" i="2"/>
  <c r="AI44" i="2"/>
  <c r="AH44" i="2"/>
  <c r="G53" i="2"/>
  <c r="G54" i="2"/>
  <c r="T54" i="2" s="1"/>
  <c r="G55" i="2"/>
  <c r="G56" i="2"/>
  <c r="T56" i="2" s="1"/>
  <c r="G57" i="2"/>
  <c r="V57" i="2" s="1"/>
  <c r="G33" i="2"/>
  <c r="V33" i="2" s="1"/>
  <c r="G45" i="2"/>
  <c r="W45" i="2" s="1"/>
  <c r="G38" i="2"/>
  <c r="T38" i="2" s="1"/>
  <c r="G34" i="2"/>
  <c r="V34" i="2" s="1"/>
  <c r="G43" i="2"/>
  <c r="V43" i="2" s="1"/>
  <c r="G39" i="2"/>
  <c r="T39" i="2" s="1"/>
  <c r="G37" i="2"/>
  <c r="U37" i="2" s="1"/>
  <c r="G35" i="2"/>
  <c r="W35" i="2" s="1"/>
  <c r="G31" i="2"/>
  <c r="U31" i="2" s="1"/>
  <c r="G42" i="2"/>
  <c r="U42" i="2" s="1"/>
  <c r="G41" i="2"/>
  <c r="U41" i="2" s="1"/>
  <c r="G36" i="2"/>
  <c r="W36" i="2" s="1"/>
  <c r="G15" i="2"/>
  <c r="U15" i="2" s="1"/>
  <c r="G16" i="2"/>
  <c r="T16" i="2" s="1"/>
  <c r="G17" i="2"/>
  <c r="Z17" i="2" s="1"/>
  <c r="G18" i="2"/>
  <c r="T18" i="2" s="1"/>
  <c r="G19" i="2"/>
  <c r="G20" i="2"/>
  <c r="U20" i="2" s="1"/>
  <c r="G21" i="2"/>
  <c r="Y21" i="2" s="1"/>
  <c r="G22" i="2"/>
  <c r="W22" i="2" s="1"/>
  <c r="G23" i="2"/>
  <c r="U23" i="2" s="1"/>
  <c r="G24" i="2"/>
  <c r="G25" i="2"/>
  <c r="G26" i="2"/>
  <c r="T26" i="2" s="1"/>
  <c r="G27" i="2"/>
  <c r="W27" i="2" s="1"/>
  <c r="G28" i="2"/>
  <c r="W28" i="2" s="1"/>
  <c r="G29" i="2"/>
  <c r="Y29" i="2" s="1"/>
  <c r="G8" i="2"/>
  <c r="U8" i="2" s="1"/>
  <c r="G9" i="2"/>
  <c r="V9" i="2" s="1"/>
  <c r="G5" i="2"/>
  <c r="W5" i="2" s="1"/>
  <c r="G10" i="2"/>
  <c r="T10" i="2" s="1"/>
  <c r="G11" i="2"/>
  <c r="W11" i="2" s="1"/>
  <c r="G7" i="2"/>
  <c r="T7" i="2" s="1"/>
  <c r="G12" i="2"/>
  <c r="U12" i="2" s="1"/>
  <c r="U92" i="2"/>
  <c r="V92" i="2"/>
  <c r="W92" i="2"/>
  <c r="X92" i="2"/>
  <c r="Y92" i="2"/>
  <c r="Z92" i="2"/>
  <c r="U93" i="2"/>
  <c r="V93" i="2"/>
  <c r="W93" i="2"/>
  <c r="X93" i="2"/>
  <c r="Y93" i="2"/>
  <c r="Z93" i="2"/>
  <c r="U101" i="2"/>
  <c r="V101" i="2"/>
  <c r="W101" i="2"/>
  <c r="X101" i="2"/>
  <c r="Y101" i="2"/>
  <c r="Z101" i="2"/>
  <c r="U98" i="2"/>
  <c r="V98" i="2"/>
  <c r="W98" i="2"/>
  <c r="X98" i="2"/>
  <c r="Y98" i="2"/>
  <c r="Z98" i="2"/>
  <c r="U99" i="2"/>
  <c r="V99" i="2"/>
  <c r="W99" i="2"/>
  <c r="X99" i="2"/>
  <c r="Y99" i="2"/>
  <c r="Z99" i="2"/>
  <c r="U94" i="2"/>
  <c r="V94" i="2"/>
  <c r="W94" i="2"/>
  <c r="X94" i="2"/>
  <c r="Y94" i="2"/>
  <c r="Z94" i="2"/>
  <c r="U97" i="2"/>
  <c r="V97" i="2"/>
  <c r="W97" i="2"/>
  <c r="X97" i="2"/>
  <c r="Y97" i="2"/>
  <c r="Z97" i="2"/>
  <c r="U96" i="2"/>
  <c r="V96" i="2"/>
  <c r="W96" i="2"/>
  <c r="X96" i="2"/>
  <c r="Y96" i="2"/>
  <c r="Z96" i="2"/>
  <c r="T101" i="2"/>
  <c r="T95" i="2"/>
  <c r="T100" i="2"/>
  <c r="T98" i="2"/>
  <c r="T99" i="2"/>
  <c r="T94" i="2"/>
  <c r="T97" i="2"/>
  <c r="T96" i="2"/>
  <c r="T93" i="2"/>
  <c r="T92" i="2"/>
  <c r="U84" i="2"/>
  <c r="V84" i="2"/>
  <c r="W84" i="2"/>
  <c r="X84" i="2"/>
  <c r="Y84" i="2"/>
  <c r="Z84" i="2"/>
  <c r="U86" i="2"/>
  <c r="V86" i="2"/>
  <c r="W86" i="2"/>
  <c r="X86" i="2"/>
  <c r="Y86" i="2"/>
  <c r="Z86" i="2"/>
  <c r="U85" i="2"/>
  <c r="V85" i="2"/>
  <c r="W85" i="2"/>
  <c r="X85" i="2"/>
  <c r="Y85" i="2"/>
  <c r="Z85" i="2"/>
  <c r="T84" i="2"/>
  <c r="T86" i="2"/>
  <c r="T85" i="2"/>
  <c r="U80" i="2"/>
  <c r="V80" i="2"/>
  <c r="W80" i="2"/>
  <c r="X80" i="2"/>
  <c r="Y80" i="2"/>
  <c r="Z80" i="2"/>
  <c r="U81" i="2"/>
  <c r="V81" i="2"/>
  <c r="W81" i="2"/>
  <c r="X81" i="2"/>
  <c r="Y81" i="2"/>
  <c r="Z81" i="2"/>
  <c r="U82" i="2"/>
  <c r="V82" i="2"/>
  <c r="W82" i="2"/>
  <c r="X82" i="2"/>
  <c r="Y82" i="2"/>
  <c r="Z82" i="2"/>
  <c r="T82" i="2"/>
  <c r="T81" i="2"/>
  <c r="T80" i="2"/>
  <c r="U66" i="2"/>
  <c r="V66" i="2"/>
  <c r="W66" i="2"/>
  <c r="X66" i="2"/>
  <c r="Y66" i="2"/>
  <c r="Z66" i="2"/>
  <c r="U64" i="2"/>
  <c r="V64" i="2"/>
  <c r="W64" i="2"/>
  <c r="X64" i="2"/>
  <c r="Y64" i="2"/>
  <c r="Z64" i="2"/>
  <c r="U65" i="2"/>
  <c r="V65" i="2"/>
  <c r="W65" i="2"/>
  <c r="X65" i="2"/>
  <c r="Y65" i="2"/>
  <c r="Z65" i="2"/>
  <c r="U70" i="2"/>
  <c r="V70" i="2"/>
  <c r="W70" i="2"/>
  <c r="X70" i="2"/>
  <c r="Y70" i="2"/>
  <c r="Z70" i="2"/>
  <c r="U72" i="2"/>
  <c r="V72" i="2"/>
  <c r="W72" i="2"/>
  <c r="X72" i="2"/>
  <c r="Y72" i="2"/>
  <c r="Z72" i="2"/>
  <c r="U73" i="2"/>
  <c r="V73" i="2"/>
  <c r="W73" i="2"/>
  <c r="X73" i="2"/>
  <c r="Y73" i="2"/>
  <c r="Z73" i="2"/>
  <c r="U71" i="2"/>
  <c r="V71" i="2"/>
  <c r="W71" i="2"/>
  <c r="X71" i="2"/>
  <c r="Y71" i="2"/>
  <c r="Z71" i="2"/>
  <c r="U76" i="2"/>
  <c r="V76" i="2"/>
  <c r="W76" i="2"/>
  <c r="X76" i="2"/>
  <c r="Y76" i="2"/>
  <c r="Z76" i="2"/>
  <c r="U69" i="2"/>
  <c r="V69" i="2"/>
  <c r="W69" i="2"/>
  <c r="X69" i="2"/>
  <c r="Y69" i="2"/>
  <c r="Z69" i="2"/>
  <c r="U67" i="2"/>
  <c r="V67" i="2"/>
  <c r="W67" i="2"/>
  <c r="X67" i="2"/>
  <c r="Y67" i="2"/>
  <c r="Z67" i="2"/>
  <c r="U78" i="2"/>
  <c r="V78" i="2"/>
  <c r="W78" i="2"/>
  <c r="X78" i="2"/>
  <c r="Y78" i="2"/>
  <c r="Z78" i="2"/>
  <c r="U68" i="2"/>
  <c r="V68" i="2"/>
  <c r="W68" i="2"/>
  <c r="X68" i="2"/>
  <c r="Y68" i="2"/>
  <c r="Z68" i="2"/>
  <c r="U74" i="2"/>
  <c r="V74" i="2"/>
  <c r="W74" i="2"/>
  <c r="X74" i="2"/>
  <c r="Y74" i="2"/>
  <c r="Z74" i="2"/>
  <c r="U77" i="2"/>
  <c r="V77" i="2"/>
  <c r="W77" i="2"/>
  <c r="X77" i="2"/>
  <c r="Y77" i="2"/>
  <c r="Z77" i="2"/>
  <c r="U75" i="2"/>
  <c r="V75" i="2"/>
  <c r="W75" i="2"/>
  <c r="X75" i="2"/>
  <c r="Y75" i="2"/>
  <c r="Z75" i="2"/>
  <c r="T65" i="2"/>
  <c r="T70" i="2"/>
  <c r="T72" i="2"/>
  <c r="T73" i="2"/>
  <c r="T71" i="2"/>
  <c r="T76" i="2"/>
  <c r="T69" i="2"/>
  <c r="T67" i="2"/>
  <c r="T78" i="2"/>
  <c r="T68" i="2"/>
  <c r="T74" i="2"/>
  <c r="T77" i="2"/>
  <c r="T75" i="2"/>
  <c r="T64" i="2"/>
  <c r="T66" i="2"/>
  <c r="V56" i="2"/>
  <c r="W56" i="2"/>
  <c r="U57" i="2"/>
  <c r="T34" i="2"/>
  <c r="U34" i="2"/>
  <c r="U17" i="2"/>
  <c r="N17" i="12"/>
  <c r="N16" i="12" s="1"/>
  <c r="O16" i="12" s="1"/>
  <c r="P16" i="12" s="1"/>
  <c r="I16" i="12"/>
  <c r="H16" i="12"/>
  <c r="J16" i="12" s="1"/>
  <c r="P15" i="12"/>
  <c r="G15" i="12"/>
  <c r="R14" i="12"/>
  <c r="Q14" i="12"/>
  <c r="I14" i="12"/>
  <c r="H14" i="12"/>
  <c r="E14" i="12"/>
  <c r="R13" i="12"/>
  <c r="Q13" i="12"/>
  <c r="I13" i="12"/>
  <c r="H13" i="12"/>
  <c r="E13" i="12"/>
  <c r="R12" i="12"/>
  <c r="Q12" i="12"/>
  <c r="I12" i="12"/>
  <c r="H12" i="12"/>
  <c r="E12" i="12"/>
  <c r="R11" i="12"/>
  <c r="Q11" i="12"/>
  <c r="I11" i="12"/>
  <c r="H11" i="12"/>
  <c r="E11" i="12"/>
  <c r="R10" i="12"/>
  <c r="Q10" i="12"/>
  <c r="I10" i="12"/>
  <c r="H10" i="12"/>
  <c r="E10" i="12"/>
  <c r="P9" i="12"/>
  <c r="G9" i="12"/>
  <c r="R8" i="12"/>
  <c r="Q8" i="12"/>
  <c r="I8" i="12"/>
  <c r="H8" i="12"/>
  <c r="E8" i="12"/>
  <c r="R7" i="12"/>
  <c r="Q7" i="12"/>
  <c r="I7" i="12"/>
  <c r="H7" i="12"/>
  <c r="E7" i="12"/>
  <c r="R6" i="12"/>
  <c r="Q6" i="12"/>
  <c r="I6" i="12"/>
  <c r="H6" i="12"/>
  <c r="E6" i="12"/>
  <c r="R5" i="12"/>
  <c r="Q5" i="12"/>
  <c r="I5" i="12"/>
  <c r="H5" i="12"/>
  <c r="E5" i="12"/>
  <c r="R4" i="12"/>
  <c r="Q4" i="12"/>
  <c r="I4" i="12"/>
  <c r="H4" i="12"/>
  <c r="E4" i="12"/>
  <c r="AH78" i="2" l="1"/>
  <c r="AD78" i="2"/>
  <c r="AG78" i="2"/>
  <c r="AJ78" i="2"/>
  <c r="AF78" i="2"/>
  <c r="AI78" i="2"/>
  <c r="AE78" i="2"/>
  <c r="AJ81" i="2"/>
  <c r="AF81" i="2"/>
  <c r="AI81" i="2"/>
  <c r="AE81" i="2"/>
  <c r="AH81" i="2"/>
  <c r="AD81" i="2"/>
  <c r="AG81" i="2"/>
  <c r="AI85" i="2"/>
  <c r="AE85" i="2"/>
  <c r="AH85" i="2"/>
  <c r="AD85" i="2"/>
  <c r="AG85" i="2"/>
  <c r="AF85" i="2"/>
  <c r="AJ85" i="2"/>
  <c r="AD100" i="2"/>
  <c r="AF34" i="2"/>
  <c r="AD34" i="2"/>
  <c r="AE34" i="2"/>
  <c r="Z54" i="2"/>
  <c r="AG77" i="2"/>
  <c r="AJ77" i="2"/>
  <c r="AF77" i="2"/>
  <c r="AI77" i="2"/>
  <c r="AE77" i="2"/>
  <c r="AH77" i="2"/>
  <c r="AD77" i="2"/>
  <c r="AI67" i="2"/>
  <c r="AE67" i="2"/>
  <c r="AH67" i="2"/>
  <c r="AD67" i="2"/>
  <c r="AG67" i="2"/>
  <c r="AF67" i="2"/>
  <c r="AJ67" i="2"/>
  <c r="AG73" i="2"/>
  <c r="AJ73" i="2"/>
  <c r="AF73" i="2"/>
  <c r="AI73" i="2"/>
  <c r="AE73" i="2"/>
  <c r="AD73" i="2"/>
  <c r="AH73" i="2"/>
  <c r="AG82" i="2"/>
  <c r="AJ82" i="2"/>
  <c r="AF82" i="2"/>
  <c r="AI82" i="2"/>
  <c r="AE82" i="2"/>
  <c r="AD82" i="2"/>
  <c r="AH82" i="2"/>
  <c r="AJ86" i="2"/>
  <c r="AF86" i="2"/>
  <c r="AI86" i="2"/>
  <c r="AE86" i="2"/>
  <c r="AH86" i="2"/>
  <c r="AD86" i="2"/>
  <c r="AG86" i="2"/>
  <c r="AH94" i="2"/>
  <c r="AD94" i="2"/>
  <c r="AG94" i="2"/>
  <c r="AJ94" i="2"/>
  <c r="AF94" i="2"/>
  <c r="AE94" i="2"/>
  <c r="AI94" i="2"/>
  <c r="AD95" i="2"/>
  <c r="AD26" i="2"/>
  <c r="AD18" i="2"/>
  <c r="AI75" i="2"/>
  <c r="AE75" i="2"/>
  <c r="AH75" i="2"/>
  <c r="AD75" i="2"/>
  <c r="AG75" i="2"/>
  <c r="AF75" i="2"/>
  <c r="AJ75" i="2"/>
  <c r="AG65" i="2"/>
  <c r="AJ65" i="2"/>
  <c r="AF65" i="2"/>
  <c r="AI65" i="2"/>
  <c r="AE65" i="2"/>
  <c r="AD65" i="2"/>
  <c r="AH65" i="2"/>
  <c r="AG97" i="2"/>
  <c r="AJ97" i="2"/>
  <c r="AF97" i="2"/>
  <c r="AI97" i="2"/>
  <c r="AE97" i="2"/>
  <c r="AH97" i="2"/>
  <c r="AD97" i="2"/>
  <c r="AD7" i="2"/>
  <c r="AD54" i="2"/>
  <c r="Y9" i="2"/>
  <c r="AH66" i="2"/>
  <c r="AD66" i="2"/>
  <c r="AG66" i="2"/>
  <c r="AJ66" i="2"/>
  <c r="AF66" i="2"/>
  <c r="AE66" i="2"/>
  <c r="AI66" i="2"/>
  <c r="AH74" i="2"/>
  <c r="AD74" i="2"/>
  <c r="AG74" i="2"/>
  <c r="AJ74" i="2"/>
  <c r="AF74" i="2"/>
  <c r="AE74" i="2"/>
  <c r="AI74" i="2"/>
  <c r="AG69" i="2"/>
  <c r="AJ69" i="2"/>
  <c r="AF69" i="2"/>
  <c r="AI69" i="2"/>
  <c r="AE69" i="2"/>
  <c r="AH69" i="2"/>
  <c r="AD69" i="2"/>
  <c r="AJ72" i="2"/>
  <c r="AF72" i="2"/>
  <c r="AI72" i="2"/>
  <c r="AE72" i="2"/>
  <c r="AH72" i="2"/>
  <c r="AD72" i="2"/>
  <c r="AG72" i="2"/>
  <c r="AH84" i="2"/>
  <c r="AD84" i="2"/>
  <c r="AG84" i="2"/>
  <c r="AJ84" i="2"/>
  <c r="AF84" i="2"/>
  <c r="AE84" i="2"/>
  <c r="AI84" i="2"/>
  <c r="AG93" i="2"/>
  <c r="AJ93" i="2"/>
  <c r="AF93" i="2"/>
  <c r="AI93" i="2"/>
  <c r="AE93" i="2"/>
  <c r="AD93" i="2"/>
  <c r="AH93" i="2"/>
  <c r="AI99" i="2"/>
  <c r="AE99" i="2"/>
  <c r="AH99" i="2"/>
  <c r="AD99" i="2"/>
  <c r="AG99" i="2"/>
  <c r="AJ99" i="2"/>
  <c r="AF99" i="2"/>
  <c r="AG101" i="2"/>
  <c r="AJ101" i="2"/>
  <c r="AF101" i="2"/>
  <c r="AI101" i="2"/>
  <c r="AE101" i="2"/>
  <c r="AD101" i="2"/>
  <c r="AH101" i="2"/>
  <c r="AD10" i="2"/>
  <c r="AD38" i="2"/>
  <c r="AD56" i="2"/>
  <c r="AI71" i="2"/>
  <c r="AE71" i="2"/>
  <c r="AH71" i="2"/>
  <c r="AD71" i="2"/>
  <c r="AG71" i="2"/>
  <c r="AJ71" i="2"/>
  <c r="AF71" i="2"/>
  <c r="AJ64" i="2"/>
  <c r="AF64" i="2"/>
  <c r="AI64" i="2"/>
  <c r="AE64" i="2"/>
  <c r="AH64" i="2"/>
  <c r="AD64" i="2"/>
  <c r="AG64" i="2"/>
  <c r="AJ68" i="2"/>
  <c r="AF68" i="2"/>
  <c r="AI68" i="2"/>
  <c r="AE68" i="2"/>
  <c r="AH68" i="2"/>
  <c r="AD68" i="2"/>
  <c r="AG68" i="2"/>
  <c r="AJ76" i="2"/>
  <c r="AF76" i="2"/>
  <c r="AI76" i="2"/>
  <c r="AE76" i="2"/>
  <c r="AH76" i="2"/>
  <c r="AD76" i="2"/>
  <c r="AG76" i="2"/>
  <c r="AH70" i="2"/>
  <c r="AD70" i="2"/>
  <c r="AG70" i="2"/>
  <c r="AJ70" i="2"/>
  <c r="AF70" i="2"/>
  <c r="AI70" i="2"/>
  <c r="AE70" i="2"/>
  <c r="AI80" i="2"/>
  <c r="AE80" i="2"/>
  <c r="AH80" i="2"/>
  <c r="AD80" i="2"/>
  <c r="AD79" i="2" s="1"/>
  <c r="AG80" i="2"/>
  <c r="AJ80" i="2"/>
  <c r="AF80" i="2"/>
  <c r="AJ96" i="2"/>
  <c r="AF96" i="2"/>
  <c r="AI96" i="2"/>
  <c r="AE96" i="2"/>
  <c r="AH96" i="2"/>
  <c r="AD96" i="2"/>
  <c r="AG96" i="2"/>
  <c r="AH98" i="2"/>
  <c r="AD98" i="2"/>
  <c r="AG98" i="2"/>
  <c r="AJ98" i="2"/>
  <c r="AF98" i="2"/>
  <c r="AI98" i="2"/>
  <c r="AE98" i="2"/>
  <c r="AD16" i="2"/>
  <c r="AD39" i="2"/>
  <c r="R15" i="12"/>
  <c r="Z56" i="2"/>
  <c r="Y56" i="2"/>
  <c r="T37" i="2"/>
  <c r="U56" i="2"/>
  <c r="AJ56" i="2" s="1"/>
  <c r="R9" i="12"/>
  <c r="W17" i="2"/>
  <c r="T41" i="2"/>
  <c r="X37" i="2"/>
  <c r="V38" i="2"/>
  <c r="Y11" i="2"/>
  <c r="U27" i="2"/>
  <c r="Y23" i="2"/>
  <c r="Y15" i="2"/>
  <c r="Y27" i="2"/>
  <c r="X41" i="2"/>
  <c r="X34" i="2"/>
  <c r="Y57" i="2"/>
  <c r="X56" i="2"/>
  <c r="T43" i="2"/>
  <c r="Y34" i="2"/>
  <c r="X33" i="2"/>
  <c r="W31" i="2"/>
  <c r="X43" i="2"/>
  <c r="W41" i="2"/>
  <c r="W37" i="2"/>
  <c r="Z38" i="2"/>
  <c r="X9" i="2"/>
  <c r="T9" i="2"/>
  <c r="W9" i="2"/>
  <c r="V29" i="2"/>
  <c r="Z41" i="2"/>
  <c r="V41" i="2"/>
  <c r="Z37" i="2"/>
  <c r="V37" i="2"/>
  <c r="W34" i="2"/>
  <c r="AJ34" i="2" s="1"/>
  <c r="U9" i="2"/>
  <c r="U29" i="2"/>
  <c r="Y41" i="2"/>
  <c r="Y37" i="2"/>
  <c r="Z34" i="2"/>
  <c r="W29" i="2"/>
  <c r="Z35" i="2"/>
  <c r="U5" i="2"/>
  <c r="Z5" i="2"/>
  <c r="W12" i="2"/>
  <c r="Y5" i="2"/>
  <c r="T12" i="2"/>
  <c r="V5" i="2"/>
  <c r="W26" i="2"/>
  <c r="V35" i="2"/>
  <c r="V11" i="2"/>
  <c r="U11" i="2"/>
  <c r="Z11" i="2"/>
  <c r="X12" i="2"/>
  <c r="T42" i="2"/>
  <c r="X8" i="2"/>
  <c r="Z28" i="2"/>
  <c r="T8" i="2"/>
  <c r="Z12" i="2"/>
  <c r="V12" i="2"/>
  <c r="Y12" i="2"/>
  <c r="W8" i="2"/>
  <c r="V28" i="2"/>
  <c r="Z55" i="2"/>
  <c r="Z8" i="2"/>
  <c r="V8" i="2"/>
  <c r="Z20" i="2"/>
  <c r="Y16" i="2"/>
  <c r="Y8" i="2"/>
  <c r="T20" i="2"/>
  <c r="X42" i="2"/>
  <c r="W39" i="2"/>
  <c r="Z15" i="2"/>
  <c r="Z27" i="2"/>
  <c r="V27" i="2"/>
  <c r="Z23" i="2"/>
  <c r="T23" i="2"/>
  <c r="Y33" i="2"/>
  <c r="U33" i="2"/>
  <c r="X31" i="2"/>
  <c r="T31" i="2"/>
  <c r="Y43" i="2"/>
  <c r="U43" i="2"/>
  <c r="W38" i="2"/>
  <c r="W63" i="2"/>
  <c r="E43" i="7" s="1"/>
  <c r="Y63" i="2"/>
  <c r="G43" i="7" s="1"/>
  <c r="U63" i="2"/>
  <c r="C43" i="7" s="1"/>
  <c r="W10" i="2"/>
  <c r="W15" i="2"/>
  <c r="X27" i="2"/>
  <c r="T27" i="2"/>
  <c r="W23" i="2"/>
  <c r="T33" i="2"/>
  <c r="W33" i="2"/>
  <c r="Z31" i="2"/>
  <c r="V31" i="2"/>
  <c r="W43" i="2"/>
  <c r="Y38" i="2"/>
  <c r="U38" i="2"/>
  <c r="AH38" i="2" s="1"/>
  <c r="Y54" i="2"/>
  <c r="U54" i="2"/>
  <c r="T79" i="2"/>
  <c r="B40" i="7" s="1"/>
  <c r="X63" i="2"/>
  <c r="F43" i="7" s="1"/>
  <c r="T15" i="2"/>
  <c r="Z33" i="2"/>
  <c r="Y31" i="2"/>
  <c r="Z43" i="2"/>
  <c r="X38" i="2"/>
  <c r="Z63" i="2"/>
  <c r="V63" i="2"/>
  <c r="D43" i="7" s="1"/>
  <c r="Y28" i="2"/>
  <c r="U28" i="2"/>
  <c r="Y20" i="2"/>
  <c r="W16" i="2"/>
  <c r="W42" i="2"/>
  <c r="Z39" i="2"/>
  <c r="V39" i="2"/>
  <c r="Y55" i="2"/>
  <c r="U55" i="2"/>
  <c r="W79" i="2"/>
  <c r="E40" i="7" s="1"/>
  <c r="X28" i="2"/>
  <c r="T28" i="2"/>
  <c r="W20" i="2"/>
  <c r="U16" i="2"/>
  <c r="Z42" i="2"/>
  <c r="V42" i="2"/>
  <c r="Y39" i="2"/>
  <c r="U39" i="2"/>
  <c r="AE39" i="2" s="1"/>
  <c r="T55" i="2"/>
  <c r="X79" i="2"/>
  <c r="F40" i="7" s="1"/>
  <c r="Z79" i="2"/>
  <c r="V79" i="2"/>
  <c r="D40" i="7" s="1"/>
  <c r="W7" i="2"/>
  <c r="Z16" i="2"/>
  <c r="Y42" i="2"/>
  <c r="X39" i="2"/>
  <c r="T63" i="2"/>
  <c r="B43" i="7" s="1"/>
  <c r="Y79" i="2"/>
  <c r="G40" i="7" s="1"/>
  <c r="T91" i="2"/>
  <c r="B35" i="7" s="1"/>
  <c r="X57" i="2"/>
  <c r="T57" i="2"/>
  <c r="W57" i="2"/>
  <c r="Z57" i="2"/>
  <c r="Z45" i="2"/>
  <c r="V45" i="2"/>
  <c r="Z36" i="2"/>
  <c r="V36" i="2"/>
  <c r="Y36" i="2"/>
  <c r="U36" i="2"/>
  <c r="Y35" i="2"/>
  <c r="U35" i="2"/>
  <c r="Y45" i="2"/>
  <c r="U45" i="2"/>
  <c r="AG45" i="2" s="1"/>
  <c r="X36" i="2"/>
  <c r="T36" i="2"/>
  <c r="X35" i="2"/>
  <c r="T35" i="2"/>
  <c r="X45" i="2"/>
  <c r="T45" i="2"/>
  <c r="U22" i="2"/>
  <c r="Z29" i="2"/>
  <c r="U21" i="2"/>
  <c r="W21" i="2"/>
  <c r="Z18" i="2"/>
  <c r="T17" i="2"/>
  <c r="U18" i="2"/>
  <c r="AE18" i="2" s="1"/>
  <c r="V26" i="2"/>
  <c r="Z22" i="2"/>
  <c r="T22" i="2"/>
  <c r="X29" i="2"/>
  <c r="T29" i="2"/>
  <c r="Y26" i="2"/>
  <c r="U26" i="2"/>
  <c r="AE26" i="2" s="1"/>
  <c r="Y22" i="2"/>
  <c r="Z21" i="2"/>
  <c r="T21" i="2"/>
  <c r="W18" i="2"/>
  <c r="Y17" i="2"/>
  <c r="Z26" i="2"/>
  <c r="Y18" i="2"/>
  <c r="X26" i="2"/>
  <c r="Z7" i="2"/>
  <c r="V7" i="2"/>
  <c r="Z10" i="2"/>
  <c r="V10" i="2"/>
  <c r="Y7" i="2"/>
  <c r="U7" i="2"/>
  <c r="AF7" i="2" s="1"/>
  <c r="X11" i="2"/>
  <c r="AJ11" i="2" s="1"/>
  <c r="T11" i="2"/>
  <c r="Y10" i="2"/>
  <c r="U10" i="2"/>
  <c r="AE10" i="2" s="1"/>
  <c r="X5" i="2"/>
  <c r="T5" i="2"/>
  <c r="X7" i="2"/>
  <c r="X10" i="2"/>
  <c r="Z9" i="2"/>
  <c r="U79" i="2"/>
  <c r="C40" i="7" s="1"/>
  <c r="N15" i="12"/>
  <c r="O15" i="12" s="1"/>
  <c r="N9" i="12"/>
  <c r="O9" i="12" s="1"/>
  <c r="H9" i="12"/>
  <c r="J9" i="12" s="1"/>
  <c r="H15" i="12"/>
  <c r="H17" i="12" s="1"/>
  <c r="G17" i="12"/>
  <c r="I9" i="12"/>
  <c r="I15" i="12"/>
  <c r="Q9" i="12"/>
  <c r="Q15" i="12"/>
  <c r="Q16" i="12"/>
  <c r="Q17" i="12" s="1"/>
  <c r="S9" i="12" s="1"/>
  <c r="R16" i="12"/>
  <c r="R17" i="12" s="1"/>
  <c r="P17" i="12"/>
  <c r="AH45" i="2" l="1"/>
  <c r="AJ45" i="2"/>
  <c r="AI54" i="2"/>
  <c r="AG11" i="2"/>
  <c r="AF79" i="2"/>
  <c r="AH79" i="2"/>
  <c r="AJ79" i="2"/>
  <c r="AE79" i="2"/>
  <c r="AG79" i="2"/>
  <c r="AI79" i="2"/>
  <c r="AH5" i="2"/>
  <c r="AD5" i="2"/>
  <c r="AG5" i="2"/>
  <c r="AJ5" i="2"/>
  <c r="AF5" i="2"/>
  <c r="AE5" i="2"/>
  <c r="AI5" i="2"/>
  <c r="AF11" i="2"/>
  <c r="AE11" i="2"/>
  <c r="AD11" i="2"/>
  <c r="AD22" i="2"/>
  <c r="AE22" i="2"/>
  <c r="AE17" i="2"/>
  <c r="AD17" i="2"/>
  <c r="AG35" i="2"/>
  <c r="AI35" i="2"/>
  <c r="AE35" i="2"/>
  <c r="AJ35" i="2"/>
  <c r="AD35" i="2"/>
  <c r="AH35" i="2"/>
  <c r="AF35" i="2"/>
  <c r="AI57" i="2"/>
  <c r="AE57" i="2"/>
  <c r="AH57" i="2"/>
  <c r="AD57" i="2"/>
  <c r="AG57" i="2"/>
  <c r="AF57" i="2"/>
  <c r="AJ57" i="2"/>
  <c r="AJ55" i="2"/>
  <c r="AI55" i="2"/>
  <c r="AE55" i="2"/>
  <c r="AG55" i="2"/>
  <c r="AD55" i="2"/>
  <c r="AF55" i="2"/>
  <c r="AH55" i="2"/>
  <c r="AI33" i="2"/>
  <c r="AE33" i="2"/>
  <c r="AG33" i="2"/>
  <c r="AH33" i="2"/>
  <c r="AD33" i="2"/>
  <c r="AJ33" i="2"/>
  <c r="AF33" i="2"/>
  <c r="AG31" i="2"/>
  <c r="AI31" i="2"/>
  <c r="AE31" i="2"/>
  <c r="AF31" i="2"/>
  <c r="AH31" i="2"/>
  <c r="AD31" i="2"/>
  <c r="AJ31" i="2"/>
  <c r="AE23" i="2"/>
  <c r="AD23" i="2"/>
  <c r="AI39" i="2"/>
  <c r="AE63" i="2"/>
  <c r="AI56" i="2"/>
  <c r="AG56" i="2"/>
  <c r="AI38" i="2"/>
  <c r="AF38" i="2"/>
  <c r="AG10" i="2"/>
  <c r="AI10" i="2"/>
  <c r="AD91" i="2"/>
  <c r="B52" i="3" s="1"/>
  <c r="AG54" i="2"/>
  <c r="AH54" i="2"/>
  <c r="AH7" i="2"/>
  <c r="AJ7" i="2"/>
  <c r="AJ26" i="2"/>
  <c r="AG26" i="2"/>
  <c r="AG34" i="2"/>
  <c r="AH34" i="2"/>
  <c r="AE21" i="2"/>
  <c r="AD21" i="2"/>
  <c r="AE15" i="2"/>
  <c r="AD15" i="2"/>
  <c r="AJ12" i="2"/>
  <c r="AH9" i="2"/>
  <c r="AD9" i="2"/>
  <c r="AG9" i="2"/>
  <c r="AJ9" i="2"/>
  <c r="AF9" i="2"/>
  <c r="AI9" i="2"/>
  <c r="AE9" i="2"/>
  <c r="AH39" i="2"/>
  <c r="AG39" i="2"/>
  <c r="AG63" i="2"/>
  <c r="AI63" i="2"/>
  <c r="AE56" i="2"/>
  <c r="AE38" i="2"/>
  <c r="AJ38" i="2"/>
  <c r="AF54" i="2"/>
  <c r="AE7" i="2"/>
  <c r="AI11" i="2"/>
  <c r="AG29" i="2"/>
  <c r="AI29" i="2"/>
  <c r="AJ29" i="2"/>
  <c r="AD29" i="2"/>
  <c r="AH29" i="2"/>
  <c r="AE29" i="2"/>
  <c r="AF29" i="2"/>
  <c r="AE45" i="2"/>
  <c r="AD45" i="2"/>
  <c r="AF45" i="2"/>
  <c r="AH36" i="2"/>
  <c r="AD36" i="2"/>
  <c r="AJ36" i="2"/>
  <c r="AF36" i="2"/>
  <c r="AG36" i="2"/>
  <c r="AI36" i="2"/>
  <c r="AE36" i="2"/>
  <c r="AD27" i="2"/>
  <c r="AH27" i="2"/>
  <c r="AF27" i="2"/>
  <c r="AE27" i="2"/>
  <c r="AG27" i="2"/>
  <c r="AI27" i="2"/>
  <c r="AJ27" i="2"/>
  <c r="AJ42" i="2"/>
  <c r="AF42" i="2"/>
  <c r="AH42" i="2"/>
  <c r="AD42" i="2"/>
  <c r="AI42" i="2"/>
  <c r="AE42" i="2"/>
  <c r="AG42" i="2"/>
  <c r="AH11" i="2"/>
  <c r="AG12" i="2"/>
  <c r="AF12" i="2"/>
  <c r="AE12" i="2"/>
  <c r="AH12" i="2"/>
  <c r="AD12" i="2"/>
  <c r="AG43" i="2"/>
  <c r="AI43" i="2"/>
  <c r="AE43" i="2"/>
  <c r="AJ43" i="2"/>
  <c r="AF43" i="2"/>
  <c r="AH43" i="2"/>
  <c r="AD43" i="2"/>
  <c r="AI41" i="2"/>
  <c r="AE41" i="2"/>
  <c r="AG41" i="2"/>
  <c r="AH41" i="2"/>
  <c r="AJ41" i="2"/>
  <c r="AF41" i="2"/>
  <c r="AD41" i="2"/>
  <c r="AI37" i="2"/>
  <c r="AE37" i="2"/>
  <c r="AG37" i="2"/>
  <c r="AD37" i="2"/>
  <c r="AF37" i="2"/>
  <c r="AJ37" i="2"/>
  <c r="AH37" i="2"/>
  <c r="AI45" i="2"/>
  <c r="AF39" i="2"/>
  <c r="AE16" i="2"/>
  <c r="AI12" i="2"/>
  <c r="AD63" i="2"/>
  <c r="AF63" i="2"/>
  <c r="AF56" i="2"/>
  <c r="AH56" i="2"/>
  <c r="AF10" i="2"/>
  <c r="AH10" i="2"/>
  <c r="AE54" i="2"/>
  <c r="AJ54" i="2"/>
  <c r="AG7" i="2"/>
  <c r="AI7" i="2"/>
  <c r="AH26" i="2"/>
  <c r="AI26" i="2"/>
  <c r="AI34" i="2"/>
  <c r="AE28" i="2"/>
  <c r="AI28" i="2"/>
  <c r="AD28" i="2"/>
  <c r="AJ28" i="2"/>
  <c r="AG28" i="2"/>
  <c r="AH28" i="2"/>
  <c r="AF28" i="2"/>
  <c r="AD20" i="2"/>
  <c r="AE20" i="2"/>
  <c r="AG8" i="2"/>
  <c r="AJ8" i="2"/>
  <c r="AF8" i="2"/>
  <c r="AI8" i="2"/>
  <c r="AE8" i="2"/>
  <c r="AH8" i="2"/>
  <c r="AD8" i="2"/>
  <c r="AJ39" i="2"/>
  <c r="AH63" i="2"/>
  <c r="AJ63" i="2"/>
  <c r="AG38" i="2"/>
  <c r="AJ10" i="2"/>
  <c r="AF26" i="2"/>
  <c r="I17" i="12"/>
  <c r="J15" i="12"/>
  <c r="J17" i="12" s="1"/>
  <c r="K18" i="12" s="1"/>
  <c r="O17" i="12"/>
  <c r="S15" i="12"/>
  <c r="S16" i="12"/>
  <c r="B15" i="7" l="1"/>
  <c r="K15" i="12"/>
  <c r="K9" i="12"/>
  <c r="K16" i="12"/>
  <c r="N20" i="2"/>
  <c r="N21" i="2"/>
  <c r="N22" i="2"/>
  <c r="N23" i="2"/>
  <c r="N19" i="2"/>
  <c r="N15" i="2"/>
  <c r="N16" i="2"/>
  <c r="N17" i="2"/>
  <c r="N18" i="2"/>
  <c r="P17" i="2" l="1"/>
  <c r="X17" i="2" s="1"/>
  <c r="V17" i="2"/>
  <c r="P23" i="2"/>
  <c r="X23" i="2" s="1"/>
  <c r="V23" i="2"/>
  <c r="P16" i="2"/>
  <c r="X16" i="2" s="1"/>
  <c r="V16" i="2"/>
  <c r="P22" i="2"/>
  <c r="X22" i="2" s="1"/>
  <c r="V22" i="2"/>
  <c r="P15" i="2"/>
  <c r="X15" i="2" s="1"/>
  <c r="V15" i="2"/>
  <c r="P21" i="2"/>
  <c r="X21" i="2" s="1"/>
  <c r="V21" i="2"/>
  <c r="P18" i="2"/>
  <c r="X18" i="2" s="1"/>
  <c r="V18" i="2"/>
  <c r="P19" i="2"/>
  <c r="P20" i="2"/>
  <c r="X20" i="2" s="1"/>
  <c r="V20" i="2"/>
  <c r="N14" i="2"/>
  <c r="AJ20" i="2" l="1"/>
  <c r="AI20" i="2"/>
  <c r="AH21" i="2"/>
  <c r="AG21" i="2"/>
  <c r="AF21" i="2"/>
  <c r="AH22" i="2"/>
  <c r="AG22" i="2"/>
  <c r="AF22" i="2"/>
  <c r="AH23" i="2"/>
  <c r="AG23" i="2"/>
  <c r="AF23" i="2"/>
  <c r="AJ21" i="2"/>
  <c r="AI21" i="2"/>
  <c r="AJ22" i="2"/>
  <c r="AI22" i="2"/>
  <c r="AJ23" i="2"/>
  <c r="AI23" i="2"/>
  <c r="AH17" i="2"/>
  <c r="AG17" i="2"/>
  <c r="AF17" i="2"/>
  <c r="AH18" i="2"/>
  <c r="AF18" i="2"/>
  <c r="AG18" i="2"/>
  <c r="AH15" i="2"/>
  <c r="AG15" i="2"/>
  <c r="AF15" i="2"/>
  <c r="AH16" i="2"/>
  <c r="AG16" i="2"/>
  <c r="AF16" i="2"/>
  <c r="AH20" i="2"/>
  <c r="AG20" i="2"/>
  <c r="AF20" i="2"/>
  <c r="AJ18" i="2"/>
  <c r="AI18" i="2"/>
  <c r="AJ15" i="2"/>
  <c r="AI15" i="2"/>
  <c r="AJ16" i="2"/>
  <c r="AI16" i="2"/>
  <c r="AJ17" i="2"/>
  <c r="AI17" i="2"/>
  <c r="P14" i="2"/>
  <c r="N24" i="2"/>
  <c r="G88" i="2"/>
  <c r="G87" i="2"/>
  <c r="G90" i="2"/>
  <c r="G89" i="2"/>
  <c r="G62" i="2"/>
  <c r="G61" i="2"/>
  <c r="G60" i="2"/>
  <c r="G59" i="2"/>
  <c r="G14" i="2"/>
  <c r="V14" i="2" s="1"/>
  <c r="G48" i="2"/>
  <c r="G49" i="2"/>
  <c r="G47" i="2"/>
  <c r="G51" i="2"/>
  <c r="G50" i="2"/>
  <c r="G40" i="2"/>
  <c r="G6" i="2"/>
  <c r="C40" i="4"/>
  <c r="B40" i="4"/>
  <c r="E40" i="4" s="1"/>
  <c r="E41" i="4" s="1"/>
  <c r="C29" i="4"/>
  <c r="J29" i="4" s="1"/>
  <c r="H28" i="3" s="1"/>
  <c r="B26" i="4"/>
  <c r="B27" i="4"/>
  <c r="B28" i="4"/>
  <c r="B29" i="4"/>
  <c r="B30" i="4"/>
  <c r="B31" i="4"/>
  <c r="B32" i="4"/>
  <c r="B33" i="4"/>
  <c r="B34" i="4"/>
  <c r="B25" i="4"/>
  <c r="E19" i="4"/>
  <c r="F19" i="4"/>
  <c r="G19" i="4"/>
  <c r="H19" i="4"/>
  <c r="I19" i="4"/>
  <c r="J19" i="4"/>
  <c r="D19" i="4"/>
  <c r="E15" i="4"/>
  <c r="F15" i="4"/>
  <c r="G15" i="4"/>
  <c r="H15" i="4"/>
  <c r="I15" i="4"/>
  <c r="J15" i="4"/>
  <c r="D15" i="4"/>
  <c r="D21" i="4" s="1"/>
  <c r="C6" i="4"/>
  <c r="C26" i="4" s="1"/>
  <c r="C7" i="4"/>
  <c r="C27" i="4" s="1"/>
  <c r="C8" i="4"/>
  <c r="C28" i="4" s="1"/>
  <c r="C9" i="4"/>
  <c r="C10" i="4"/>
  <c r="C30" i="4" s="1"/>
  <c r="C11" i="4"/>
  <c r="C31" i="4" s="1"/>
  <c r="C12" i="4"/>
  <c r="C32" i="4" s="1"/>
  <c r="D32" i="4" s="1"/>
  <c r="B41" i="3" s="1"/>
  <c r="C13" i="4"/>
  <c r="C33" i="4" s="1"/>
  <c r="C14" i="4"/>
  <c r="C34" i="4" s="1"/>
  <c r="C5" i="4"/>
  <c r="C25" i="4" s="1"/>
  <c r="B37" i="1"/>
  <c r="K21" i="1"/>
  <c r="K20" i="1"/>
  <c r="K19" i="1"/>
  <c r="K18" i="1"/>
  <c r="K17" i="1"/>
  <c r="K16" i="1"/>
  <c r="K15" i="1"/>
  <c r="K7" i="1"/>
  <c r="K8" i="1"/>
  <c r="K9" i="1"/>
  <c r="K10" i="1"/>
  <c r="K11" i="1"/>
  <c r="K12" i="1"/>
  <c r="K6" i="1"/>
  <c r="J21" i="1"/>
  <c r="L21" i="1" s="1"/>
  <c r="J20" i="1"/>
  <c r="L20" i="1" s="1"/>
  <c r="J19" i="1"/>
  <c r="L19" i="1" s="1"/>
  <c r="J18" i="1"/>
  <c r="L18" i="1" s="1"/>
  <c r="J17" i="1"/>
  <c r="L17" i="1" s="1"/>
  <c r="J16" i="1"/>
  <c r="L16" i="1" s="1"/>
  <c r="J15" i="1"/>
  <c r="L15" i="1" s="1"/>
  <c r="J7" i="1"/>
  <c r="L7" i="1" s="1"/>
  <c r="J8" i="1"/>
  <c r="L8" i="1" s="1"/>
  <c r="J9" i="1"/>
  <c r="L9" i="1" s="1"/>
  <c r="J10" i="1"/>
  <c r="L10" i="1" s="1"/>
  <c r="J11" i="1"/>
  <c r="L11" i="1" s="1"/>
  <c r="J12" i="1"/>
  <c r="L12" i="1" s="1"/>
  <c r="J6" i="1"/>
  <c r="L6" i="1" s="1"/>
  <c r="F31" i="4" l="1"/>
  <c r="E31" i="4"/>
  <c r="J31" i="4"/>
  <c r="D31" i="4"/>
  <c r="D28" i="4"/>
  <c r="B27" i="3" s="1"/>
  <c r="H28" i="4"/>
  <c r="F27" i="3" s="1"/>
  <c r="I28" i="4"/>
  <c r="G27" i="3" s="1"/>
  <c r="J28" i="4"/>
  <c r="H27" i="3" s="1"/>
  <c r="E28" i="4"/>
  <c r="C27" i="3" s="1"/>
  <c r="F28" i="4"/>
  <c r="D27" i="3" s="1"/>
  <c r="G28" i="4"/>
  <c r="E27" i="3" s="1"/>
  <c r="E30" i="4"/>
  <c r="C39" i="3" s="1"/>
  <c r="F30" i="4"/>
  <c r="D39" i="3" s="1"/>
  <c r="G30" i="4"/>
  <c r="E39" i="3" s="1"/>
  <c r="H30" i="4"/>
  <c r="F39" i="3" s="1"/>
  <c r="I30" i="4"/>
  <c r="G39" i="3" s="1"/>
  <c r="J30" i="4"/>
  <c r="H39" i="3" s="1"/>
  <c r="G25" i="4"/>
  <c r="E38" i="3" s="1"/>
  <c r="H25" i="4"/>
  <c r="F38" i="3" s="1"/>
  <c r="I25" i="4"/>
  <c r="G38" i="3" s="1"/>
  <c r="J25" i="4"/>
  <c r="H38" i="3" s="1"/>
  <c r="D25" i="4"/>
  <c r="B38" i="3" s="1"/>
  <c r="E25" i="4"/>
  <c r="C38" i="3" s="1"/>
  <c r="F25" i="4"/>
  <c r="D38" i="3" s="1"/>
  <c r="E34" i="4"/>
  <c r="C43" i="3" s="1"/>
  <c r="F34" i="4"/>
  <c r="D43" i="3" s="1"/>
  <c r="G34" i="4"/>
  <c r="E43" i="3" s="1"/>
  <c r="H34" i="4"/>
  <c r="F43" i="3" s="1"/>
  <c r="I34" i="4"/>
  <c r="G43" i="3" s="1"/>
  <c r="J34" i="4"/>
  <c r="H43" i="3" s="1"/>
  <c r="E26" i="4"/>
  <c r="C25" i="3" s="1"/>
  <c r="F26" i="4"/>
  <c r="D25" i="3" s="1"/>
  <c r="G26" i="4"/>
  <c r="E25" i="3" s="1"/>
  <c r="H26" i="4"/>
  <c r="F25" i="3" s="1"/>
  <c r="I26" i="4"/>
  <c r="G25" i="3" s="1"/>
  <c r="J26" i="4"/>
  <c r="H25" i="3" s="1"/>
  <c r="F27" i="4"/>
  <c r="D26" i="3" s="1"/>
  <c r="G27" i="4"/>
  <c r="E26" i="3" s="1"/>
  <c r="H27" i="4"/>
  <c r="F26" i="3" s="1"/>
  <c r="I27" i="4"/>
  <c r="G26" i="3" s="1"/>
  <c r="J27" i="4"/>
  <c r="H26" i="3" s="1"/>
  <c r="D27" i="4"/>
  <c r="B26" i="3" s="1"/>
  <c r="E27" i="4"/>
  <c r="C26" i="3" s="1"/>
  <c r="J33" i="4"/>
  <c r="H42" i="3" s="1"/>
  <c r="E33" i="4"/>
  <c r="C42" i="3" s="1"/>
  <c r="F33" i="4"/>
  <c r="D42" i="3" s="1"/>
  <c r="G33" i="4"/>
  <c r="E42" i="3" s="1"/>
  <c r="H33" i="4"/>
  <c r="F42" i="3" s="1"/>
  <c r="I33" i="4"/>
  <c r="G42" i="3" s="1"/>
  <c r="N100" i="2"/>
  <c r="V100" i="2" s="1"/>
  <c r="N95" i="2"/>
  <c r="V95" i="2" s="1"/>
  <c r="G32" i="4"/>
  <c r="E41" i="3" s="1"/>
  <c r="I29" i="4"/>
  <c r="G28" i="3" s="1"/>
  <c r="J40" i="4"/>
  <c r="J41" i="4" s="1"/>
  <c r="E21" i="4"/>
  <c r="M100" i="2"/>
  <c r="U100" i="2" s="1"/>
  <c r="M95" i="2"/>
  <c r="U95" i="2" s="1"/>
  <c r="F32" i="4"/>
  <c r="D41" i="3" s="1"/>
  <c r="H29" i="4"/>
  <c r="F28" i="3" s="1"/>
  <c r="I40" i="4"/>
  <c r="I41" i="4" s="1"/>
  <c r="E32" i="4"/>
  <c r="C41" i="3" s="1"/>
  <c r="G29" i="4"/>
  <c r="E28" i="3" s="1"/>
  <c r="H40" i="4"/>
  <c r="H41" i="4" s="1"/>
  <c r="F29" i="4"/>
  <c r="D28" i="3" s="1"/>
  <c r="G40" i="4"/>
  <c r="G41" i="4" s="1"/>
  <c r="R100" i="2"/>
  <c r="Z100" i="2" s="1"/>
  <c r="R95" i="2"/>
  <c r="Z95" i="2" s="1"/>
  <c r="I31" i="4"/>
  <c r="G40" i="3" s="1"/>
  <c r="E29" i="4"/>
  <c r="C28" i="3" s="1"/>
  <c r="F40" i="4"/>
  <c r="F41" i="4" s="1"/>
  <c r="I21" i="4"/>
  <c r="Q95" i="2"/>
  <c r="Y95" i="2" s="1"/>
  <c r="Q100" i="2"/>
  <c r="Y100" i="2" s="1"/>
  <c r="J32" i="4"/>
  <c r="H41" i="3" s="1"/>
  <c r="H31" i="4"/>
  <c r="F40" i="3" s="1"/>
  <c r="D40" i="4"/>
  <c r="D41" i="4" s="1"/>
  <c r="P95" i="2"/>
  <c r="X95" i="2" s="1"/>
  <c r="P100" i="2"/>
  <c r="X100" i="2" s="1"/>
  <c r="I32" i="4"/>
  <c r="G41" i="3" s="1"/>
  <c r="G31" i="4"/>
  <c r="G21" i="4"/>
  <c r="O95" i="2"/>
  <c r="W95" i="2" s="1"/>
  <c r="O100" i="2"/>
  <c r="W100" i="2" s="1"/>
  <c r="H32" i="4"/>
  <c r="F41" i="3" s="1"/>
  <c r="C40" i="3"/>
  <c r="H40" i="3"/>
  <c r="W60" i="2"/>
  <c r="T60" i="2"/>
  <c r="X60" i="2"/>
  <c r="V60" i="2"/>
  <c r="U60" i="2"/>
  <c r="Y60" i="2"/>
  <c r="Z60" i="2"/>
  <c r="U90" i="2"/>
  <c r="Y90" i="2"/>
  <c r="V90" i="2"/>
  <c r="Z90" i="2"/>
  <c r="W90" i="2"/>
  <c r="T90" i="2"/>
  <c r="X90" i="2"/>
  <c r="W88" i="2"/>
  <c r="V88" i="2"/>
  <c r="X88" i="2"/>
  <c r="Z88" i="2"/>
  <c r="U88" i="2"/>
  <c r="Y88" i="2"/>
  <c r="T88" i="2"/>
  <c r="U6" i="2"/>
  <c r="Y6" i="2"/>
  <c r="Y4" i="2" s="1"/>
  <c r="G39" i="7" s="1"/>
  <c r="V6" i="2"/>
  <c r="Z6" i="2"/>
  <c r="Z4" i="2" s="1"/>
  <c r="W6" i="2"/>
  <c r="W4" i="2" s="1"/>
  <c r="E39" i="7" s="1"/>
  <c r="T6" i="2"/>
  <c r="X6" i="2"/>
  <c r="X4" i="2" s="1"/>
  <c r="F39" i="7" s="1"/>
  <c r="U59" i="2"/>
  <c r="Y59" i="2"/>
  <c r="X59" i="2"/>
  <c r="V59" i="2"/>
  <c r="Z59" i="2"/>
  <c r="T59" i="2"/>
  <c r="W59" i="2"/>
  <c r="W89" i="2"/>
  <c r="Z89" i="2"/>
  <c r="X89" i="2"/>
  <c r="U89" i="2"/>
  <c r="Y89" i="2"/>
  <c r="V89" i="2"/>
  <c r="T89" i="2"/>
  <c r="V50" i="2"/>
  <c r="Z50" i="2"/>
  <c r="T50" i="2"/>
  <c r="X50" i="2"/>
  <c r="Y50" i="2"/>
  <c r="W50" i="2"/>
  <c r="U50" i="2"/>
  <c r="V47" i="2"/>
  <c r="Z47" i="2"/>
  <c r="W47" i="2"/>
  <c r="T47" i="2"/>
  <c r="X47" i="2"/>
  <c r="U47" i="2"/>
  <c r="Y47" i="2"/>
  <c r="T48" i="2"/>
  <c r="X48" i="2"/>
  <c r="V48" i="2"/>
  <c r="W48" i="2"/>
  <c r="U48" i="2"/>
  <c r="Y48" i="2"/>
  <c r="Z48" i="2"/>
  <c r="X40" i="2"/>
  <c r="X30" i="2" s="1"/>
  <c r="F42" i="7" s="1"/>
  <c r="V40" i="2"/>
  <c r="V30" i="2" s="1"/>
  <c r="D42" i="7" s="1"/>
  <c r="T40" i="2"/>
  <c r="W40" i="2"/>
  <c r="W30" i="2" s="1"/>
  <c r="E42" i="7" s="1"/>
  <c r="U40" i="2"/>
  <c r="U30" i="2" s="1"/>
  <c r="C42" i="7" s="1"/>
  <c r="Y40" i="2"/>
  <c r="Y30" i="2" s="1"/>
  <c r="G42" i="7" s="1"/>
  <c r="Z40" i="2"/>
  <c r="Z30" i="2" s="1"/>
  <c r="X51" i="2"/>
  <c r="T51" i="2"/>
  <c r="U51" i="2"/>
  <c r="Y51" i="2"/>
  <c r="V51" i="2"/>
  <c r="Z51" i="2"/>
  <c r="W51" i="2"/>
  <c r="W49" i="2"/>
  <c r="U49" i="2"/>
  <c r="V49" i="2"/>
  <c r="T49" i="2"/>
  <c r="X49" i="2"/>
  <c r="Y49" i="2"/>
  <c r="Z49" i="2"/>
  <c r="V87" i="2"/>
  <c r="Z87" i="2"/>
  <c r="W87" i="2"/>
  <c r="Y87" i="2"/>
  <c r="X87" i="2"/>
  <c r="T87" i="2"/>
  <c r="U87" i="2"/>
  <c r="X61" i="2"/>
  <c r="U61" i="2"/>
  <c r="Y61" i="2"/>
  <c r="T61" i="2"/>
  <c r="V61" i="2"/>
  <c r="Z61" i="2"/>
  <c r="W61" i="2"/>
  <c r="V62" i="2"/>
  <c r="Z62" i="2"/>
  <c r="W62" i="2"/>
  <c r="U62" i="2"/>
  <c r="X62" i="2"/>
  <c r="T62" i="2"/>
  <c r="Y62" i="2"/>
  <c r="W53" i="2"/>
  <c r="V53" i="2"/>
  <c r="T53" i="2"/>
  <c r="X53" i="2"/>
  <c r="U53" i="2"/>
  <c r="Y53" i="2"/>
  <c r="Z53" i="2"/>
  <c r="W25" i="2"/>
  <c r="Y25" i="2"/>
  <c r="Z25" i="2"/>
  <c r="T25" i="2"/>
  <c r="X25" i="2"/>
  <c r="U25" i="2"/>
  <c r="V25" i="2"/>
  <c r="Y24" i="2"/>
  <c r="T24" i="2"/>
  <c r="Z24" i="2"/>
  <c r="U24" i="2"/>
  <c r="W24" i="2"/>
  <c r="Y19" i="2"/>
  <c r="T19" i="2"/>
  <c r="Z19" i="2"/>
  <c r="U19" i="2"/>
  <c r="W19" i="2"/>
  <c r="V19" i="2"/>
  <c r="X19" i="2"/>
  <c r="Z14" i="2"/>
  <c r="T14" i="2"/>
  <c r="Y14" i="2"/>
  <c r="U14" i="2"/>
  <c r="W14" i="2"/>
  <c r="X14" i="2"/>
  <c r="P24" i="2"/>
  <c r="X24" i="2" s="1"/>
  <c r="V24" i="2"/>
  <c r="D34" i="4"/>
  <c r="B43" i="3" s="1"/>
  <c r="D30" i="4"/>
  <c r="B39" i="3" s="1"/>
  <c r="D26" i="4"/>
  <c r="B25" i="3" s="1"/>
  <c r="D33" i="4"/>
  <c r="B42" i="3" s="1"/>
  <c r="D29" i="4"/>
  <c r="B28" i="3" s="1"/>
  <c r="H21" i="4"/>
  <c r="J21" i="4"/>
  <c r="F21" i="4"/>
  <c r="Z91" i="2" l="1"/>
  <c r="V91" i="2"/>
  <c r="D35" i="7" s="1"/>
  <c r="H24" i="3"/>
  <c r="H12" i="13" s="1"/>
  <c r="G24" i="3"/>
  <c r="G12" i="13" s="1"/>
  <c r="B40" i="3"/>
  <c r="B37" i="3" s="1"/>
  <c r="AI14" i="2"/>
  <c r="AG19" i="2"/>
  <c r="AI24" i="2"/>
  <c r="AJ19" i="2"/>
  <c r="AH25" i="2"/>
  <c r="AI62" i="2"/>
  <c r="AE62" i="2"/>
  <c r="AH62" i="2"/>
  <c r="AD62" i="2"/>
  <c r="AG62" i="2"/>
  <c r="AJ62" i="2"/>
  <c r="AF62" i="2"/>
  <c r="AG51" i="2"/>
  <c r="AE51" i="2"/>
  <c r="AI51" i="2"/>
  <c r="AH51" i="2"/>
  <c r="AD51" i="2"/>
  <c r="AJ51" i="2"/>
  <c r="AF51" i="2"/>
  <c r="V4" i="2"/>
  <c r="D39" i="7" s="1"/>
  <c r="AJ6" i="2"/>
  <c r="AJ4" i="2" s="1"/>
  <c r="AG14" i="2"/>
  <c r="AG24" i="2"/>
  <c r="AH61" i="2"/>
  <c r="AD61" i="2"/>
  <c r="AG61" i="2"/>
  <c r="AJ61" i="2"/>
  <c r="AF61" i="2"/>
  <c r="AI61" i="2"/>
  <c r="AE61" i="2"/>
  <c r="T4" i="2"/>
  <c r="B39" i="7" s="1"/>
  <c r="AE6" i="2"/>
  <c r="AE4" i="2" s="1"/>
  <c r="AH6" i="2"/>
  <c r="AH4" i="2" s="1"/>
  <c r="AD6" i="2"/>
  <c r="AD4" i="2" s="1"/>
  <c r="AG6" i="2"/>
  <c r="AG4" i="2" s="1"/>
  <c r="AF6" i="2"/>
  <c r="AF4" i="2" s="1"/>
  <c r="AJ24" i="2"/>
  <c r="AH19" i="2"/>
  <c r="AE19" i="2"/>
  <c r="AD19" i="2"/>
  <c r="AF19" i="2"/>
  <c r="AG25" i="2"/>
  <c r="AG87" i="2"/>
  <c r="AJ87" i="2"/>
  <c r="AF87" i="2"/>
  <c r="AI87" i="2"/>
  <c r="AE87" i="2"/>
  <c r="AH87" i="2"/>
  <c r="AD87" i="2"/>
  <c r="T30" i="2"/>
  <c r="B42" i="7" s="1"/>
  <c r="AH40" i="2"/>
  <c r="AH30" i="2" s="1"/>
  <c r="AD40" i="2"/>
  <c r="AD30" i="2" s="1"/>
  <c r="AJ40" i="2"/>
  <c r="AJ30" i="2" s="1"/>
  <c r="AF40" i="2"/>
  <c r="AF30" i="2" s="1"/>
  <c r="AG40" i="2"/>
  <c r="AG30" i="2" s="1"/>
  <c r="AE40" i="2"/>
  <c r="AE30" i="2" s="1"/>
  <c r="AI40" i="2"/>
  <c r="AI30" i="2" s="1"/>
  <c r="AI89" i="2"/>
  <c r="AE89" i="2"/>
  <c r="AH89" i="2"/>
  <c r="AD89" i="2"/>
  <c r="AG89" i="2"/>
  <c r="AJ89" i="2"/>
  <c r="AF89" i="2"/>
  <c r="AJ59" i="2"/>
  <c r="AF59" i="2"/>
  <c r="AI59" i="2"/>
  <c r="AE59" i="2"/>
  <c r="AH59" i="2"/>
  <c r="AD59" i="2"/>
  <c r="AG59" i="2"/>
  <c r="U4" i="2"/>
  <c r="C39" i="7" s="1"/>
  <c r="AI6" i="2"/>
  <c r="AI4" i="2" s="1"/>
  <c r="AG60" i="2"/>
  <c r="AJ60" i="2"/>
  <c r="AF60" i="2"/>
  <c r="AI60" i="2"/>
  <c r="AE60" i="2"/>
  <c r="AH60" i="2"/>
  <c r="AD60" i="2"/>
  <c r="U91" i="2"/>
  <c r="C35" i="7" s="1"/>
  <c r="AE95" i="2"/>
  <c r="AF95" i="2"/>
  <c r="AH95" i="2"/>
  <c r="AJ95" i="2"/>
  <c r="AI95" i="2"/>
  <c r="AG95" i="2"/>
  <c r="AF25" i="2"/>
  <c r="AD25" i="2"/>
  <c r="AE25" i="2"/>
  <c r="AG53" i="2"/>
  <c r="AG52" i="2" s="1"/>
  <c r="AI53" i="2"/>
  <c r="AI52" i="2" s="1"/>
  <c r="AE53" i="2"/>
  <c r="AE52" i="2" s="1"/>
  <c r="AJ53" i="2"/>
  <c r="AJ52" i="2" s="1"/>
  <c r="AD53" i="2"/>
  <c r="AD52" i="2" s="1"/>
  <c r="AH53" i="2"/>
  <c r="AH52" i="2" s="1"/>
  <c r="AF53" i="2"/>
  <c r="AF52" i="2" s="1"/>
  <c r="AH24" i="2"/>
  <c r="AJ14" i="2"/>
  <c r="AE14" i="2"/>
  <c r="AF14" i="2"/>
  <c r="AD14" i="2"/>
  <c r="AI19" i="2"/>
  <c r="AD24" i="2"/>
  <c r="AF24" i="2"/>
  <c r="AE24" i="2"/>
  <c r="AJ25" i="2"/>
  <c r="AI25" i="2"/>
  <c r="AE49" i="2"/>
  <c r="AI49" i="2"/>
  <c r="AG49" i="2"/>
  <c r="AF49" i="2"/>
  <c r="AH49" i="2"/>
  <c r="AJ49" i="2"/>
  <c r="AD49" i="2"/>
  <c r="AD48" i="2"/>
  <c r="AH48" i="2"/>
  <c r="AF48" i="2"/>
  <c r="AJ48" i="2"/>
  <c r="AE48" i="2"/>
  <c r="AI48" i="2"/>
  <c r="AG48" i="2"/>
  <c r="AE47" i="2"/>
  <c r="AI47" i="2"/>
  <c r="AG47" i="2"/>
  <c r="AD47" i="2"/>
  <c r="AJ47" i="2"/>
  <c r="AH47" i="2"/>
  <c r="AF47" i="2"/>
  <c r="AF50" i="2"/>
  <c r="AJ50" i="2"/>
  <c r="AD50" i="2"/>
  <c r="AH50" i="2"/>
  <c r="AG50" i="2"/>
  <c r="AE50" i="2"/>
  <c r="AI50" i="2"/>
  <c r="AH88" i="2"/>
  <c r="AD88" i="2"/>
  <c r="AG88" i="2"/>
  <c r="AJ88" i="2"/>
  <c r="AF88" i="2"/>
  <c r="AI88" i="2"/>
  <c r="AE88" i="2"/>
  <c r="AJ90" i="2"/>
  <c r="AF90" i="2"/>
  <c r="AI90" i="2"/>
  <c r="AE90" i="2"/>
  <c r="AH90" i="2"/>
  <c r="AD90" i="2"/>
  <c r="AG90" i="2"/>
  <c r="AE100" i="2"/>
  <c r="AJ100" i="2"/>
  <c r="AH100" i="2"/>
  <c r="AF100" i="2"/>
  <c r="AI100" i="2"/>
  <c r="AG100" i="2"/>
  <c r="AH14" i="2"/>
  <c r="B24" i="3"/>
  <c r="B12" i="13" s="1"/>
  <c r="D24" i="3"/>
  <c r="D12" i="13" s="1"/>
  <c r="F24" i="3"/>
  <c r="F12" i="13" s="1"/>
  <c r="H37" i="3"/>
  <c r="F37" i="3"/>
  <c r="G37" i="3"/>
  <c r="E24" i="3"/>
  <c r="E12" i="13" s="1"/>
  <c r="C37" i="3"/>
  <c r="C24" i="3"/>
  <c r="C12" i="13" s="1"/>
  <c r="D40" i="3"/>
  <c r="D37" i="3" s="1"/>
  <c r="W91" i="2"/>
  <c r="E35" i="7" s="1"/>
  <c r="E40" i="3"/>
  <c r="E37" i="3" s="1"/>
  <c r="Y91" i="2"/>
  <c r="G35" i="7" s="1"/>
  <c r="X91" i="2"/>
  <c r="F35" i="7" s="1"/>
  <c r="T83" i="2"/>
  <c r="B37" i="7" s="1"/>
  <c r="W13" i="2"/>
  <c r="E36" i="7" s="1"/>
  <c r="Z13" i="2"/>
  <c r="Y83" i="2"/>
  <c r="G37" i="7" s="1"/>
  <c r="X83" i="2"/>
  <c r="F37" i="7" s="1"/>
  <c r="W83" i="2"/>
  <c r="E37" i="7" s="1"/>
  <c r="W58" i="2"/>
  <c r="E34" i="7" s="1"/>
  <c r="Z83" i="2"/>
  <c r="U83" i="2"/>
  <c r="C37" i="7" s="1"/>
  <c r="V83" i="2"/>
  <c r="D37" i="7" s="1"/>
  <c r="T58" i="2"/>
  <c r="B34" i="7" s="1"/>
  <c r="U52" i="2"/>
  <c r="C38" i="7" s="1"/>
  <c r="W52" i="2"/>
  <c r="E38" i="7" s="1"/>
  <c r="Y58" i="2"/>
  <c r="G34" i="7" s="1"/>
  <c r="U46" i="2"/>
  <c r="C41" i="7" s="1"/>
  <c r="T46" i="2"/>
  <c r="B41" i="7" s="1"/>
  <c r="W46" i="2"/>
  <c r="E41" i="7" s="1"/>
  <c r="Z46" i="2"/>
  <c r="X46" i="2"/>
  <c r="F41" i="7" s="1"/>
  <c r="Y46" i="2"/>
  <c r="G41" i="7" s="1"/>
  <c r="V46" i="2"/>
  <c r="D41" i="7" s="1"/>
  <c r="Z58" i="2"/>
  <c r="U58" i="2"/>
  <c r="C34" i="7" s="1"/>
  <c r="V58" i="2"/>
  <c r="D34" i="7" s="1"/>
  <c r="D33" i="7" s="1"/>
  <c r="X58" i="2"/>
  <c r="F34" i="7" s="1"/>
  <c r="T52" i="2"/>
  <c r="B38" i="7" s="1"/>
  <c r="X52" i="2"/>
  <c r="F38" i="7" s="1"/>
  <c r="V52" i="2"/>
  <c r="D38" i="7" s="1"/>
  <c r="Z52" i="2"/>
  <c r="Y52" i="2"/>
  <c r="G38" i="7" s="1"/>
  <c r="V13" i="2"/>
  <c r="D36" i="7" s="1"/>
  <c r="X13" i="2"/>
  <c r="F36" i="7" s="1"/>
  <c r="Y13" i="2"/>
  <c r="G36" i="7" s="1"/>
  <c r="U13" i="2"/>
  <c r="C36" i="7" s="1"/>
  <c r="T13" i="2"/>
  <c r="B36" i="7" s="1"/>
  <c r="D35" i="4"/>
  <c r="E35" i="4"/>
  <c r="G35" i="4"/>
  <c r="H35" i="4"/>
  <c r="I35" i="4"/>
  <c r="F35" i="4"/>
  <c r="J35" i="4"/>
  <c r="C33" i="7" l="1"/>
  <c r="B33" i="7"/>
  <c r="E33" i="7"/>
  <c r="G33" i="7"/>
  <c r="F33" i="7"/>
  <c r="AJ91" i="2"/>
  <c r="H52" i="3" s="1"/>
  <c r="AH58" i="2"/>
  <c r="AJ58" i="2"/>
  <c r="AE58" i="2"/>
  <c r="AF46" i="2"/>
  <c r="AG46" i="2"/>
  <c r="AF91" i="2"/>
  <c r="D52" i="3" s="1"/>
  <c r="AG58" i="2"/>
  <c r="AI46" i="2"/>
  <c r="AH91" i="2"/>
  <c r="F52" i="3" s="1"/>
  <c r="AH83" i="2"/>
  <c r="AJ83" i="2"/>
  <c r="AF83" i="2"/>
  <c r="AJ46" i="2"/>
  <c r="AG91" i="2"/>
  <c r="E52" i="3" s="1"/>
  <c r="AE83" i="2"/>
  <c r="AG83" i="2"/>
  <c r="AD83" i="2"/>
  <c r="AH46" i="2"/>
  <c r="AE46" i="2"/>
  <c r="AI58" i="2"/>
  <c r="AD46" i="2"/>
  <c r="AI91" i="2"/>
  <c r="G52" i="3" s="1"/>
  <c r="AE91" i="2"/>
  <c r="C52" i="3" s="1"/>
  <c r="AD58" i="2"/>
  <c r="AF58" i="2"/>
  <c r="AI83" i="2"/>
  <c r="Y103" i="2"/>
  <c r="Z103" i="2"/>
  <c r="W103" i="2"/>
  <c r="U103" i="2"/>
  <c r="T103" i="2"/>
  <c r="X103" i="2"/>
  <c r="V103" i="2"/>
  <c r="H43" i="4"/>
  <c r="F28" i="7" s="1"/>
  <c r="H37" i="4"/>
  <c r="G43" i="4"/>
  <c r="E28" i="7" s="1"/>
  <c r="G37" i="4"/>
  <c r="F43" i="4"/>
  <c r="D28" i="7" s="1"/>
  <c r="F37" i="4"/>
  <c r="J43" i="4"/>
  <c r="J37" i="4"/>
  <c r="I43" i="4"/>
  <c r="G28" i="7" s="1"/>
  <c r="I37" i="4"/>
  <c r="D43" i="4"/>
  <c r="B28" i="7" s="1"/>
  <c r="D37" i="4"/>
  <c r="E43" i="4"/>
  <c r="C28" i="7" s="1"/>
  <c r="E37" i="4"/>
  <c r="D15" i="7" l="1"/>
  <c r="C15" i="7"/>
  <c r="G15" i="7"/>
  <c r="F15" i="7"/>
  <c r="E15" i="7"/>
  <c r="P4" i="8"/>
  <c r="N19" i="8" s="1"/>
  <c r="P5" i="8"/>
  <c r="N31" i="8" s="1"/>
  <c r="P3" i="8"/>
  <c r="S4" i="8"/>
  <c r="T4" i="8" s="1"/>
  <c r="S5" i="8"/>
  <c r="T5" i="8" s="1"/>
  <c r="P35" i="8" s="1"/>
  <c r="O10" i="1" l="1"/>
  <c r="K10" i="5" s="1"/>
  <c r="L10" i="5" s="1"/>
  <c r="O19" i="1"/>
  <c r="K20" i="5" s="1"/>
  <c r="L20" i="5" s="1"/>
  <c r="O11" i="1"/>
  <c r="K11" i="5" s="1"/>
  <c r="L11" i="5" s="1"/>
  <c r="O18" i="1"/>
  <c r="K19" i="5" s="1"/>
  <c r="L19" i="5" s="1"/>
  <c r="O12" i="1"/>
  <c r="K12" i="5" s="1"/>
  <c r="L12" i="5" s="1"/>
  <c r="O16" i="1"/>
  <c r="K17" i="5" s="1"/>
  <c r="L17" i="5" s="1"/>
  <c r="O6" i="1"/>
  <c r="K6" i="5" s="1"/>
  <c r="L6" i="5" s="1"/>
  <c r="O15" i="1"/>
  <c r="K16" i="5" s="1"/>
  <c r="L16" i="5" s="1"/>
  <c r="O7" i="1"/>
  <c r="K7" i="5" s="1"/>
  <c r="L7" i="5" s="1"/>
  <c r="O8" i="1"/>
  <c r="K8" i="5" s="1"/>
  <c r="L8" i="5" s="1"/>
  <c r="O9" i="1"/>
  <c r="K9" i="5" s="1"/>
  <c r="L9" i="5" s="1"/>
  <c r="O17" i="1"/>
  <c r="K18" i="5" s="1"/>
  <c r="L18" i="5" s="1"/>
  <c r="O20" i="1"/>
  <c r="K21" i="5" s="1"/>
  <c r="L21" i="5" s="1"/>
  <c r="O21" i="1"/>
  <c r="K22" i="5" s="1"/>
  <c r="L22" i="5" s="1"/>
  <c r="N7" i="8"/>
  <c r="U34" i="8"/>
  <c r="S40" i="8"/>
  <c r="S39" i="8"/>
  <c r="R38" i="8"/>
  <c r="Q37" i="8"/>
  <c r="P36" i="8"/>
  <c r="T34" i="8"/>
  <c r="R40" i="8"/>
  <c r="R39" i="8"/>
  <c r="Q38" i="8"/>
  <c r="P37" i="8"/>
  <c r="V35" i="8"/>
  <c r="V40" i="8"/>
  <c r="P40" i="8"/>
  <c r="Q39" i="8"/>
  <c r="P38" i="8"/>
  <c r="V36" i="8"/>
  <c r="U35" i="8"/>
  <c r="V34" i="8"/>
  <c r="T40" i="8"/>
  <c r="U39" i="8"/>
  <c r="T38" i="8"/>
  <c r="S37" i="8"/>
  <c r="R36" i="8"/>
  <c r="Q35" i="8"/>
  <c r="U22" i="8"/>
  <c r="S28" i="8"/>
  <c r="R27" i="8"/>
  <c r="Q26" i="8"/>
  <c r="P25" i="8"/>
  <c r="V23" i="8"/>
  <c r="T22" i="8"/>
  <c r="V28" i="8"/>
  <c r="R28" i="8"/>
  <c r="U27" i="8"/>
  <c r="Q27" i="8"/>
  <c r="T26" i="8"/>
  <c r="P26" i="8"/>
  <c r="S25" i="8"/>
  <c r="V24" i="8"/>
  <c r="R24" i="8"/>
  <c r="U23" i="8"/>
  <c r="Q23" i="8"/>
  <c r="P22" i="8"/>
  <c r="S22" i="8"/>
  <c r="U28" i="8"/>
  <c r="Q28" i="8"/>
  <c r="T27" i="8"/>
  <c r="P27" i="8"/>
  <c r="S26" i="8"/>
  <c r="V25" i="8"/>
  <c r="R25" i="8"/>
  <c r="U24" i="8"/>
  <c r="Q24" i="8"/>
  <c r="T23" i="8"/>
  <c r="P23" i="8"/>
  <c r="V22" i="8"/>
  <c r="T28" i="8"/>
  <c r="P28" i="8"/>
  <c r="S27" i="8"/>
  <c r="R26" i="8"/>
  <c r="Q25" i="8"/>
  <c r="P24" i="8"/>
  <c r="P34" i="8"/>
  <c r="S34" i="8"/>
  <c r="U40" i="8"/>
  <c r="Q40" i="8"/>
  <c r="T39" i="8"/>
  <c r="P39" i="8"/>
  <c r="S38" i="8"/>
  <c r="V37" i="8"/>
  <c r="R37" i="8"/>
  <c r="U36" i="8"/>
  <c r="Q36" i="8"/>
  <c r="T35" i="8"/>
  <c r="V5" i="8"/>
  <c r="V4" i="8"/>
  <c r="U4" i="8" s="1"/>
  <c r="V27" i="8" s="1"/>
  <c r="I13" i="5"/>
  <c r="I23" i="5"/>
  <c r="I32" i="5"/>
  <c r="C6" i="1"/>
  <c r="G6" i="1"/>
  <c r="C7" i="1"/>
  <c r="G7" i="1" s="1"/>
  <c r="C8" i="1"/>
  <c r="G8" i="1" s="1"/>
  <c r="C9" i="1"/>
  <c r="G9" i="1" s="1"/>
  <c r="C10" i="1"/>
  <c r="G10" i="1" s="1"/>
  <c r="C11" i="1"/>
  <c r="G11" i="1" s="1"/>
  <c r="C12" i="1"/>
  <c r="G12" i="1" s="1"/>
  <c r="C15" i="1"/>
  <c r="G15" i="1" s="1"/>
  <c r="C16" i="1"/>
  <c r="G16" i="1" s="1"/>
  <c r="C17" i="1"/>
  <c r="G17" i="1" s="1"/>
  <c r="C18" i="1"/>
  <c r="G18" i="1" s="1"/>
  <c r="C19" i="1"/>
  <c r="G19" i="1" s="1"/>
  <c r="C20" i="1"/>
  <c r="G20" i="1" s="1"/>
  <c r="C21" i="1"/>
  <c r="G21" i="1" s="1"/>
  <c r="S3" i="8"/>
  <c r="T3" i="8" s="1"/>
  <c r="D32" i="5"/>
  <c r="E32" i="5"/>
  <c r="F32" i="5"/>
  <c r="G32" i="5"/>
  <c r="H32" i="5"/>
  <c r="C32" i="5"/>
  <c r="H23" i="5"/>
  <c r="G23" i="5"/>
  <c r="F23" i="5"/>
  <c r="E23" i="5"/>
  <c r="D23" i="5"/>
  <c r="C23" i="5"/>
  <c r="D13" i="5"/>
  <c r="E13" i="5"/>
  <c r="F13" i="5"/>
  <c r="G13" i="5"/>
  <c r="H13" i="5"/>
  <c r="C13" i="5"/>
  <c r="C25" i="5" s="1"/>
  <c r="M21" i="1"/>
  <c r="M20" i="1"/>
  <c r="M19" i="1"/>
  <c r="M18" i="1"/>
  <c r="M17" i="1"/>
  <c r="M16" i="1"/>
  <c r="M15" i="1"/>
  <c r="M12" i="1"/>
  <c r="M11" i="1"/>
  <c r="M10" i="1"/>
  <c r="M9" i="1"/>
  <c r="M8" i="1"/>
  <c r="M7" i="1"/>
  <c r="M6" i="1"/>
  <c r="T24" i="8" l="1"/>
  <c r="D25" i="5"/>
  <c r="C46" i="3" s="1"/>
  <c r="C29" i="7" s="1"/>
  <c r="B46" i="3"/>
  <c r="B29" i="7" s="1"/>
  <c r="C81" i="8"/>
  <c r="C82" i="8" s="1"/>
  <c r="D50" i="5"/>
  <c r="I50" i="5"/>
  <c r="C50" i="5"/>
  <c r="E50" i="5"/>
  <c r="H50" i="5"/>
  <c r="F50" i="5"/>
  <c r="G50" i="5"/>
  <c r="E39" i="5"/>
  <c r="H39" i="5"/>
  <c r="F39" i="5"/>
  <c r="G39" i="5"/>
  <c r="D39" i="5"/>
  <c r="I39" i="5"/>
  <c r="C39" i="5"/>
  <c r="G41" i="5"/>
  <c r="H41" i="5"/>
  <c r="F41" i="5"/>
  <c r="I41" i="5"/>
  <c r="C41" i="5"/>
  <c r="D41" i="5"/>
  <c r="E41" i="5"/>
  <c r="E51" i="5"/>
  <c r="D51" i="5"/>
  <c r="C51" i="5"/>
  <c r="I51" i="5"/>
  <c r="G51" i="5"/>
  <c r="H51" i="5"/>
  <c r="F51" i="5"/>
  <c r="F40" i="5"/>
  <c r="E40" i="5"/>
  <c r="G40" i="5"/>
  <c r="I40" i="5"/>
  <c r="H40" i="5"/>
  <c r="D40" i="5"/>
  <c r="C40" i="5"/>
  <c r="C49" i="5"/>
  <c r="D49" i="5"/>
  <c r="H49" i="5"/>
  <c r="I49" i="5"/>
  <c r="G49" i="5"/>
  <c r="F49" i="5"/>
  <c r="E49" i="5"/>
  <c r="H25" i="5"/>
  <c r="G48" i="5"/>
  <c r="I48" i="5"/>
  <c r="H48" i="5"/>
  <c r="F48" i="5"/>
  <c r="C48" i="5"/>
  <c r="E48" i="5"/>
  <c r="D48" i="5"/>
  <c r="I47" i="5"/>
  <c r="H47" i="5"/>
  <c r="G47" i="5"/>
  <c r="F47" i="5"/>
  <c r="E47" i="5"/>
  <c r="C47" i="5"/>
  <c r="D47" i="5"/>
  <c r="D38" i="5"/>
  <c r="E38" i="5"/>
  <c r="G38" i="5"/>
  <c r="F38" i="5"/>
  <c r="H38" i="5"/>
  <c r="I38" i="5"/>
  <c r="C38" i="5"/>
  <c r="H42" i="5"/>
  <c r="I42" i="5"/>
  <c r="C42" i="5"/>
  <c r="F42" i="5"/>
  <c r="D42" i="5"/>
  <c r="G42" i="5"/>
  <c r="E42" i="5"/>
  <c r="I53" i="5"/>
  <c r="H53" i="5"/>
  <c r="G53" i="5"/>
  <c r="F53" i="5"/>
  <c r="E53" i="5"/>
  <c r="D53" i="5"/>
  <c r="C53" i="5"/>
  <c r="I43" i="5"/>
  <c r="D43" i="5"/>
  <c r="C43" i="5"/>
  <c r="E43" i="5"/>
  <c r="G43" i="5"/>
  <c r="F43" i="5"/>
  <c r="H43" i="5"/>
  <c r="I37" i="5"/>
  <c r="D37" i="5"/>
  <c r="F37" i="5"/>
  <c r="E37" i="5"/>
  <c r="C37" i="5"/>
  <c r="G37" i="5"/>
  <c r="H37" i="5"/>
  <c r="E25" i="5"/>
  <c r="F52" i="5"/>
  <c r="E52" i="5"/>
  <c r="G52" i="5"/>
  <c r="D52" i="5"/>
  <c r="C52" i="5"/>
  <c r="I52" i="5"/>
  <c r="H52" i="5"/>
  <c r="G25" i="5"/>
  <c r="F25" i="5"/>
  <c r="I25" i="5"/>
  <c r="Q22" i="8"/>
  <c r="U26" i="8"/>
  <c r="V26" i="8"/>
  <c r="R22" i="8"/>
  <c r="S24" i="8"/>
  <c r="U25" i="8"/>
  <c r="U5" i="8"/>
  <c r="S35" i="8"/>
  <c r="T36" i="8"/>
  <c r="U37" i="8"/>
  <c r="V38" i="8"/>
  <c r="R34" i="8"/>
  <c r="R23" i="8"/>
  <c r="T25" i="8"/>
  <c r="S23" i="8"/>
  <c r="R15" i="8"/>
  <c r="P13" i="8"/>
  <c r="V3" i="8"/>
  <c r="U3" i="8" s="1"/>
  <c r="U13" i="8" s="1"/>
  <c r="S14" i="8"/>
  <c r="Q12" i="8"/>
  <c r="Q13" i="8"/>
  <c r="S13" i="8"/>
  <c r="Q11" i="8"/>
  <c r="P10" i="8"/>
  <c r="R13" i="8"/>
  <c r="U16" i="8"/>
  <c r="V16" i="8"/>
  <c r="S16" i="8"/>
  <c r="T14" i="8"/>
  <c r="S10" i="8"/>
  <c r="U12" i="8"/>
  <c r="P14" i="8"/>
  <c r="R14" i="8"/>
  <c r="U11" i="8"/>
  <c r="U10" i="8"/>
  <c r="V13" i="8"/>
  <c r="P11" i="8"/>
  <c r="P15" i="8"/>
  <c r="Q15" i="8"/>
  <c r="S15" i="8"/>
  <c r="V12" i="8"/>
  <c r="V11" i="8"/>
  <c r="V10" i="8"/>
  <c r="R12" i="8"/>
  <c r="Q16" i="8"/>
  <c r="R16" i="8"/>
  <c r="T16" i="8"/>
  <c r="T10" i="8"/>
  <c r="P12" i="8"/>
  <c r="Q14" i="8"/>
  <c r="T11" i="8"/>
  <c r="T15" i="8"/>
  <c r="U15" i="8"/>
  <c r="P16" i="8"/>
  <c r="D81" i="8" l="1"/>
  <c r="D82" i="8" s="1"/>
  <c r="G46" i="3"/>
  <c r="G29" i="7" s="1"/>
  <c r="H81" i="8"/>
  <c r="H82" i="8" s="1"/>
  <c r="H46" i="3"/>
  <c r="I81" i="8"/>
  <c r="I82" i="8" s="1"/>
  <c r="E46" i="3"/>
  <c r="E29" i="7" s="1"/>
  <c r="F81" i="8"/>
  <c r="F82" i="8" s="1"/>
  <c r="F46" i="3"/>
  <c r="F29" i="7" s="1"/>
  <c r="G81" i="8"/>
  <c r="G82" i="8" s="1"/>
  <c r="D46" i="3"/>
  <c r="D29" i="7" s="1"/>
  <c r="E81" i="8"/>
  <c r="E82" i="8" s="1"/>
  <c r="H44" i="5"/>
  <c r="E54" i="5"/>
  <c r="G44" i="5"/>
  <c r="E44" i="5"/>
  <c r="H54" i="5"/>
  <c r="I44" i="5"/>
  <c r="D54" i="5"/>
  <c r="D44" i="5"/>
  <c r="C44" i="5"/>
  <c r="I54" i="5"/>
  <c r="F54" i="5"/>
  <c r="G54" i="5"/>
  <c r="C54" i="5"/>
  <c r="F44" i="5"/>
  <c r="R35" i="8"/>
  <c r="S36" i="8"/>
  <c r="T37" i="8"/>
  <c r="U38" i="8"/>
  <c r="V39" i="8"/>
  <c r="Q34" i="8"/>
  <c r="T12" i="8"/>
  <c r="V14" i="8"/>
  <c r="V15" i="8"/>
  <c r="S12" i="8"/>
  <c r="Q10" i="8"/>
  <c r="S11" i="8"/>
  <c r="T13" i="8"/>
  <c r="R11" i="8"/>
  <c r="U14" i="8"/>
  <c r="R10" i="8"/>
  <c r="H56" i="5" l="1"/>
  <c r="G56" i="5"/>
  <c r="D56" i="5"/>
  <c r="E56" i="5"/>
  <c r="F56" i="5"/>
  <c r="C56" i="5"/>
  <c r="I56" i="5"/>
  <c r="H61" i="5" l="1"/>
  <c r="G5" i="7" s="1"/>
  <c r="F15" i="16"/>
  <c r="F16" i="16" s="1"/>
  <c r="F17" i="16" s="1"/>
  <c r="F18" i="16" s="1"/>
  <c r="C61" i="5"/>
  <c r="B5" i="7" s="1"/>
  <c r="I15" i="16"/>
  <c r="I16" i="16" s="1"/>
  <c r="D62" i="5"/>
  <c r="C6" i="7" s="1"/>
  <c r="B15" i="16"/>
  <c r="B16" i="16" s="1"/>
  <c r="B17" i="16" s="1"/>
  <c r="B18" i="16" s="1"/>
  <c r="I61" i="5"/>
  <c r="G15" i="16"/>
  <c r="G16" i="16" s="1"/>
  <c r="G17" i="16" s="1"/>
  <c r="G18" i="16" s="1"/>
  <c r="F62" i="5"/>
  <c r="E6" i="7" s="1"/>
  <c r="D15" i="16"/>
  <c r="D16" i="16" s="1"/>
  <c r="D17" i="16" s="1"/>
  <c r="D18" i="16" s="1"/>
  <c r="E61" i="5"/>
  <c r="D5" i="7" s="1"/>
  <c r="C15" i="16"/>
  <c r="C16" i="16" s="1"/>
  <c r="C17" i="16" s="1"/>
  <c r="C18" i="16" s="1"/>
  <c r="G62" i="5"/>
  <c r="F6" i="7" s="1"/>
  <c r="E15" i="16"/>
  <c r="E16" i="16" s="1"/>
  <c r="E17" i="16" s="1"/>
  <c r="E18" i="16" s="1"/>
  <c r="H62" i="5"/>
  <c r="G6" i="7" s="1"/>
  <c r="H60" i="5"/>
  <c r="G4" i="7" s="1"/>
  <c r="G60" i="5"/>
  <c r="F4" i="7" s="1"/>
  <c r="E62" i="5"/>
  <c r="D6" i="7" s="1"/>
  <c r="G61" i="5"/>
  <c r="F5" i="7" s="1"/>
  <c r="F61" i="5"/>
  <c r="E5" i="7" s="1"/>
  <c r="F60" i="5"/>
  <c r="E4" i="7" s="1"/>
  <c r="D61" i="5"/>
  <c r="C5" i="7" s="1"/>
  <c r="E60" i="5"/>
  <c r="D4" i="7" s="1"/>
  <c r="D60" i="5"/>
  <c r="C4" i="7" s="1"/>
  <c r="I62" i="5"/>
  <c r="I60" i="5"/>
  <c r="C62" i="5"/>
  <c r="B6" i="7" s="1"/>
  <c r="C60" i="5"/>
  <c r="B4" i="7" s="1"/>
  <c r="B3" i="7" s="1"/>
  <c r="I17" i="16" l="1"/>
  <c r="I18" i="16" s="1"/>
  <c r="R6" i="16"/>
  <c r="R14" i="16"/>
  <c r="R22" i="16"/>
  <c r="R7" i="16"/>
  <c r="R15" i="16"/>
  <c r="R23" i="16"/>
  <c r="R8" i="16"/>
  <c r="R16" i="16"/>
  <c r="R24" i="16"/>
  <c r="R9" i="16"/>
  <c r="R17" i="16"/>
  <c r="R5" i="16"/>
  <c r="R10" i="16"/>
  <c r="R18" i="16"/>
  <c r="R11" i="16"/>
  <c r="R19" i="16"/>
  <c r="R12" i="16"/>
  <c r="R20" i="16"/>
  <c r="R13" i="16"/>
  <c r="R21" i="16"/>
  <c r="C3" i="7"/>
  <c r="G3" i="7"/>
  <c r="E3" i="7"/>
  <c r="F3" i="7"/>
  <c r="D3" i="7"/>
  <c r="H63" i="5"/>
  <c r="G4" i="15" s="1"/>
  <c r="E63" i="5"/>
  <c r="D4" i="15" s="1"/>
  <c r="G63" i="5"/>
  <c r="F4" i="15" s="1"/>
  <c r="D63" i="5"/>
  <c r="C4" i="15" s="1"/>
  <c r="F63" i="5"/>
  <c r="E4" i="15" s="1"/>
  <c r="I63" i="5"/>
  <c r="H4" i="15" s="1"/>
  <c r="C63" i="5"/>
  <c r="B4" i="15" s="1"/>
  <c r="B5" i="15" l="1"/>
  <c r="H5" i="15"/>
  <c r="D5" i="15"/>
  <c r="E5" i="15"/>
  <c r="G5" i="15"/>
  <c r="F5" i="15"/>
  <c r="C5" i="15"/>
  <c r="AI13" i="2"/>
  <c r="AI103" i="2" s="1"/>
  <c r="G51" i="3" s="1"/>
  <c r="AH13" i="2"/>
  <c r="AH103" i="2" s="1"/>
  <c r="F51" i="3" s="1"/>
  <c r="AG13" i="2"/>
  <c r="AG103" i="2" s="1"/>
  <c r="E51" i="3" s="1"/>
  <c r="AF13" i="2"/>
  <c r="AF103" i="2" s="1"/>
  <c r="D51" i="3" s="1"/>
  <c r="AJ13" i="2"/>
  <c r="AJ103" i="2" s="1"/>
  <c r="H51" i="3" s="1"/>
  <c r="AD13" i="2"/>
  <c r="AD103" i="2" s="1"/>
  <c r="AE13" i="2"/>
  <c r="AE103" i="2" s="1"/>
  <c r="C51" i="3" s="1"/>
  <c r="C12" i="8" a="1"/>
  <c r="C20" i="8" a="1"/>
  <c r="C6" i="8" a="1"/>
  <c r="C17" i="8" a="1"/>
  <c r="C8" i="8" a="1"/>
  <c r="C21" i="8" a="1"/>
  <c r="C19" i="8" a="1"/>
  <c r="C22" i="8" a="1"/>
  <c r="C7" i="8" a="1"/>
  <c r="C9" i="8" a="1"/>
  <c r="C18" i="8" a="1"/>
  <c r="C16" i="8" a="1"/>
  <c r="C11" i="8" a="1"/>
  <c r="C10" i="8" a="1"/>
  <c r="H60" i="7" l="1"/>
  <c r="H6" i="15"/>
  <c r="H7" i="15" s="1"/>
  <c r="F58" i="7"/>
  <c r="F6" i="15"/>
  <c r="F7" i="15" s="1"/>
  <c r="F25" i="7" s="1"/>
  <c r="E58" i="7"/>
  <c r="E6" i="15"/>
  <c r="E7" i="15" s="1"/>
  <c r="E25" i="7" s="1"/>
  <c r="C6" i="15"/>
  <c r="C7" i="15" s="1"/>
  <c r="C25" i="7" s="1"/>
  <c r="C58" i="7"/>
  <c r="G6" i="15"/>
  <c r="G7" i="15" s="1"/>
  <c r="G25" i="7" s="1"/>
  <c r="G58" i="7"/>
  <c r="D6" i="15"/>
  <c r="D7" i="15" s="1"/>
  <c r="D25" i="7" s="1"/>
  <c r="D58" i="7"/>
  <c r="B58" i="7"/>
  <c r="B6" i="15"/>
  <c r="B7" i="15" s="1"/>
  <c r="B25" i="7" s="1"/>
  <c r="D11" i="8"/>
  <c r="D36" i="8" s="1"/>
  <c r="D61" i="8" s="1"/>
  <c r="C14" i="3" s="1"/>
  <c r="F11" i="8"/>
  <c r="F36" i="8" s="1"/>
  <c r="F61" i="8" s="1"/>
  <c r="E14" i="3" s="1"/>
  <c r="G11" i="8"/>
  <c r="G36" i="8" s="1"/>
  <c r="G61" i="8" s="1"/>
  <c r="F14" i="3" s="1"/>
  <c r="H11" i="8"/>
  <c r="H36" i="8" s="1"/>
  <c r="H61" i="8" s="1"/>
  <c r="G14" i="3" s="1"/>
  <c r="I11" i="8"/>
  <c r="I36" i="8" s="1"/>
  <c r="I61" i="8" s="1"/>
  <c r="H14" i="3" s="1"/>
  <c r="C11" i="8"/>
  <c r="C36" i="8" s="1"/>
  <c r="C61" i="8" s="1"/>
  <c r="B14" i="3" s="1"/>
  <c r="E11" i="8"/>
  <c r="E36" i="8" s="1"/>
  <c r="E61" i="8" s="1"/>
  <c r="D14" i="3" s="1"/>
  <c r="G19" i="8"/>
  <c r="G44" i="8" s="1"/>
  <c r="G69" i="8" s="1"/>
  <c r="F20" i="3" s="1"/>
  <c r="I19" i="8"/>
  <c r="I44" i="8" s="1"/>
  <c r="I69" i="8" s="1"/>
  <c r="H20" i="3" s="1"/>
  <c r="D19" i="8"/>
  <c r="D44" i="8" s="1"/>
  <c r="D69" i="8" s="1"/>
  <c r="C20" i="3" s="1"/>
  <c r="E19" i="8"/>
  <c r="E44" i="8" s="1"/>
  <c r="E69" i="8" s="1"/>
  <c r="D20" i="3" s="1"/>
  <c r="H19" i="8"/>
  <c r="H44" i="8" s="1"/>
  <c r="H69" i="8" s="1"/>
  <c r="G20" i="3" s="1"/>
  <c r="C19" i="8"/>
  <c r="C44" i="8" s="1"/>
  <c r="C69" i="8" s="1"/>
  <c r="B20" i="3" s="1"/>
  <c r="F19" i="8"/>
  <c r="F44" i="8" s="1"/>
  <c r="F69" i="8" s="1"/>
  <c r="E20" i="3" s="1"/>
  <c r="G12" i="8"/>
  <c r="G37" i="8" s="1"/>
  <c r="G62" i="8" s="1"/>
  <c r="F15" i="3" s="1"/>
  <c r="F12" i="8"/>
  <c r="F37" i="8" s="1"/>
  <c r="F62" i="8" s="1"/>
  <c r="E15" i="3" s="1"/>
  <c r="I12" i="8"/>
  <c r="I37" i="8" s="1"/>
  <c r="I62" i="8" s="1"/>
  <c r="H15" i="3" s="1"/>
  <c r="E12" i="8"/>
  <c r="E37" i="8" s="1"/>
  <c r="E62" i="8" s="1"/>
  <c r="D15" i="3" s="1"/>
  <c r="H12" i="8"/>
  <c r="H37" i="8" s="1"/>
  <c r="H62" i="8" s="1"/>
  <c r="G15" i="3" s="1"/>
  <c r="D12" i="8"/>
  <c r="D37" i="8" s="1"/>
  <c r="D62" i="8" s="1"/>
  <c r="C15" i="3" s="1"/>
  <c r="C12" i="8"/>
  <c r="C37" i="8" s="1"/>
  <c r="C62" i="8" s="1"/>
  <c r="B15" i="3" s="1"/>
  <c r="F21" i="8"/>
  <c r="F46" i="8" s="1"/>
  <c r="F71" i="8" s="1"/>
  <c r="E22" i="3" s="1"/>
  <c r="C21" i="8"/>
  <c r="C46" i="8" s="1"/>
  <c r="C71" i="8" s="1"/>
  <c r="B22" i="3" s="1"/>
  <c r="I21" i="8"/>
  <c r="I46" i="8" s="1"/>
  <c r="I71" i="8" s="1"/>
  <c r="H22" i="3" s="1"/>
  <c r="D21" i="8"/>
  <c r="D46" i="8" s="1"/>
  <c r="D71" i="8" s="1"/>
  <c r="C22" i="3" s="1"/>
  <c r="H21" i="8"/>
  <c r="H46" i="8" s="1"/>
  <c r="H71" i="8" s="1"/>
  <c r="G22" i="3" s="1"/>
  <c r="G21" i="8"/>
  <c r="G46" i="8" s="1"/>
  <c r="G71" i="8" s="1"/>
  <c r="F22" i="3" s="1"/>
  <c r="E21" i="8"/>
  <c r="E46" i="8" s="1"/>
  <c r="E71" i="8" s="1"/>
  <c r="D22" i="3" s="1"/>
  <c r="D18" i="8"/>
  <c r="D43" i="8" s="1"/>
  <c r="D68" i="8" s="1"/>
  <c r="C19" i="3" s="1"/>
  <c r="F18" i="8"/>
  <c r="F43" i="8" s="1"/>
  <c r="F68" i="8" s="1"/>
  <c r="E19" i="3" s="1"/>
  <c r="G18" i="8"/>
  <c r="G43" i="8" s="1"/>
  <c r="G68" i="8" s="1"/>
  <c r="F19" i="3" s="1"/>
  <c r="C18" i="8"/>
  <c r="C43" i="8" s="1"/>
  <c r="C68" i="8" s="1"/>
  <c r="B19" i="3" s="1"/>
  <c r="I18" i="8"/>
  <c r="I43" i="8" s="1"/>
  <c r="I68" i="8" s="1"/>
  <c r="H19" i="3" s="1"/>
  <c r="E18" i="8"/>
  <c r="E43" i="8" s="1"/>
  <c r="E68" i="8" s="1"/>
  <c r="D19" i="3" s="1"/>
  <c r="H18" i="8"/>
  <c r="H43" i="8" s="1"/>
  <c r="H68" i="8" s="1"/>
  <c r="G19" i="3" s="1"/>
  <c r="H6" i="8"/>
  <c r="I6" i="8"/>
  <c r="E6" i="8"/>
  <c r="G6" i="8"/>
  <c r="F6" i="8"/>
  <c r="C6" i="8"/>
  <c r="D6" i="8"/>
  <c r="F7" i="8"/>
  <c r="F32" i="8" s="1"/>
  <c r="F57" i="8" s="1"/>
  <c r="E10" i="3" s="1"/>
  <c r="I7" i="8"/>
  <c r="I32" i="8" s="1"/>
  <c r="I57" i="8" s="1"/>
  <c r="H10" i="3" s="1"/>
  <c r="C7" i="8"/>
  <c r="C32" i="8" s="1"/>
  <c r="C57" i="8" s="1"/>
  <c r="B10" i="3" s="1"/>
  <c r="D7" i="8"/>
  <c r="D32" i="8" s="1"/>
  <c r="D57" i="8" s="1"/>
  <c r="C10" i="3" s="1"/>
  <c r="H7" i="8"/>
  <c r="H32" i="8" s="1"/>
  <c r="H57" i="8" s="1"/>
  <c r="G10" i="3" s="1"/>
  <c r="E7" i="8"/>
  <c r="E32" i="8" s="1"/>
  <c r="E57" i="8" s="1"/>
  <c r="D10" i="3" s="1"/>
  <c r="G7" i="8"/>
  <c r="G32" i="8" s="1"/>
  <c r="G57" i="8" s="1"/>
  <c r="F10" i="3" s="1"/>
  <c r="I16" i="8"/>
  <c r="C16" i="8"/>
  <c r="G16" i="8"/>
  <c r="H16" i="8"/>
  <c r="D16" i="8"/>
  <c r="E16" i="8"/>
  <c r="F16" i="8"/>
  <c r="I20" i="8"/>
  <c r="I45" i="8" s="1"/>
  <c r="I70" i="8" s="1"/>
  <c r="H21" i="3" s="1"/>
  <c r="D20" i="8"/>
  <c r="D45" i="8" s="1"/>
  <c r="D70" i="8" s="1"/>
  <c r="C21" i="3" s="1"/>
  <c r="H20" i="8"/>
  <c r="H45" i="8" s="1"/>
  <c r="H70" i="8" s="1"/>
  <c r="G21" i="3" s="1"/>
  <c r="C20" i="8"/>
  <c r="C45" i="8" s="1"/>
  <c r="C70" i="8" s="1"/>
  <c r="B21" i="3" s="1"/>
  <c r="G20" i="8"/>
  <c r="G45" i="8" s="1"/>
  <c r="G70" i="8" s="1"/>
  <c r="F21" i="3" s="1"/>
  <c r="E20" i="8"/>
  <c r="E45" i="8" s="1"/>
  <c r="E70" i="8" s="1"/>
  <c r="D21" i="3" s="1"/>
  <c r="F20" i="8"/>
  <c r="F45" i="8" s="1"/>
  <c r="F70" i="8" s="1"/>
  <c r="E21" i="3" s="1"/>
  <c r="D10" i="8"/>
  <c r="D35" i="8" s="1"/>
  <c r="D60" i="8" s="1"/>
  <c r="C13" i="3" s="1"/>
  <c r="E10" i="8"/>
  <c r="E35" i="8" s="1"/>
  <c r="E60" i="8" s="1"/>
  <c r="D13" i="3" s="1"/>
  <c r="F10" i="8"/>
  <c r="F35" i="8" s="1"/>
  <c r="F60" i="8" s="1"/>
  <c r="E13" i="3" s="1"/>
  <c r="G10" i="8"/>
  <c r="G35" i="8" s="1"/>
  <c r="G60" i="8" s="1"/>
  <c r="F13" i="3" s="1"/>
  <c r="I10" i="8"/>
  <c r="I35" i="8" s="1"/>
  <c r="I60" i="8" s="1"/>
  <c r="H13" i="3" s="1"/>
  <c r="C10" i="8"/>
  <c r="C35" i="8" s="1"/>
  <c r="C60" i="8" s="1"/>
  <c r="B13" i="3" s="1"/>
  <c r="H10" i="8"/>
  <c r="H35" i="8" s="1"/>
  <c r="H60" i="8" s="1"/>
  <c r="G13" i="3" s="1"/>
  <c r="H8" i="8"/>
  <c r="H33" i="8" s="1"/>
  <c r="H58" i="8" s="1"/>
  <c r="G11" i="3" s="1"/>
  <c r="C8" i="8"/>
  <c r="C33" i="8" s="1"/>
  <c r="C58" i="8" s="1"/>
  <c r="B11" i="3" s="1"/>
  <c r="F8" i="8"/>
  <c r="F33" i="8" s="1"/>
  <c r="F58" i="8" s="1"/>
  <c r="E11" i="3" s="1"/>
  <c r="E8" i="8"/>
  <c r="E33" i="8" s="1"/>
  <c r="E58" i="8" s="1"/>
  <c r="D11" i="3" s="1"/>
  <c r="I8" i="8"/>
  <c r="I33" i="8" s="1"/>
  <c r="I58" i="8" s="1"/>
  <c r="H11" i="3" s="1"/>
  <c r="G8" i="8"/>
  <c r="G33" i="8" s="1"/>
  <c r="G58" i="8" s="1"/>
  <c r="F11" i="3" s="1"/>
  <c r="D8" i="8"/>
  <c r="D33" i="8" s="1"/>
  <c r="D58" i="8" s="1"/>
  <c r="C11" i="3" s="1"/>
  <c r="G9" i="8"/>
  <c r="G34" i="8" s="1"/>
  <c r="G59" i="8" s="1"/>
  <c r="F12" i="3" s="1"/>
  <c r="H9" i="8"/>
  <c r="H34" i="8" s="1"/>
  <c r="H59" i="8" s="1"/>
  <c r="G12" i="3" s="1"/>
  <c r="I9" i="8"/>
  <c r="I34" i="8" s="1"/>
  <c r="I59" i="8" s="1"/>
  <c r="H12" i="3" s="1"/>
  <c r="D9" i="8"/>
  <c r="D34" i="8" s="1"/>
  <c r="D59" i="8" s="1"/>
  <c r="C12" i="3" s="1"/>
  <c r="E9" i="8"/>
  <c r="E34" i="8" s="1"/>
  <c r="E59" i="8" s="1"/>
  <c r="D12" i="3" s="1"/>
  <c r="C9" i="8"/>
  <c r="C34" i="8" s="1"/>
  <c r="C59" i="8" s="1"/>
  <c r="B12" i="3" s="1"/>
  <c r="F9" i="8"/>
  <c r="F34" i="8" s="1"/>
  <c r="F59" i="8" s="1"/>
  <c r="E12" i="3" s="1"/>
  <c r="D17" i="8"/>
  <c r="D42" i="8" s="1"/>
  <c r="D67" i="8" s="1"/>
  <c r="C18" i="3" s="1"/>
  <c r="E17" i="8"/>
  <c r="E42" i="8" s="1"/>
  <c r="E67" i="8" s="1"/>
  <c r="D18" i="3" s="1"/>
  <c r="F17" i="8"/>
  <c r="F42" i="8" s="1"/>
  <c r="F67" i="8" s="1"/>
  <c r="E18" i="3" s="1"/>
  <c r="H17" i="8"/>
  <c r="H42" i="8" s="1"/>
  <c r="H67" i="8" s="1"/>
  <c r="G18" i="3" s="1"/>
  <c r="G17" i="8"/>
  <c r="G42" i="8" s="1"/>
  <c r="G67" i="8" s="1"/>
  <c r="F18" i="3" s="1"/>
  <c r="I17" i="8"/>
  <c r="I42" i="8" s="1"/>
  <c r="I67" i="8" s="1"/>
  <c r="H18" i="3" s="1"/>
  <c r="C17" i="8"/>
  <c r="C42" i="8" s="1"/>
  <c r="C67" i="8" s="1"/>
  <c r="B18" i="3" s="1"/>
  <c r="F22" i="8"/>
  <c r="F47" i="8" s="1"/>
  <c r="F72" i="8" s="1"/>
  <c r="E23" i="3" s="1"/>
  <c r="E22" i="8"/>
  <c r="E47" i="8" s="1"/>
  <c r="E72" i="8" s="1"/>
  <c r="D23" i="3" s="1"/>
  <c r="C22" i="8"/>
  <c r="C47" i="8" s="1"/>
  <c r="C72" i="8" s="1"/>
  <c r="B23" i="3" s="1"/>
  <c r="H22" i="8"/>
  <c r="H47" i="8" s="1"/>
  <c r="H72" i="8" s="1"/>
  <c r="G23" i="3" s="1"/>
  <c r="G22" i="8"/>
  <c r="G47" i="8" s="1"/>
  <c r="G72" i="8" s="1"/>
  <c r="F23" i="3" s="1"/>
  <c r="D22" i="8"/>
  <c r="D47" i="8" s="1"/>
  <c r="D72" i="8" s="1"/>
  <c r="C23" i="3" s="1"/>
  <c r="I22" i="8"/>
  <c r="I47" i="8" s="1"/>
  <c r="I72" i="8" s="1"/>
  <c r="H23" i="3" s="1"/>
  <c r="F60" i="7"/>
  <c r="G60" i="7"/>
  <c r="D60" i="7"/>
  <c r="E60" i="7"/>
  <c r="C60" i="7"/>
  <c r="B60" i="7"/>
  <c r="B51" i="3"/>
  <c r="B10" i="13" s="1"/>
  <c r="H10" i="13"/>
  <c r="G10" i="13"/>
  <c r="F10" i="13"/>
  <c r="D10" i="13"/>
  <c r="C10" i="13"/>
  <c r="E10" i="13"/>
  <c r="E47" i="3" l="1"/>
  <c r="E50" i="3"/>
  <c r="D47" i="3"/>
  <c r="D50" i="3"/>
  <c r="G47" i="3"/>
  <c r="G50" i="3"/>
  <c r="C47" i="3"/>
  <c r="C50" i="3"/>
  <c r="F47" i="3"/>
  <c r="F50" i="3"/>
  <c r="H47" i="3"/>
  <c r="H50" i="3"/>
  <c r="B47" i="3"/>
  <c r="B50" i="3"/>
  <c r="G23" i="8"/>
  <c r="G41" i="8"/>
  <c r="D23" i="8"/>
  <c r="D41" i="8"/>
  <c r="I41" i="8"/>
  <c r="I23" i="8"/>
  <c r="D13" i="8"/>
  <c r="D31" i="8"/>
  <c r="E13" i="8"/>
  <c r="E31" i="8"/>
  <c r="F23" i="8"/>
  <c r="F41" i="8"/>
  <c r="F31" i="8"/>
  <c r="F13" i="8"/>
  <c r="H13" i="8"/>
  <c r="H31" i="8"/>
  <c r="E41" i="8"/>
  <c r="E23" i="8"/>
  <c r="C23" i="8"/>
  <c r="C41" i="8"/>
  <c r="G31" i="8"/>
  <c r="G13" i="8"/>
  <c r="H23" i="8"/>
  <c r="H41" i="8"/>
  <c r="C31" i="8"/>
  <c r="C13" i="8"/>
  <c r="I13" i="8"/>
  <c r="I31" i="8"/>
  <c r="D25" i="8" l="1"/>
  <c r="C4" i="16" s="1"/>
  <c r="F11" i="7"/>
  <c r="G11" i="7"/>
  <c r="E11" i="7"/>
  <c r="C11" i="7"/>
  <c r="D11" i="7"/>
  <c r="B36" i="3"/>
  <c r="B27" i="16" s="1"/>
  <c r="B11" i="7"/>
  <c r="D36" i="3"/>
  <c r="D27" i="16" s="1"/>
  <c r="H36" i="3"/>
  <c r="C36" i="3"/>
  <c r="C27" i="16" s="1"/>
  <c r="F36" i="3"/>
  <c r="F27" i="16" s="1"/>
  <c r="G36" i="3"/>
  <c r="G27" i="16" s="1"/>
  <c r="E36" i="3"/>
  <c r="E27" i="16" s="1"/>
  <c r="I25" i="8"/>
  <c r="H6" i="13" s="1"/>
  <c r="G25" i="8"/>
  <c r="C25" i="8"/>
  <c r="B32" i="3" s="1"/>
  <c r="B14" i="13" s="1"/>
  <c r="F25" i="8"/>
  <c r="E25" i="8"/>
  <c r="I56" i="8"/>
  <c r="I38" i="8"/>
  <c r="H66" i="8"/>
  <c r="H48" i="8"/>
  <c r="G48" i="8"/>
  <c r="G66" i="8"/>
  <c r="F56" i="8"/>
  <c r="F38" i="8"/>
  <c r="E56" i="8"/>
  <c r="E38" i="8"/>
  <c r="G56" i="8"/>
  <c r="G38" i="8"/>
  <c r="E66" i="8"/>
  <c r="E48" i="8"/>
  <c r="H56" i="8"/>
  <c r="H38" i="8"/>
  <c r="F66" i="8"/>
  <c r="F48" i="8"/>
  <c r="I48" i="8"/>
  <c r="I66" i="8"/>
  <c r="C56" i="8"/>
  <c r="C38" i="8"/>
  <c r="C48" i="8"/>
  <c r="C66" i="8"/>
  <c r="H25" i="8"/>
  <c r="G4" i="16" s="1"/>
  <c r="D56" i="8"/>
  <c r="D38" i="8"/>
  <c r="D66" i="8"/>
  <c r="D48" i="8"/>
  <c r="C31" i="3" l="1"/>
  <c r="C11" i="13" s="1"/>
  <c r="D80" i="8"/>
  <c r="C6" i="13"/>
  <c r="C33" i="3"/>
  <c r="C13" i="13" s="1"/>
  <c r="C32" i="3"/>
  <c r="C14" i="13" s="1"/>
  <c r="I27" i="16"/>
  <c r="I80" i="8"/>
  <c r="I90" i="8" s="1"/>
  <c r="G80" i="8"/>
  <c r="F4" i="16"/>
  <c r="D6" i="13"/>
  <c r="D4" i="16"/>
  <c r="H32" i="3"/>
  <c r="H14" i="13" s="1"/>
  <c r="F80" i="8"/>
  <c r="E4" i="16"/>
  <c r="B33" i="3"/>
  <c r="B13" i="13" s="1"/>
  <c r="B4" i="16"/>
  <c r="H31" i="3"/>
  <c r="H11" i="13" s="1"/>
  <c r="F32" i="3"/>
  <c r="F14" i="13" s="1"/>
  <c r="H33" i="3"/>
  <c r="H13" i="13" s="1"/>
  <c r="F6" i="13"/>
  <c r="B31" i="3"/>
  <c r="B11" i="13" s="1"/>
  <c r="C80" i="8"/>
  <c r="C83" i="8" s="1"/>
  <c r="D79" i="8" s="1"/>
  <c r="B6" i="13"/>
  <c r="D31" i="3"/>
  <c r="D11" i="13" s="1"/>
  <c r="H50" i="8"/>
  <c r="G30" i="3" s="1"/>
  <c r="G16" i="13" s="1"/>
  <c r="D33" i="3"/>
  <c r="D13" i="13" s="1"/>
  <c r="D32" i="3"/>
  <c r="D14" i="13" s="1"/>
  <c r="E6" i="13"/>
  <c r="E31" i="3"/>
  <c r="E11" i="13" s="1"/>
  <c r="F31" i="3"/>
  <c r="F11" i="13" s="1"/>
  <c r="F33" i="3"/>
  <c r="F13" i="13" s="1"/>
  <c r="E33" i="3"/>
  <c r="E13" i="13" s="1"/>
  <c r="D50" i="8"/>
  <c r="C29" i="3" s="1"/>
  <c r="E32" i="3"/>
  <c r="E14" i="13" s="1"/>
  <c r="E80" i="8"/>
  <c r="E50" i="8"/>
  <c r="D30" i="3" s="1"/>
  <c r="D16" i="13" s="1"/>
  <c r="B17" i="3"/>
  <c r="B16" i="3" s="1"/>
  <c r="C73" i="8"/>
  <c r="E17" i="3"/>
  <c r="E16" i="3" s="1"/>
  <c r="F73" i="8"/>
  <c r="D17" i="3"/>
  <c r="D16" i="3" s="1"/>
  <c r="E73" i="8"/>
  <c r="D9" i="3"/>
  <c r="D8" i="3" s="1"/>
  <c r="E63" i="8"/>
  <c r="G32" i="3"/>
  <c r="G14" i="13" s="1"/>
  <c r="G31" i="3"/>
  <c r="G33" i="3"/>
  <c r="G13" i="13" s="1"/>
  <c r="G6" i="13"/>
  <c r="H80" i="8"/>
  <c r="B9" i="3"/>
  <c r="B8" i="3" s="1"/>
  <c r="C63" i="8"/>
  <c r="F63" i="8"/>
  <c r="E9" i="3"/>
  <c r="E8" i="3" s="1"/>
  <c r="F17" i="3"/>
  <c r="F16" i="3" s="1"/>
  <c r="G73" i="8"/>
  <c r="D73" i="8"/>
  <c r="C17" i="3"/>
  <c r="C16" i="3" s="1"/>
  <c r="H17" i="3"/>
  <c r="H16" i="3" s="1"/>
  <c r="I73" i="8"/>
  <c r="H73" i="8"/>
  <c r="G17" i="3"/>
  <c r="G16" i="3" s="1"/>
  <c r="G50" i="8"/>
  <c r="I50" i="8"/>
  <c r="D63" i="8"/>
  <c r="C9" i="3"/>
  <c r="C8" i="3" s="1"/>
  <c r="C50" i="8"/>
  <c r="G9" i="3"/>
  <c r="G8" i="3" s="1"/>
  <c r="H63" i="8"/>
  <c r="G63" i="8"/>
  <c r="F9" i="3"/>
  <c r="F8" i="3" s="1"/>
  <c r="F50" i="8"/>
  <c r="I63" i="8"/>
  <c r="H9" i="3"/>
  <c r="H8" i="3" s="1"/>
  <c r="C27" i="7" l="1"/>
  <c r="D83" i="8"/>
  <c r="E79" i="8" s="1"/>
  <c r="E83" i="8" s="1"/>
  <c r="F79" i="8" s="1"/>
  <c r="F83" i="8" s="1"/>
  <c r="G79" i="8" s="1"/>
  <c r="G83" i="8" s="1"/>
  <c r="H79" i="8" s="1"/>
  <c r="H83" i="8" s="1"/>
  <c r="I79" i="8" s="1"/>
  <c r="I83" i="8" s="1"/>
  <c r="N23" i="16"/>
  <c r="N24" i="16"/>
  <c r="N20" i="16"/>
  <c r="N21" i="16"/>
  <c r="N22" i="16"/>
  <c r="N5" i="16"/>
  <c r="N10" i="16"/>
  <c r="N14" i="16"/>
  <c r="N18" i="16"/>
  <c r="N11" i="16"/>
  <c r="N15" i="16"/>
  <c r="N19" i="16"/>
  <c r="N12" i="16"/>
  <c r="N16" i="16"/>
  <c r="N13" i="16"/>
  <c r="N17" i="16"/>
  <c r="N6" i="16"/>
  <c r="N7" i="16"/>
  <c r="N8" i="16"/>
  <c r="N9" i="16"/>
  <c r="I4" i="16"/>
  <c r="B27" i="7"/>
  <c r="G7" i="3"/>
  <c r="G9" i="13" s="1"/>
  <c r="I75" i="8"/>
  <c r="H8" i="15" s="1"/>
  <c r="H9" i="15" s="1"/>
  <c r="G29" i="3"/>
  <c r="F75" i="8"/>
  <c r="E8" i="15" s="1"/>
  <c r="E9" i="15" s="1"/>
  <c r="E68" i="7" s="1"/>
  <c r="E66" i="7" s="1"/>
  <c r="D29" i="3"/>
  <c r="C30" i="3"/>
  <c r="C16" i="13" s="1"/>
  <c r="E27" i="7"/>
  <c r="C75" i="8"/>
  <c r="B8" i="15" s="1"/>
  <c r="B9" i="15" s="1"/>
  <c r="B68" i="7" s="1"/>
  <c r="B66" i="7" s="1"/>
  <c r="F7" i="3"/>
  <c r="F9" i="13" s="1"/>
  <c r="D27" i="7"/>
  <c r="F27" i="7"/>
  <c r="E75" i="8"/>
  <c r="D8" i="15" s="1"/>
  <c r="D9" i="15" s="1"/>
  <c r="H7" i="3"/>
  <c r="H9" i="13" s="1"/>
  <c r="D7" i="3"/>
  <c r="H75" i="8"/>
  <c r="G8" i="15" s="1"/>
  <c r="G9" i="15" s="1"/>
  <c r="D75" i="8"/>
  <c r="C8" i="15" s="1"/>
  <c r="C9" i="15" s="1"/>
  <c r="C68" i="7" s="1"/>
  <c r="C66" i="7" s="1"/>
  <c r="C7" i="3"/>
  <c r="C9" i="13" s="1"/>
  <c r="B7" i="3"/>
  <c r="B9" i="13" s="1"/>
  <c r="E30" i="3"/>
  <c r="E16" i="13" s="1"/>
  <c r="E29" i="3"/>
  <c r="B29" i="3"/>
  <c r="B30" i="3"/>
  <c r="B16" i="13" s="1"/>
  <c r="H30" i="3"/>
  <c r="H16" i="13" s="1"/>
  <c r="H29" i="3"/>
  <c r="H15" i="13" s="1"/>
  <c r="C15" i="13"/>
  <c r="G75" i="8"/>
  <c r="F8" i="15" s="1"/>
  <c r="F9" i="15" s="1"/>
  <c r="F30" i="3"/>
  <c r="F16" i="13" s="1"/>
  <c r="F29" i="3"/>
  <c r="E7" i="3"/>
  <c r="G11" i="13"/>
  <c r="G27" i="7"/>
  <c r="F30" i="7" l="1"/>
  <c r="E30" i="7"/>
  <c r="G15" i="13"/>
  <c r="G8" i="13" s="1"/>
  <c r="G19" i="13" s="1"/>
  <c r="G20" i="13" s="1"/>
  <c r="G21" i="13" s="1"/>
  <c r="G22" i="13" s="1"/>
  <c r="G30" i="7"/>
  <c r="D15" i="13"/>
  <c r="D30" i="7"/>
  <c r="C30" i="7"/>
  <c r="B30" i="7"/>
  <c r="G10" i="15"/>
  <c r="G11" i="15" s="1"/>
  <c r="G26" i="7" s="1"/>
  <c r="G6" i="3"/>
  <c r="H10" i="15"/>
  <c r="H11" i="15" s="1"/>
  <c r="E10" i="15"/>
  <c r="E11" i="15" s="1"/>
  <c r="E26" i="7" s="1"/>
  <c r="G68" i="7"/>
  <c r="G66" i="7" s="1"/>
  <c r="D10" i="15"/>
  <c r="D11" i="15" s="1"/>
  <c r="D26" i="7" s="1"/>
  <c r="D68" i="7"/>
  <c r="D66" i="7" s="1"/>
  <c r="B10" i="15"/>
  <c r="B11" i="15" s="1"/>
  <c r="B26" i="7" s="1"/>
  <c r="C8" i="13"/>
  <c r="C19" i="13" s="1"/>
  <c r="D90" i="8" s="1"/>
  <c r="D6" i="3"/>
  <c r="C10" i="15"/>
  <c r="C11" i="15" s="1"/>
  <c r="C26" i="7" s="1"/>
  <c r="D9" i="13"/>
  <c r="C6" i="3"/>
  <c r="E9" i="13"/>
  <c r="E6" i="3"/>
  <c r="F15" i="13"/>
  <c r="F8" i="13" s="1"/>
  <c r="F19" i="13" s="1"/>
  <c r="F68" i="7"/>
  <c r="F66" i="7" s="1"/>
  <c r="F10" i="15"/>
  <c r="F11" i="15" s="1"/>
  <c r="F26" i="7" s="1"/>
  <c r="B6" i="3"/>
  <c r="F6" i="3"/>
  <c r="B15" i="13"/>
  <c r="B8" i="13" s="1"/>
  <c r="B19" i="13" s="1"/>
  <c r="H6" i="3"/>
  <c r="H54" i="3" s="1"/>
  <c r="E15" i="13"/>
  <c r="H8" i="13"/>
  <c r="C20" i="13" l="1"/>
  <c r="C21" i="13" s="1"/>
  <c r="C22" i="13" s="1"/>
  <c r="E54" i="3"/>
  <c r="E6" i="16"/>
  <c r="E9" i="16" s="1"/>
  <c r="E21" i="16" s="1"/>
  <c r="E30" i="16" s="1"/>
  <c r="C54" i="3"/>
  <c r="C6" i="16"/>
  <c r="C9" i="16" s="1"/>
  <c r="C21" i="16" s="1"/>
  <c r="C30" i="16" s="1"/>
  <c r="D54" i="3"/>
  <c r="D6" i="16"/>
  <c r="D9" i="16" s="1"/>
  <c r="D21" i="16" s="1"/>
  <c r="D30" i="16" s="1"/>
  <c r="G54" i="3"/>
  <c r="G6" i="16"/>
  <c r="G9" i="16" s="1"/>
  <c r="G21" i="16" s="1"/>
  <c r="G30" i="16" s="1"/>
  <c r="F54" i="3"/>
  <c r="F6" i="16"/>
  <c r="F9" i="16" s="1"/>
  <c r="F21" i="16" s="1"/>
  <c r="F30" i="16" s="1"/>
  <c r="B54" i="3"/>
  <c r="B6" i="16"/>
  <c r="B9" i="16" s="1"/>
  <c r="D8" i="13"/>
  <c r="D19" i="13" s="1"/>
  <c r="D20" i="13" s="1"/>
  <c r="D21" i="13" s="1"/>
  <c r="D22" i="13" s="1"/>
  <c r="H90" i="8"/>
  <c r="F20" i="13"/>
  <c r="F21" i="13" s="1"/>
  <c r="F22" i="13" s="1"/>
  <c r="G90" i="8"/>
  <c r="B20" i="13"/>
  <c r="B21" i="13" s="1"/>
  <c r="B22" i="13" s="1"/>
  <c r="C85" i="8"/>
  <c r="C90" i="8"/>
  <c r="E8" i="13"/>
  <c r="E19" i="13" s="1"/>
  <c r="F35" i="16" l="1"/>
  <c r="F10" i="16"/>
  <c r="F22" i="16" s="1"/>
  <c r="F31" i="16" s="1"/>
  <c r="D35" i="16"/>
  <c r="D10" i="16"/>
  <c r="D22" i="16" s="1"/>
  <c r="D31" i="16" s="1"/>
  <c r="E35" i="16"/>
  <c r="E10" i="16"/>
  <c r="E22" i="16" s="1"/>
  <c r="E31" i="16" s="1"/>
  <c r="G35" i="16"/>
  <c r="G10" i="16"/>
  <c r="G22" i="16" s="1"/>
  <c r="G31" i="16" s="1"/>
  <c r="C35" i="16"/>
  <c r="C10" i="16"/>
  <c r="C22" i="16" s="1"/>
  <c r="C31" i="16" s="1"/>
  <c r="I6" i="16"/>
  <c r="E90" i="8"/>
  <c r="E20" i="13"/>
  <c r="E21" i="13" s="1"/>
  <c r="E22" i="13" s="1"/>
  <c r="F90" i="8"/>
  <c r="C92" i="8"/>
  <c r="B10" i="7" s="1"/>
  <c r="C91" i="8"/>
  <c r="B7" i="7" s="1"/>
  <c r="B8" i="7" s="1"/>
  <c r="D85" i="8"/>
  <c r="B10" i="16" l="1"/>
  <c r="B22" i="16" s="1"/>
  <c r="B31" i="16" s="1"/>
  <c r="B21" i="16"/>
  <c r="B30" i="16" s="1"/>
  <c r="B35" i="16" s="1"/>
  <c r="G11" i="16"/>
  <c r="D11" i="16"/>
  <c r="E11" i="16"/>
  <c r="F11" i="16"/>
  <c r="C11" i="16"/>
  <c r="I9" i="16"/>
  <c r="I21" i="16" s="1"/>
  <c r="I30" i="16" s="1"/>
  <c r="D92" i="8"/>
  <c r="C10" i="7" s="1"/>
  <c r="D91" i="8"/>
  <c r="C7" i="7" s="1"/>
  <c r="C8" i="7" s="1"/>
  <c r="E85" i="8"/>
  <c r="B9" i="7"/>
  <c r="B12" i="7"/>
  <c r="C93" i="8"/>
  <c r="B11" i="16" l="1"/>
  <c r="B12" i="16" s="1"/>
  <c r="B24" i="16" s="1"/>
  <c r="B33" i="16" s="1"/>
  <c r="C12" i="16"/>
  <c r="C24" i="16" s="1"/>
  <c r="C33" i="16" s="1"/>
  <c r="C23" i="16"/>
  <c r="C32" i="16" s="1"/>
  <c r="G12" i="16"/>
  <c r="G24" i="16" s="1"/>
  <c r="G33" i="16" s="1"/>
  <c r="G23" i="16"/>
  <c r="G32" i="16" s="1"/>
  <c r="F12" i="16"/>
  <c r="F24" i="16" s="1"/>
  <c r="F33" i="16" s="1"/>
  <c r="F23" i="16"/>
  <c r="F32" i="16" s="1"/>
  <c r="D12" i="16"/>
  <c r="D24" i="16" s="1"/>
  <c r="D33" i="16" s="1"/>
  <c r="D23" i="16"/>
  <c r="D32" i="16" s="1"/>
  <c r="E12" i="16"/>
  <c r="E24" i="16" s="1"/>
  <c r="E33" i="16" s="1"/>
  <c r="E23" i="16"/>
  <c r="E32" i="16" s="1"/>
  <c r="I35" i="16"/>
  <c r="I10" i="16"/>
  <c r="P7" i="16" s="1"/>
  <c r="Q7" i="16" s="1"/>
  <c r="C9" i="7"/>
  <c r="C12" i="7"/>
  <c r="B16" i="7"/>
  <c r="B17" i="7" s="1"/>
  <c r="B13" i="7"/>
  <c r="E92" i="8"/>
  <c r="D10" i="7" s="1"/>
  <c r="F85" i="8"/>
  <c r="E91" i="8"/>
  <c r="D7" i="7" s="1"/>
  <c r="D8" i="7" s="1"/>
  <c r="B59" i="7"/>
  <c r="D89" i="8"/>
  <c r="D93" i="8" s="1"/>
  <c r="P24" i="16" l="1"/>
  <c r="Q24" i="16" s="1"/>
  <c r="P23" i="16"/>
  <c r="Q23" i="16" s="1"/>
  <c r="P20" i="16"/>
  <c r="Q20" i="16" s="1"/>
  <c r="P21" i="16"/>
  <c r="Q21" i="16" s="1"/>
  <c r="P22" i="16"/>
  <c r="Q22" i="16" s="1"/>
  <c r="P8" i="16"/>
  <c r="Q8" i="16" s="1"/>
  <c r="P9" i="16"/>
  <c r="Q9" i="16" s="1"/>
  <c r="P10" i="16"/>
  <c r="Q10" i="16" s="1"/>
  <c r="P11" i="16"/>
  <c r="Q11" i="16" s="1"/>
  <c r="P12" i="16"/>
  <c r="Q12" i="16" s="1"/>
  <c r="P13" i="16"/>
  <c r="Q13" i="16" s="1"/>
  <c r="P14" i="16"/>
  <c r="Q14" i="16" s="1"/>
  <c r="P15" i="16"/>
  <c r="Q15" i="16" s="1"/>
  <c r="P16" i="16"/>
  <c r="Q16" i="16" s="1"/>
  <c r="P17" i="16"/>
  <c r="Q17" i="16" s="1"/>
  <c r="P18" i="16"/>
  <c r="Q18" i="16" s="1"/>
  <c r="P19" i="16"/>
  <c r="Q19" i="16" s="1"/>
  <c r="B23" i="16"/>
  <c r="B32" i="16" s="1"/>
  <c r="I11" i="16"/>
  <c r="I23" i="16" s="1"/>
  <c r="I32" i="16" s="1"/>
  <c r="I22" i="16"/>
  <c r="I31" i="16" s="1"/>
  <c r="P5" i="16"/>
  <c r="Q5" i="16" s="1"/>
  <c r="P6" i="16"/>
  <c r="Q6" i="16" s="1"/>
  <c r="D12" i="7"/>
  <c r="D9" i="7"/>
  <c r="F92" i="8"/>
  <c r="E10" i="7" s="1"/>
  <c r="F91" i="8"/>
  <c r="E7" i="7" s="1"/>
  <c r="E8" i="7" s="1"/>
  <c r="G85" i="8"/>
  <c r="B18" i="7"/>
  <c r="B64" i="7" s="1"/>
  <c r="B32" i="7"/>
  <c r="B24" i="7" s="1"/>
  <c r="B49" i="7" s="1"/>
  <c r="B51" i="7" s="1"/>
  <c r="C13" i="7"/>
  <c r="C16" i="7"/>
  <c r="C59" i="7"/>
  <c r="E89" i="8"/>
  <c r="E93" i="8" s="1"/>
  <c r="S23" i="16" l="1"/>
  <c r="S24" i="16"/>
  <c r="S21" i="16"/>
  <c r="S20" i="16"/>
  <c r="S22" i="16"/>
  <c r="S7" i="16"/>
  <c r="S8" i="16"/>
  <c r="S9" i="16"/>
  <c r="S10" i="16"/>
  <c r="S11" i="16"/>
  <c r="S12" i="16"/>
  <c r="S13" i="16"/>
  <c r="S14" i="16"/>
  <c r="S15" i="16"/>
  <c r="S16" i="16"/>
  <c r="S17" i="16"/>
  <c r="S18" i="16"/>
  <c r="S19" i="16"/>
  <c r="S6" i="16"/>
  <c r="S5" i="16"/>
  <c r="I12" i="16"/>
  <c r="I24" i="16" s="1"/>
  <c r="I33" i="16" s="1"/>
  <c r="E9" i="7"/>
  <c r="E12" i="7"/>
  <c r="D59" i="7"/>
  <c r="F89" i="8"/>
  <c r="F93" i="8" s="1"/>
  <c r="B19" i="7"/>
  <c r="C50" i="7"/>
  <c r="B57" i="7"/>
  <c r="B56" i="7" s="1"/>
  <c r="C17" i="7"/>
  <c r="C32" i="7" s="1"/>
  <c r="C24" i="7" s="1"/>
  <c r="C49" i="7" s="1"/>
  <c r="G92" i="8"/>
  <c r="F10" i="7" s="1"/>
  <c r="H85" i="8"/>
  <c r="G91" i="8"/>
  <c r="F7" i="7" s="1"/>
  <c r="F8" i="7" s="1"/>
  <c r="D13" i="7"/>
  <c r="D16" i="7"/>
  <c r="D17" i="7" s="1"/>
  <c r="C18" i="7" l="1"/>
  <c r="H92" i="8"/>
  <c r="G10" i="7" s="1"/>
  <c r="H91" i="8"/>
  <c r="G7" i="7" s="1"/>
  <c r="G8" i="7" s="1"/>
  <c r="I85" i="8"/>
  <c r="E59" i="7"/>
  <c r="G89" i="8"/>
  <c r="G93" i="8" s="1"/>
  <c r="D32" i="7"/>
  <c r="D24" i="7" s="1"/>
  <c r="D49" i="7" s="1"/>
  <c r="B62" i="7"/>
  <c r="B72" i="7" s="1"/>
  <c r="E13" i="7"/>
  <c r="E16" i="7"/>
  <c r="F9" i="7"/>
  <c r="F12" i="7"/>
  <c r="C51" i="7"/>
  <c r="C19" i="7" l="1"/>
  <c r="C64" i="7"/>
  <c r="C62" i="7" s="1"/>
  <c r="D18" i="7"/>
  <c r="D19" i="7" s="1"/>
  <c r="F16" i="7"/>
  <c r="F13" i="7"/>
  <c r="F59" i="7"/>
  <c r="H89" i="8"/>
  <c r="H93" i="8" s="1"/>
  <c r="G9" i="7"/>
  <c r="G12" i="7"/>
  <c r="E17" i="7"/>
  <c r="E32" i="7" s="1"/>
  <c r="E24" i="7" s="1"/>
  <c r="E49" i="7" s="1"/>
  <c r="D50" i="7"/>
  <c r="D51" i="7" s="1"/>
  <c r="C57" i="7"/>
  <c r="C56" i="7" s="1"/>
  <c r="I92" i="8"/>
  <c r="I91" i="8"/>
  <c r="C72" i="7" l="1"/>
  <c r="D64" i="7"/>
  <c r="D62" i="7" s="1"/>
  <c r="E18" i="7"/>
  <c r="E19" i="7" s="1"/>
  <c r="I89" i="8"/>
  <c r="I93" i="8" s="1"/>
  <c r="G59" i="7"/>
  <c r="F17" i="7"/>
  <c r="F32" i="7" s="1"/>
  <c r="F24" i="7" s="1"/>
  <c r="F49" i="7" s="1"/>
  <c r="G13" i="7"/>
  <c r="G16" i="7"/>
  <c r="D57" i="7"/>
  <c r="D56" i="7" s="1"/>
  <c r="E50" i="7"/>
  <c r="E51" i="7" s="1"/>
  <c r="E64" i="7" l="1"/>
  <c r="E62" i="7" s="1"/>
  <c r="D72" i="7"/>
  <c r="F18" i="7"/>
  <c r="F19" i="7" s="1"/>
  <c r="F50" i="7"/>
  <c r="F51" i="7" s="1"/>
  <c r="E57" i="7"/>
  <c r="E56" i="7" s="1"/>
  <c r="G17" i="7"/>
  <c r="G32" i="7" s="1"/>
  <c r="G24" i="7" s="1"/>
  <c r="G49" i="7" s="1"/>
  <c r="F64" i="7" l="1"/>
  <c r="F62" i="7" s="1"/>
  <c r="E72" i="7"/>
  <c r="G50" i="7"/>
  <c r="G51" i="7" s="1"/>
  <c r="G57" i="7" s="1"/>
  <c r="G56" i="7" s="1"/>
  <c r="F57" i="7"/>
  <c r="F56" i="7" s="1"/>
  <c r="G18" i="7"/>
  <c r="G19" i="7" s="1"/>
  <c r="F72" i="7" l="1"/>
  <c r="G64" i="7"/>
  <c r="G62" i="7" s="1"/>
  <c r="G7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Stashchuk Dmytro</author>
  </authors>
  <commentList>
    <comment ref="A40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Stashchuk Dmytro:</t>
        </r>
        <r>
          <rPr>
            <sz val="9"/>
            <color indexed="81"/>
            <rFont val="Tahoma"/>
            <family val="2"/>
            <charset val="204"/>
          </rPr>
          <t xml:space="preserve">
Property &amp; Liability</t>
        </r>
      </text>
    </comment>
  </commentList>
</comments>
</file>

<file path=xl/sharedStrings.xml><?xml version="1.0" encoding="utf-8"?>
<sst xmlns="http://schemas.openxmlformats.org/spreadsheetml/2006/main" count="841" uniqueCount="515">
  <si>
    <t>Product Mix</t>
  </si>
  <si>
    <t xml:space="preserve">Chardonnay </t>
  </si>
  <si>
    <t xml:space="preserve">Riesling </t>
  </si>
  <si>
    <t>Pinot Noir</t>
  </si>
  <si>
    <t>Cabernet Franc</t>
  </si>
  <si>
    <t xml:space="preserve">Cabernet Sauvignon </t>
  </si>
  <si>
    <t xml:space="preserve">Merlot </t>
  </si>
  <si>
    <t>Красное</t>
  </si>
  <si>
    <t>Белое</t>
  </si>
  <si>
    <r>
      <t>1</t>
    </r>
    <r>
      <rPr>
        <vertAlign val="superscript"/>
        <sz val="10"/>
        <color theme="0"/>
        <rFont val="Tahoma"/>
        <family val="2"/>
        <charset val="204"/>
      </rPr>
      <t>st</t>
    </r>
    <r>
      <rPr>
        <sz val="10"/>
        <color theme="0"/>
        <rFont val="Tahoma"/>
        <family val="2"/>
      </rPr>
      <t xml:space="preserve"> Label</t>
    </r>
  </si>
  <si>
    <r>
      <t>2</t>
    </r>
    <r>
      <rPr>
        <vertAlign val="superscript"/>
        <sz val="10"/>
        <color theme="0"/>
        <rFont val="Tahoma"/>
        <family val="2"/>
        <charset val="204"/>
      </rPr>
      <t>nd</t>
    </r>
    <r>
      <rPr>
        <sz val="10"/>
        <color theme="0"/>
        <rFont val="Tahoma"/>
        <family val="2"/>
      </rPr>
      <t xml:space="preserve"> Label</t>
    </r>
  </si>
  <si>
    <t>Распределение, %</t>
  </si>
  <si>
    <t>Sauvignon blanc</t>
  </si>
  <si>
    <t>Semillon</t>
  </si>
  <si>
    <t>Moscato</t>
  </si>
  <si>
    <t>Pinot grigio</t>
  </si>
  <si>
    <t>Verdelho</t>
  </si>
  <si>
    <t>Syrah (Shiraz)</t>
  </si>
  <si>
    <t>Grenache</t>
  </si>
  <si>
    <t>Malbec</t>
  </si>
  <si>
    <t>Всего</t>
  </si>
  <si>
    <t>Стоимость винограда</t>
  </si>
  <si>
    <t>$/т</t>
  </si>
  <si>
    <t>$/кг</t>
  </si>
  <si>
    <t>Каналы сбыта</t>
  </si>
  <si>
    <t>Прямые продажи</t>
  </si>
  <si>
    <t>Дистрибюторы</t>
  </si>
  <si>
    <t>Ритейлеры</t>
  </si>
  <si>
    <t>% от розничной цены</t>
  </si>
  <si>
    <t>Средняя</t>
  </si>
  <si>
    <t>Итого красное</t>
  </si>
  <si>
    <t>Итого белое</t>
  </si>
  <si>
    <t>Цена розничная, $/бут.</t>
  </si>
  <si>
    <t>Итого</t>
  </si>
  <si>
    <t>Выручка</t>
  </si>
  <si>
    <t>тыс. дол.</t>
  </si>
  <si>
    <t>Round</t>
  </si>
  <si>
    <t>Years</t>
  </si>
  <si>
    <t>Cycle</t>
  </si>
  <si>
    <t>Year 1</t>
  </si>
  <si>
    <t>Year 2</t>
  </si>
  <si>
    <t>Продажа</t>
  </si>
  <si>
    <t>Производство</t>
  </si>
  <si>
    <t>Period</t>
  </si>
  <si>
    <t>18 мес.</t>
  </si>
  <si>
    <t>21 мес.</t>
  </si>
  <si>
    <t>Созревание</t>
  </si>
  <si>
    <t>мес.</t>
  </si>
  <si>
    <t>Name</t>
  </si>
  <si>
    <t>Period1</t>
  </si>
  <si>
    <t>Period2</t>
  </si>
  <si>
    <t>Period3</t>
  </si>
  <si>
    <t>12 мес.</t>
  </si>
  <si>
    <t>Объем производства</t>
  </si>
  <si>
    <t>тонн</t>
  </si>
  <si>
    <t>Конверсия 1 тонны винограда</t>
  </si>
  <si>
    <t>Галлон</t>
  </si>
  <si>
    <t>Бутылок</t>
  </si>
  <si>
    <t>Литров</t>
  </si>
  <si>
    <t>Галлонов</t>
  </si>
  <si>
    <t>Ящиков</t>
  </si>
  <si>
    <t>литров</t>
  </si>
  <si>
    <t>Ящик</t>
  </si>
  <si>
    <t>бутылок</t>
  </si>
  <si>
    <t>Бутылка</t>
  </si>
  <si>
    <t>литра</t>
  </si>
  <si>
    <t>ящиков</t>
  </si>
  <si>
    <t>Объем закупок винограда</t>
  </si>
  <si>
    <t>Вино для целей продвижения</t>
  </si>
  <si>
    <t>Розлито в зале дегустации</t>
  </si>
  <si>
    <t>Роздано персоналу, собственникам</t>
  </si>
  <si>
    <t>Резерв для особых целей</t>
  </si>
  <si>
    <t>Ярмарки, мероприятия, медиа</t>
  </si>
  <si>
    <t>Благотворительность</t>
  </si>
  <si>
    <t>Цель использования</t>
  </si>
  <si>
    <t>% изьятия</t>
  </si>
  <si>
    <t>Инфляция</t>
  </si>
  <si>
    <t xml:space="preserve">Full-Time Position </t>
  </si>
  <si>
    <t xml:space="preserve">Job Description </t>
  </si>
  <si>
    <t xml:space="preserve">General Manager </t>
  </si>
  <si>
    <t xml:space="preserve">Coordinate winery operation and maintenance, sales, marketing, financial record keeping, and staffing. </t>
  </si>
  <si>
    <t xml:space="preserve">Winemaker </t>
  </si>
  <si>
    <t xml:space="preserve">Wine production, lab management, and quality control. </t>
  </si>
  <si>
    <t xml:space="preserve">Assistant Winemaker </t>
  </si>
  <si>
    <t xml:space="preserve">Assist winemaker in lab duties, quality control, wine production, and inventory management. </t>
  </si>
  <si>
    <t xml:space="preserve">Cellerman </t>
  </si>
  <si>
    <t xml:space="preserve">Responsible for winery maintenance, warehousing, receiving and shipping. </t>
  </si>
  <si>
    <t xml:space="preserve">Warehouse </t>
  </si>
  <si>
    <t xml:space="preserve">Conducts all storage and shipping functions. </t>
  </si>
  <si>
    <t xml:space="preserve">Public Relations </t>
  </si>
  <si>
    <t xml:space="preserve">Media and public communications, promotes industry issues, winery tours. </t>
  </si>
  <si>
    <t xml:space="preserve">Customer Service </t>
  </si>
  <si>
    <t xml:space="preserve">Operates tasting room. </t>
  </si>
  <si>
    <t xml:space="preserve">Sales Manager </t>
  </si>
  <si>
    <t xml:space="preserve">Direct all marketing and sales efforts. </t>
  </si>
  <si>
    <t xml:space="preserve">Office Manager </t>
  </si>
  <si>
    <t xml:space="preserve">Financial record keeping and general office duties. </t>
  </si>
  <si>
    <t xml:space="preserve">Clerical </t>
  </si>
  <si>
    <t xml:space="preserve">Assists office manager with all record keeping, filing, answering phones, and other general office duties. </t>
  </si>
  <si>
    <t xml:space="preserve">Total Full-Time Labor </t>
  </si>
  <si>
    <t xml:space="preserve">Part-Time Position </t>
  </si>
  <si>
    <t xml:space="preserve">Total Part-Time Labor </t>
  </si>
  <si>
    <t>Total</t>
  </si>
  <si>
    <t>Кол-во</t>
  </si>
  <si>
    <t>$/месяц</t>
  </si>
  <si>
    <t>$/год</t>
  </si>
  <si>
    <t>$/час</t>
  </si>
  <si>
    <t>часов/год</t>
  </si>
  <si>
    <t>Среднегодовая ЗП на 1 чел.</t>
  </si>
  <si>
    <t>Сорт вина</t>
  </si>
  <si>
    <t>Сорт винограда</t>
  </si>
  <si>
    <t>Отгрузка</t>
  </si>
  <si>
    <t>Распределение продаж</t>
  </si>
  <si>
    <t>Итого НЕ продано*</t>
  </si>
  <si>
    <t>* Включается в себестоимость производства</t>
  </si>
  <si>
    <t>CAPEX</t>
  </si>
  <si>
    <t>#</t>
  </si>
  <si>
    <t xml:space="preserve">Blue Giant Model MTS 2000 </t>
  </si>
  <si>
    <t xml:space="preserve">Sort table with conveyor </t>
  </si>
  <si>
    <t xml:space="preserve">Series 3200 Platform Scales </t>
  </si>
  <si>
    <t>Fermentation/Storage</t>
  </si>
  <si>
    <t xml:space="preserve">Glass carboys </t>
  </si>
  <si>
    <t xml:space="preserve">5 gallon glass </t>
  </si>
  <si>
    <t xml:space="preserve">Glycol refrigeration &amp; heating unit </t>
  </si>
  <si>
    <t xml:space="preserve">5 hp pump, thermostat, and reservoir tank </t>
  </si>
  <si>
    <t xml:space="preserve">Thermostat and valves for tanks </t>
  </si>
  <si>
    <t xml:space="preserve">Pipes from the chilling unit to the tanks </t>
  </si>
  <si>
    <t xml:space="preserve">Glycol  </t>
  </si>
  <si>
    <t xml:space="preserve">diluted 50/50 with water </t>
  </si>
  <si>
    <t xml:space="preserve">Must hose </t>
  </si>
  <si>
    <t>Kanaline FW- 150' of 3 "</t>
  </si>
  <si>
    <t xml:space="preserve">Clamps &amp; fittings </t>
  </si>
  <si>
    <t xml:space="preserve">triclover </t>
  </si>
  <si>
    <t xml:space="preserve">SS hopper for dumping pomace into press </t>
  </si>
  <si>
    <t xml:space="preserve">SS sump and screen </t>
  </si>
  <si>
    <t xml:space="preserve">Water hose </t>
  </si>
  <si>
    <t xml:space="preserve">100' 7/8 diameter </t>
  </si>
  <si>
    <t xml:space="preserve">SO2 dispenser </t>
  </si>
  <si>
    <t xml:space="preserve">canister </t>
  </si>
  <si>
    <t xml:space="preserve">Tools </t>
  </si>
  <si>
    <t xml:space="preserve">various </t>
  </si>
  <si>
    <t xml:space="preserve">Siphon hoses </t>
  </si>
  <si>
    <t xml:space="preserve">Lab equipment </t>
  </si>
  <si>
    <t xml:space="preserve">pH meter </t>
  </si>
  <si>
    <t>Orion 525 AO w/ ATC probe&amp; electrode</t>
  </si>
  <si>
    <t xml:space="preserve">Microscope </t>
  </si>
  <si>
    <t xml:space="preserve">Spectrometer </t>
  </si>
  <si>
    <t xml:space="preserve">SO2 testing apparatus </t>
  </si>
  <si>
    <t xml:space="preserve">A-O setup #2 </t>
  </si>
  <si>
    <t xml:space="preserve">Magnetic stirrer and bars </t>
  </si>
  <si>
    <t xml:space="preserve">Refractometer </t>
  </si>
  <si>
    <t xml:space="preserve">Handheld Brix model 45-02 </t>
  </si>
  <si>
    <t xml:space="preserve">Hydrometer </t>
  </si>
  <si>
    <t xml:space="preserve">Narrow Range -5-5,0-8,8-16,16-24 Brix </t>
  </si>
  <si>
    <t xml:space="preserve">Therometer </t>
  </si>
  <si>
    <t xml:space="preserve">Balance </t>
  </si>
  <si>
    <t xml:space="preserve">0.01g to 200 g </t>
  </si>
  <si>
    <t xml:space="preserve">Ebulliometer  </t>
  </si>
  <si>
    <t>electric</t>
  </si>
  <si>
    <t xml:space="preserve">Stirrer </t>
  </si>
  <si>
    <t>Glassware</t>
  </si>
  <si>
    <t xml:space="preserve"> various* </t>
  </si>
  <si>
    <t xml:space="preserve">Burettes </t>
  </si>
  <si>
    <t xml:space="preserve">Dispensing Burettes </t>
  </si>
  <si>
    <t>Thief</t>
  </si>
  <si>
    <t>glass 18"</t>
  </si>
  <si>
    <t xml:space="preserve">Air conditioning system </t>
  </si>
  <si>
    <t xml:space="preserve">Heating system </t>
  </si>
  <si>
    <t xml:space="preserve">Waste water disposal &amp; sewer </t>
  </si>
  <si>
    <t xml:space="preserve">General office equipment </t>
  </si>
  <si>
    <t xml:space="preserve">Computer &amp; software </t>
  </si>
  <si>
    <t xml:space="preserve">Furnishings </t>
  </si>
  <si>
    <t xml:space="preserve">Truck </t>
  </si>
  <si>
    <t xml:space="preserve">Car </t>
  </si>
  <si>
    <t xml:space="preserve">Bottling </t>
  </si>
  <si>
    <t xml:space="preserve">Bottling line </t>
  </si>
  <si>
    <t xml:space="preserve">filler, corker, labeler </t>
  </si>
  <si>
    <t xml:space="preserve">Housing unit for membrane filter </t>
  </si>
  <si>
    <t xml:space="preserve">Membrane filter </t>
  </si>
  <si>
    <t xml:space="preserve">Landscaping, roads, parking lot </t>
  </si>
  <si>
    <t>Description</t>
  </si>
  <si>
    <t>Receiving Equipment</t>
  </si>
  <si>
    <t xml:space="preserve">Picking Bins </t>
  </si>
  <si>
    <t>240 gallon T-Bin</t>
  </si>
  <si>
    <t xml:space="preserve">Hopper </t>
  </si>
  <si>
    <t xml:space="preserve">Stemmer/Crusher </t>
  </si>
  <si>
    <t xml:space="preserve">Membrane Press </t>
  </si>
  <si>
    <t xml:space="preserve">Must Pump </t>
  </si>
  <si>
    <t xml:space="preserve">5–50 gpm positive displacement </t>
  </si>
  <si>
    <t xml:space="preserve">Pomace &amp; Stem Conveyor </t>
  </si>
  <si>
    <t>Cellar Equipment</t>
  </si>
  <si>
    <t xml:space="preserve">Tank Mixer </t>
  </si>
  <si>
    <t xml:space="preserve">1 horse power with fittings </t>
  </si>
  <si>
    <t xml:space="preserve">Transfer Pump </t>
  </si>
  <si>
    <t xml:space="preserve">5–50 gpm flexible impeller </t>
  </si>
  <si>
    <t xml:space="preserve">Transfer Hose </t>
  </si>
  <si>
    <t xml:space="preserve">Barrel Washer </t>
  </si>
  <si>
    <t xml:space="preserve">non-automated </t>
  </si>
  <si>
    <t xml:space="preserve">Plate &amp; Frame Filter </t>
  </si>
  <si>
    <t xml:space="preserve">Air Compressor </t>
  </si>
  <si>
    <t xml:space="preserve">Pressure Washer </t>
  </si>
  <si>
    <t xml:space="preserve">Misc. Supplies </t>
  </si>
  <si>
    <t>Materials Handling</t>
  </si>
  <si>
    <t xml:space="preserve">Pallet Jack </t>
  </si>
  <si>
    <t xml:space="preserve">Hand Cart </t>
  </si>
  <si>
    <t xml:space="preserve">Fork Lift </t>
  </si>
  <si>
    <t xml:space="preserve">Rotator Attachment  </t>
  </si>
  <si>
    <t xml:space="preserve">Cascade attachment 360 </t>
  </si>
  <si>
    <t>Pickup</t>
  </si>
  <si>
    <t>Refrigeration</t>
  </si>
  <si>
    <t xml:space="preserve">System </t>
  </si>
  <si>
    <t xml:space="preserve">Fermentation Tanks </t>
  </si>
  <si>
    <t xml:space="preserve">Storage Tanks </t>
  </si>
  <si>
    <t xml:space="preserve">Fermentation Bins </t>
  </si>
  <si>
    <t xml:space="preserve">Tank Stands </t>
  </si>
  <si>
    <t xml:space="preserve">Tank Washer </t>
  </si>
  <si>
    <t>Cooperage</t>
  </si>
  <si>
    <t>Barrels</t>
  </si>
  <si>
    <t xml:space="preserve">60.4 gallon oak </t>
  </si>
  <si>
    <t xml:space="preserve">Racks </t>
  </si>
  <si>
    <t>Silicone Bungs</t>
  </si>
  <si>
    <t xml:space="preserve">Fermentation Bungs </t>
  </si>
  <si>
    <t>Tasting Room</t>
  </si>
  <si>
    <t xml:space="preserve">Refrigerator </t>
  </si>
  <si>
    <t xml:space="preserve">Wine Cooler </t>
  </si>
  <si>
    <t xml:space="preserve">Commercial Dishwasher </t>
  </si>
  <si>
    <t xml:space="preserve">Stemware </t>
  </si>
  <si>
    <t>Plant and Office</t>
  </si>
  <si>
    <t xml:space="preserve">Land </t>
  </si>
  <si>
    <t xml:space="preserve">Building </t>
  </si>
  <si>
    <t>Scale</t>
  </si>
  <si>
    <t>Source</t>
  </si>
  <si>
    <t>EN</t>
  </si>
  <si>
    <t>RU</t>
  </si>
  <si>
    <t>Приемное оборудование</t>
  </si>
  <si>
    <t>Резервуары для винограда</t>
  </si>
  <si>
    <t>Вагонетка с опрокидывающимся кузовом</t>
  </si>
  <si>
    <t>Гребнеотделитель / Измельчитель</t>
  </si>
  <si>
    <t>Мембранный пресс</t>
  </si>
  <si>
    <t>Насос для перекачки сусла</t>
  </si>
  <si>
    <t>Конвейер для мезги и гребеня виноградной кисти</t>
  </si>
  <si>
    <t>Весы</t>
  </si>
  <si>
    <t>gallons</t>
  </si>
  <si>
    <t>amount</t>
  </si>
  <si>
    <t>price</t>
  </si>
  <si>
    <t>volume</t>
  </si>
  <si>
    <t>liters</t>
  </si>
  <si>
    <t>$/gallon</t>
  </si>
  <si>
    <t>20,000 ящиков</t>
  </si>
  <si>
    <t>Расчет количества чанов</t>
  </si>
  <si>
    <t>Ферментационный резервувар с открытм верхом</t>
  </si>
  <si>
    <t>Стойки для чанов</t>
  </si>
  <si>
    <t>Мойка для чанов</t>
  </si>
  <si>
    <t>Ферментационные чаны (2,500 gal)</t>
  </si>
  <si>
    <t>Ферментационные чаны (2,000 gal)</t>
  </si>
  <si>
    <t>Ферментационные чаны (1,700 gal)</t>
  </si>
  <si>
    <t>Ферментационные чаны (1,000 gal)</t>
  </si>
  <si>
    <t>Ферментационные чаны (450 gal)</t>
  </si>
  <si>
    <t>Чаны для хранения (1,000 gal)</t>
  </si>
  <si>
    <t>Чаны для хранения (840 gal)</t>
  </si>
  <si>
    <t>Чаны для хранения (530 gal)</t>
  </si>
  <si>
    <t>Чаны для хранения (450 gal)</t>
  </si>
  <si>
    <t>Чаны для хранения (250 gal)</t>
  </si>
  <si>
    <t>Оплетённая бутыль (5 gal)</t>
  </si>
  <si>
    <t>15 gallon ss</t>
  </si>
  <si>
    <t>Kegs</t>
  </si>
  <si>
    <t xml:space="preserve">Drums </t>
  </si>
  <si>
    <t>Бочонки (15 gal)</t>
  </si>
  <si>
    <t>Бочка цилиндрическая (55 gal)</t>
  </si>
  <si>
    <t xml:space="preserve">stainless steel, jacketed, bottom and side ports </t>
  </si>
  <si>
    <t>square open top, stainless steel</t>
  </si>
  <si>
    <t>Ферментация и хранение</t>
  </si>
  <si>
    <t>Оборудование винного погреба</t>
  </si>
  <si>
    <t>40,000 ящиков</t>
  </si>
  <si>
    <t>Kanaline 1 "</t>
  </si>
  <si>
    <t>Смеситель резервуара</t>
  </si>
  <si>
    <t>Перекачивающий насос</t>
  </si>
  <si>
    <t>Перекачивающий рукав</t>
  </si>
  <si>
    <t>plastic flex 2 "</t>
  </si>
  <si>
    <t>Рукав для перекачки сусла</t>
  </si>
  <si>
    <t>Рукав сифона</t>
  </si>
  <si>
    <t>Бочкомоечная машина</t>
  </si>
  <si>
    <t>Плиточно-рамный фильтр</t>
  </si>
  <si>
    <t>Воздушный компрессор</t>
  </si>
  <si>
    <t>Установка для мытья под давлением</t>
  </si>
  <si>
    <t>Инструменты</t>
  </si>
  <si>
    <t>Водяной рукав</t>
  </si>
  <si>
    <t>Фиттинги, зажимы, пр.</t>
  </si>
  <si>
    <t>Распылитель SO2</t>
  </si>
  <si>
    <t>Сточный резервуар</t>
  </si>
  <si>
    <t>Вагонетка для сброса мезги в пресс</t>
  </si>
  <si>
    <t>Разное</t>
  </si>
  <si>
    <t>Складское обрудование</t>
  </si>
  <si>
    <t>Устройство подъёма поддонов</t>
  </si>
  <si>
    <t>Ручная тележка</t>
  </si>
  <si>
    <t>Автопогрузчик с вилочным захватом</t>
  </si>
  <si>
    <t>Навесное оборудование вилочного погрузчика</t>
  </si>
  <si>
    <t>Пикап</t>
  </si>
  <si>
    <t>Холодильная техника</t>
  </si>
  <si>
    <t>Система охлаждения</t>
  </si>
  <si>
    <t>Охлаждающий и нагревающий элемент</t>
  </si>
  <si>
    <t>Термостат и укупорочный краник</t>
  </si>
  <si>
    <t>Трубки от охлаждающего элемента до чана</t>
  </si>
  <si>
    <t>Антифриз (гликоль)</t>
  </si>
  <si>
    <t>Деревянная бочковая тара</t>
  </si>
  <si>
    <t>Подставки для бочек</t>
  </si>
  <si>
    <t>Бочки (60.4 gal)</t>
  </si>
  <si>
    <t>Силиконовые пробки для бочек</t>
  </si>
  <si>
    <t>Benchmark</t>
  </si>
  <si>
    <t>Пробки для ферментации</t>
  </si>
  <si>
    <t>Измеритель кислотности (pH)</t>
  </si>
  <si>
    <t>Микроскоп</t>
  </si>
  <si>
    <t>Спектрометр</t>
  </si>
  <si>
    <t>Аппарат для тестирования уровня SO2</t>
  </si>
  <si>
    <t>Магнитный смеситель</t>
  </si>
  <si>
    <t>Гидрометр</t>
  </si>
  <si>
    <t>Термометр</t>
  </si>
  <si>
    <t>Эбуллиометр</t>
  </si>
  <si>
    <t>Смеситель</t>
  </si>
  <si>
    <t>Стеклянная тара</t>
  </si>
  <si>
    <t>Дозирующая бюретка</t>
  </si>
  <si>
    <t>Бюретка</t>
  </si>
  <si>
    <t>Приспособление для забора пробы</t>
  </si>
  <si>
    <t>Рефрактометр</t>
  </si>
  <si>
    <t>Линия розлива в бутылки</t>
  </si>
  <si>
    <t>Ободрудование для бутилирования</t>
  </si>
  <si>
    <t>Лабораторное оборудование</t>
  </si>
  <si>
    <t>Мембранный фильтр</t>
  </si>
  <si>
    <t>Узел корпуса мембранного фильтра</t>
  </si>
  <si>
    <t>Building</t>
  </si>
  <si>
    <t>Дегустационное помещение</t>
  </si>
  <si>
    <t>Холодильник для вина</t>
  </si>
  <si>
    <t>Холодильная установка</t>
  </si>
  <si>
    <t>Промышленная посудомоечная машина</t>
  </si>
  <si>
    <t>Столовое стекло</t>
  </si>
  <si>
    <t>Ландшафт, подъезная дорога, паркинг</t>
  </si>
  <si>
    <t>Мебель</t>
  </si>
  <si>
    <t>Земельный участок</t>
  </si>
  <si>
    <t>Офисное оборудование (компьютеры, пр.)</t>
  </si>
  <si>
    <t>Офисная мебель</t>
  </si>
  <si>
    <t>Офис и транспортные средства</t>
  </si>
  <si>
    <t>55 gallon ss | 3 tighthead w/ bung &amp; 3 w/ removable lid</t>
  </si>
  <si>
    <t>5,000 lb, pneumatic, propane forklift | Electric Clark Model ECS-20</t>
  </si>
  <si>
    <r>
      <t>Помещение (м</t>
    </r>
    <r>
      <rPr>
        <vertAlign val="superscript"/>
        <sz val="11"/>
        <rFont val="Tahoma"/>
        <family val="2"/>
      </rPr>
      <t>2</t>
    </r>
    <r>
      <rPr>
        <sz val="11"/>
        <rFont val="Tahoma"/>
        <family val="2"/>
      </rPr>
      <t>)</t>
    </r>
  </si>
  <si>
    <r>
      <t>Строительство офисного здания (м</t>
    </r>
    <r>
      <rPr>
        <vertAlign val="superscript"/>
        <sz val="11"/>
        <rFont val="Tahoma"/>
        <family val="2"/>
      </rPr>
      <t>2</t>
    </r>
    <r>
      <rPr>
        <sz val="11"/>
        <rFont val="Tahoma"/>
        <family val="2"/>
      </rPr>
      <t>)</t>
    </r>
  </si>
  <si>
    <t>Система кондиционирования</t>
  </si>
  <si>
    <t>Система отопления</t>
  </si>
  <si>
    <t>Общеофисное оборудование</t>
  </si>
  <si>
    <t>Легковой автомобиль</t>
  </si>
  <si>
    <t>Грузовик</t>
  </si>
  <si>
    <t>Утилизация сточных вод и канализация</t>
  </si>
  <si>
    <t>Цена, $</t>
  </si>
  <si>
    <t>Доставка, $</t>
  </si>
  <si>
    <t>Цена итого, $</t>
  </si>
  <si>
    <r>
      <rPr>
        <b/>
        <i/>
        <sz val="11"/>
        <rFont val="Tahoma"/>
        <family val="2"/>
        <charset val="204"/>
      </rPr>
      <t>1.5</t>
    </r>
    <r>
      <rPr>
        <i/>
        <sz val="11"/>
        <rFont val="Tahoma"/>
        <family val="2"/>
        <charset val="204"/>
      </rPr>
      <t xml:space="preserve"> ton elevated </t>
    </r>
  </si>
  <si>
    <r>
      <rPr>
        <b/>
        <i/>
        <sz val="11"/>
        <rFont val="Tahoma"/>
        <family val="2"/>
        <charset val="204"/>
      </rPr>
      <t>12</t>
    </r>
    <r>
      <rPr>
        <i/>
        <sz val="11"/>
        <rFont val="Tahoma"/>
        <family val="2"/>
        <charset val="204"/>
      </rPr>
      <t xml:space="preserve"> ton per hour Delta E2 DeStemmer (12 tons/hr)</t>
    </r>
  </si>
  <si>
    <r>
      <t xml:space="preserve">Air Bladder, </t>
    </r>
    <r>
      <rPr>
        <b/>
        <i/>
        <sz val="11"/>
        <rFont val="Tahoma"/>
        <family val="2"/>
        <charset val="204"/>
      </rPr>
      <t>4</t>
    </r>
    <r>
      <rPr>
        <i/>
        <sz val="11"/>
        <rFont val="Tahoma"/>
        <family val="2"/>
        <charset val="204"/>
      </rPr>
      <t xml:space="preserve"> tons per hour | Bucher Model PRF-022-2</t>
    </r>
  </si>
  <si>
    <r>
      <t xml:space="preserve">40 cm, </t>
    </r>
    <r>
      <rPr>
        <b/>
        <i/>
        <sz val="11"/>
        <rFont val="Tahoma"/>
        <family val="2"/>
        <charset val="204"/>
      </rPr>
      <t>60</t>
    </r>
    <r>
      <rPr>
        <i/>
        <sz val="11"/>
        <rFont val="Tahoma"/>
        <family val="2"/>
        <charset val="204"/>
      </rPr>
      <t xml:space="preserve"> plates </t>
    </r>
  </si>
  <si>
    <r>
      <rPr>
        <b/>
        <i/>
        <sz val="11"/>
        <rFont val="Tahoma"/>
        <family val="2"/>
        <charset val="204"/>
      </rPr>
      <t>30</t>
    </r>
    <r>
      <rPr>
        <i/>
        <sz val="11"/>
        <rFont val="Tahoma"/>
        <family val="2"/>
        <charset val="204"/>
      </rPr>
      <t xml:space="preserve"> tons glycol, plus piping, chiller, and heater </t>
    </r>
  </si>
  <si>
    <t>Операционные расходы</t>
  </si>
  <si>
    <t>Для красного вина</t>
  </si>
  <si>
    <t>Для белого вина</t>
  </si>
  <si>
    <t>Производственный персонал</t>
  </si>
  <si>
    <t>Переменные затраты</t>
  </si>
  <si>
    <t>Постоянные затраты</t>
  </si>
  <si>
    <t>Административный персонал</t>
  </si>
  <si>
    <t>Упаковка</t>
  </si>
  <si>
    <t>Бутылирование</t>
  </si>
  <si>
    <t>$/ящик</t>
  </si>
  <si>
    <t>Маркетинг</t>
  </si>
  <si>
    <t>Производственные параметры</t>
  </si>
  <si>
    <t>Макропараметры</t>
  </si>
  <si>
    <t>Ставка по кредиту</t>
  </si>
  <si>
    <t>$/1,000 шт.</t>
  </si>
  <si>
    <t>Корок</t>
  </si>
  <si>
    <t>Капсула</t>
  </si>
  <si>
    <t>Печать этикеток</t>
  </si>
  <si>
    <t>$/шт.</t>
  </si>
  <si>
    <t>Параметры расходов</t>
  </si>
  <si>
    <t>Ящик (12 шт./ящик)</t>
  </si>
  <si>
    <t>$/мес.</t>
  </si>
  <si>
    <t>Офис (связь, интернет, пр.)</t>
  </si>
  <si>
    <t>Топливо</t>
  </si>
  <si>
    <t>Профессиональные услуги</t>
  </si>
  <si>
    <t>Аутсорсинг бухучета</t>
  </si>
  <si>
    <t>Юридические услуги</t>
  </si>
  <si>
    <t>Налоги</t>
  </si>
  <si>
    <t>Property Tax</t>
  </si>
  <si>
    <t>Business and occupation tax</t>
  </si>
  <si>
    <t>Wine Commission</t>
  </si>
  <si>
    <t>Ремонт оборудования</t>
  </si>
  <si>
    <t>Excise tax</t>
  </si>
  <si>
    <t>per $1,000</t>
  </si>
  <si>
    <t>per gallon (+$1,000)</t>
  </si>
  <si>
    <t>of gross receipts</t>
  </si>
  <si>
    <t>per ton of grapes crushed</t>
  </si>
  <si>
    <t>Страховка</t>
  </si>
  <si>
    <t>…</t>
  </si>
  <si>
    <t>Дрожжи</t>
  </si>
  <si>
    <t>Химикаты</t>
  </si>
  <si>
    <t>ML-бактерии</t>
  </si>
  <si>
    <t>Пищевые добавки</t>
  </si>
  <si>
    <t>Средства санитарной обработки</t>
  </si>
  <si>
    <t>Азот (в цилиндрах)</t>
  </si>
  <si>
    <t>Аргон (в цилиндрах)</t>
  </si>
  <si>
    <t>Внешняя лаборатория</t>
  </si>
  <si>
    <t>Собственная лаборатория</t>
  </si>
  <si>
    <t>Вспомогательные материалы</t>
  </si>
  <si>
    <t>Лаборатория</t>
  </si>
  <si>
    <t>Баланс вина</t>
  </si>
  <si>
    <t>Начальный остаток</t>
  </si>
  <si>
    <t>Произведено</t>
  </si>
  <si>
    <t>Реализовано</t>
  </si>
  <si>
    <t>Промоушн</t>
  </si>
  <si>
    <t>Конечный остаток</t>
  </si>
  <si>
    <t>Себестоимость производства</t>
  </si>
  <si>
    <t>Срок амортизации</t>
  </si>
  <si>
    <t>Начало продаж</t>
  </si>
  <si>
    <t>Старт продаж</t>
  </si>
  <si>
    <t>Проверка</t>
  </si>
  <si>
    <t>Год начала продаж</t>
  </si>
  <si>
    <t>Амортизация (производственная)</t>
  </si>
  <si>
    <r>
      <t>Амортизация (</t>
    </r>
    <r>
      <rPr>
        <u/>
        <sz val="11"/>
        <color theme="1"/>
        <rFont val="Tahoma"/>
        <family val="2"/>
        <charset val="204"/>
      </rPr>
      <t>не</t>
    </r>
    <r>
      <rPr>
        <sz val="11"/>
        <color theme="1"/>
        <rFont val="Tahoma"/>
        <family val="2"/>
        <charset val="204"/>
      </rPr>
      <t>производственная)</t>
    </r>
  </si>
  <si>
    <t>Себестоимость 1 ед.</t>
  </si>
  <si>
    <t>Литр</t>
  </si>
  <si>
    <t>ящики</t>
  </si>
  <si>
    <t>Коммунальные расходы (админ)</t>
  </si>
  <si>
    <t>Коммунальные расходы (произв.)</t>
  </si>
  <si>
    <t>$/1000 ящиков</t>
  </si>
  <si>
    <t>Средняя цена списания</t>
  </si>
  <si>
    <t>Себестоимость</t>
  </si>
  <si>
    <t>Валовая прибыль</t>
  </si>
  <si>
    <t>Валовая маржа, %</t>
  </si>
  <si>
    <t>Административные расходы</t>
  </si>
  <si>
    <t>Коммерческие расходы</t>
  </si>
  <si>
    <t>EBITDA</t>
  </si>
  <si>
    <t>EBITDA, %</t>
  </si>
  <si>
    <t>Проценты по кредитам</t>
  </si>
  <si>
    <t>Прибыль до налогов</t>
  </si>
  <si>
    <t>Налог</t>
  </si>
  <si>
    <t>Чистая прибыль</t>
  </si>
  <si>
    <t>Рентабельность, %</t>
  </si>
  <si>
    <t>Амортизация (непроизв.)</t>
  </si>
  <si>
    <t>Налог на прибыль</t>
  </si>
  <si>
    <t>Бюджет прибыли и убытков</t>
  </si>
  <si>
    <t>Показатель, k$</t>
  </si>
  <si>
    <t>Бюджет движения денежных средств</t>
  </si>
  <si>
    <t>Операционный поток</t>
  </si>
  <si>
    <t>Инвестиционный поток</t>
  </si>
  <si>
    <t>Финансовый поток</t>
  </si>
  <si>
    <t>Чистый денежный поток</t>
  </si>
  <si>
    <t>Остаток на начало</t>
  </si>
  <si>
    <t>Остаток на конец</t>
  </si>
  <si>
    <t>Поступления от продаж</t>
  </si>
  <si>
    <t>Оплата поставщикам</t>
  </si>
  <si>
    <t>Зарплата</t>
  </si>
  <si>
    <t>Затраты на прямые материалы</t>
  </si>
  <si>
    <t>Прочие операционные</t>
  </si>
  <si>
    <t>Проценты по кредиту</t>
  </si>
  <si>
    <t>Инвестиция в капитал</t>
  </si>
  <si>
    <t>Получение кредита</t>
  </si>
  <si>
    <t>Возврат кредита</t>
  </si>
  <si>
    <t>Возврат инвестиций (дивиденды)</t>
  </si>
  <si>
    <t>Кредит</t>
  </si>
  <si>
    <t>Платеж</t>
  </si>
  <si>
    <t>Проценты</t>
  </si>
  <si>
    <t>Тело кредита</t>
  </si>
  <si>
    <t>Год</t>
  </si>
  <si>
    <t>Месяц</t>
  </si>
  <si>
    <t>Ставка</t>
  </si>
  <si>
    <t>Прогнозный баланс</t>
  </si>
  <si>
    <t>Активы</t>
  </si>
  <si>
    <t>Денежные средства</t>
  </si>
  <si>
    <t>Дебиторская задолженность</t>
  </si>
  <si>
    <t>Основные средства</t>
  </si>
  <si>
    <t>Капитал</t>
  </si>
  <si>
    <t>Нераспределенная прибыль</t>
  </si>
  <si>
    <t>Обязательства</t>
  </si>
  <si>
    <t>Кредиторская задолженность</t>
  </si>
  <si>
    <t>Check</t>
  </si>
  <si>
    <t>Вложения собственника</t>
  </si>
  <si>
    <t>Выручка от продаж</t>
  </si>
  <si>
    <t>Прирост</t>
  </si>
  <si>
    <t>Поступление денег</t>
  </si>
  <si>
    <t>Параметры расчетов с контрагентами</t>
  </si>
  <si>
    <t>Период оплаты покупателей</t>
  </si>
  <si>
    <t>дн.</t>
  </si>
  <si>
    <t>Период отсрочки у поставщиков</t>
  </si>
  <si>
    <t>Оборачиваемость</t>
  </si>
  <si>
    <t>Закупка</t>
  </si>
  <si>
    <t>Запасы (вино на складе)</t>
  </si>
  <si>
    <t>Расходы на персонал</t>
  </si>
  <si>
    <t xml:space="preserve">misc </t>
  </si>
  <si>
    <t>На 1 ящик</t>
  </si>
  <si>
    <t>Точка безубыточности</t>
  </si>
  <si>
    <t>Запас прочности</t>
  </si>
  <si>
    <t>На 1 бутылку</t>
  </si>
  <si>
    <t>На 1 галлон</t>
  </si>
  <si>
    <t>На 1 литр</t>
  </si>
  <si>
    <t>Бутылок, тыс. шт.</t>
  </si>
  <si>
    <t>Литров, тыс.</t>
  </si>
  <si>
    <t>Галонов, тыс.</t>
  </si>
  <si>
    <t>Ящиков, тыс. шт.</t>
  </si>
  <si>
    <t>FC</t>
  </si>
  <si>
    <t>Volume</t>
  </si>
  <si>
    <t>VC</t>
  </si>
  <si>
    <t>TC</t>
  </si>
  <si>
    <t>R</t>
  </si>
  <si>
    <t>Цена</t>
  </si>
  <si>
    <t>За ящик</t>
  </si>
  <si>
    <t>За бутылку</t>
  </si>
  <si>
    <t>За литр</t>
  </si>
  <si>
    <t>За галлон</t>
  </si>
  <si>
    <t>Маржа</t>
  </si>
  <si>
    <t>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</si>
</sst>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"/>
    <numFmt numFmtId="167" formatCode="_(* #,##0.0_);_(* \(#,##0.0\);_(* &quot;-&quot;_);_(@_)"/>
    <numFmt numFmtId="168" formatCode="0.0000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_(* #,##0.0,_);_(* \(#,##0.0,\);_(* &quot;-&quot;?_);_(@_)"/>
    <numFmt numFmtId="173" formatCode="_(* #,##0.0_);_(* \(#,##0.0\);_(* &quot;-&quot;?_);_(@_)"/>
  </numFmts>
  <fonts count="55" x14ac:knownFonts="1">
    <font>
      <sz val="11"/>
      <color theme="1"/>
      <name val="Tahoma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  <charset val="204"/>
    </font>
    <font>
      <sz val="10"/>
      <color theme="0"/>
      <name val="Tahoma"/>
      <family val="2"/>
    </font>
    <font>
      <vertAlign val="superscript"/>
      <sz val="10"/>
      <color theme="0"/>
      <name val="Tahoma"/>
      <family val="2"/>
      <charset val="204"/>
    </font>
    <font>
      <b/>
      <sz val="8"/>
      <color theme="1"/>
      <name val="Tahoma"/>
      <family val="2"/>
      <charset val="204"/>
    </font>
    <font>
      <sz val="10"/>
      <name val="Tahoma"/>
      <family val="2"/>
    </font>
    <font>
      <b/>
      <sz val="11"/>
      <color theme="0"/>
      <name val="Tahoma"/>
      <family val="2"/>
      <charset val="204"/>
    </font>
    <font>
      <i/>
      <sz val="8"/>
      <color rgb="FFFF0000"/>
      <name val="Tahoma"/>
      <family val="2"/>
      <charset val="204"/>
    </font>
    <font>
      <b/>
      <sz val="11"/>
      <color theme="0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sz val="10"/>
      <color theme="1"/>
      <name val="Tahoma"/>
      <family val="2"/>
    </font>
    <font>
      <sz val="10"/>
      <color theme="1"/>
      <name val="Tahoma"/>
      <family val="2"/>
      <charset val="204"/>
    </font>
    <font>
      <b/>
      <sz val="10"/>
      <color theme="1"/>
      <name val="Tahoma"/>
      <family val="2"/>
    </font>
    <font>
      <sz val="9"/>
      <color theme="1"/>
      <name val="Tahoma"/>
      <family val="2"/>
    </font>
    <font>
      <sz val="10"/>
      <color rgb="FFFF0000"/>
      <name val="Tahoma"/>
      <family val="2"/>
    </font>
    <font>
      <i/>
      <sz val="10"/>
      <color theme="1"/>
      <name val="Tahoma"/>
      <family val="2"/>
      <charset val="204"/>
    </font>
    <font>
      <i/>
      <sz val="10"/>
      <color theme="1" tint="0.499984740745262"/>
      <name val="Tahoma"/>
      <family val="2"/>
      <charset val="204"/>
    </font>
    <font>
      <sz val="11"/>
      <name val="Tahoma"/>
      <family val="2"/>
    </font>
    <font>
      <b/>
      <sz val="11"/>
      <name val="Tahoma"/>
      <family val="2"/>
    </font>
    <font>
      <sz val="11"/>
      <color theme="0" tint="-0.499984740745262"/>
      <name val="Tahoma"/>
      <family val="2"/>
    </font>
    <font>
      <b/>
      <sz val="11"/>
      <color rgb="FFFF0000"/>
      <name val="Tahoma"/>
      <family val="2"/>
      <charset val="204"/>
    </font>
    <font>
      <b/>
      <sz val="11"/>
      <color theme="0" tint="-0.499984740745262"/>
      <name val="Tahoma"/>
      <family val="2"/>
    </font>
    <font>
      <b/>
      <sz val="11"/>
      <color theme="0" tint="-0.499984740745262"/>
      <name val="Tahoma"/>
      <family val="2"/>
      <charset val="204"/>
    </font>
    <font>
      <b/>
      <sz val="8"/>
      <color theme="8"/>
      <name val="Tahoma"/>
      <family val="2"/>
    </font>
    <font>
      <vertAlign val="superscript"/>
      <sz val="11"/>
      <name val="Tahoma"/>
      <family val="2"/>
    </font>
    <font>
      <b/>
      <sz val="11"/>
      <name val="Tahoma"/>
      <family val="2"/>
      <charset val="204"/>
    </font>
    <font>
      <i/>
      <sz val="11"/>
      <color theme="1"/>
      <name val="Tahoma"/>
      <family val="2"/>
      <charset val="204"/>
    </font>
    <font>
      <b/>
      <i/>
      <sz val="11"/>
      <color theme="1"/>
      <name val="Tahoma"/>
      <family val="2"/>
      <charset val="204"/>
    </font>
    <font>
      <i/>
      <sz val="11"/>
      <name val="Tahoma"/>
      <family val="2"/>
      <charset val="204"/>
    </font>
    <font>
      <b/>
      <i/>
      <sz val="11"/>
      <name val="Tahoma"/>
      <family val="2"/>
      <charset val="204"/>
    </font>
    <font>
      <b/>
      <sz val="9"/>
      <color theme="1"/>
      <name val="Tahoma"/>
      <family val="2"/>
    </font>
    <font>
      <i/>
      <sz val="9"/>
      <color theme="1"/>
      <name val="Tahoma"/>
      <family val="2"/>
      <charset val="204"/>
    </font>
    <font>
      <sz val="11"/>
      <color rgb="FFFF0000"/>
      <name val="Tahoma"/>
      <family val="2"/>
    </font>
    <font>
      <i/>
      <sz val="9"/>
      <color rgb="FFFF0000"/>
      <name val="Tahoma"/>
      <family val="2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i/>
      <sz val="8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8"/>
      <color theme="1"/>
      <name val="Tahoma"/>
      <family val="2"/>
    </font>
    <font>
      <b/>
      <sz val="8"/>
      <color theme="0"/>
      <name val="Tahoma"/>
      <family val="2"/>
    </font>
    <font>
      <sz val="11"/>
      <color theme="0"/>
      <name val="Tahoma"/>
      <family val="2"/>
    </font>
    <font>
      <b/>
      <sz val="9"/>
      <color theme="0"/>
      <name val="Tahoma"/>
      <family val="2"/>
      <charset val="204"/>
    </font>
    <font>
      <sz val="9"/>
      <color theme="0"/>
      <name val="Tahoma"/>
      <family val="2"/>
    </font>
    <font>
      <sz val="8"/>
      <color theme="0" tint="-4.9989318521683403E-2"/>
      <name val="Tahoma"/>
      <family val="2"/>
    </font>
    <font>
      <u/>
      <sz val="11"/>
      <color theme="1"/>
      <name val="Tahoma"/>
      <family val="2"/>
      <charset val="204"/>
    </font>
    <font>
      <sz val="11"/>
      <color theme="0" tint="-0.34998626667073579"/>
      <name val="Tahoma"/>
      <family val="2"/>
      <charset val="204"/>
    </font>
    <font>
      <i/>
      <sz val="9"/>
      <color theme="0" tint="-0.34998626667073579"/>
      <name val="Tahoma"/>
      <family val="2"/>
      <charset val="204"/>
    </font>
    <font>
      <sz val="10"/>
      <color theme="0" tint="-0.34998626667073579"/>
      <name val="Tahoma"/>
      <family val="2"/>
      <charset val="204"/>
    </font>
    <font>
      <sz val="9"/>
      <color theme="1"/>
      <name val="Tahoma"/>
      <family val="2"/>
      <charset val="204"/>
    </font>
    <font>
      <b/>
      <i/>
      <sz val="14"/>
      <color theme="1"/>
      <name val="Tahoma"/>
      <family val="2"/>
      <charset val="204"/>
    </font>
    <font>
      <sz val="11"/>
      <color theme="0" tint="-4.9989318521683403E-2"/>
      <name val="Tahoma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4506668294322"/>
        <bgColor indexed="64"/>
      </patternFill>
    </fill>
  </fills>
  <borders count="58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thin">
        <color theme="9"/>
      </top>
      <bottom style="hair">
        <color theme="9"/>
      </bottom>
      <diagonal/>
    </border>
    <border>
      <left/>
      <right/>
      <top style="hair">
        <color theme="9"/>
      </top>
      <bottom style="hair">
        <color theme="9"/>
      </bottom>
      <diagonal/>
    </border>
    <border>
      <left/>
      <right/>
      <top style="hair">
        <color theme="9"/>
      </top>
      <bottom style="thin">
        <color theme="9"/>
      </bottom>
      <diagonal/>
    </border>
    <border>
      <left style="dashed">
        <color theme="9"/>
      </left>
      <right/>
      <top style="thin">
        <color theme="9"/>
      </top>
      <bottom style="hair">
        <color theme="9"/>
      </bottom>
      <diagonal/>
    </border>
    <border>
      <left style="dashed">
        <color theme="9"/>
      </left>
      <right/>
      <top style="hair">
        <color theme="9"/>
      </top>
      <bottom style="hair">
        <color theme="9"/>
      </bottom>
      <diagonal/>
    </border>
    <border>
      <left style="dashed">
        <color theme="9"/>
      </left>
      <right/>
      <top style="hair">
        <color theme="9"/>
      </top>
      <bottom style="thin">
        <color theme="9"/>
      </bottom>
      <diagonal/>
    </border>
    <border>
      <left/>
      <right style="dashed">
        <color theme="9"/>
      </right>
      <top style="thin">
        <color theme="9"/>
      </top>
      <bottom style="hair">
        <color theme="9"/>
      </bottom>
      <diagonal/>
    </border>
    <border>
      <left/>
      <right style="dashed">
        <color theme="9"/>
      </right>
      <top style="hair">
        <color theme="9"/>
      </top>
      <bottom style="hair">
        <color theme="9"/>
      </bottom>
      <diagonal/>
    </border>
    <border>
      <left/>
      <right style="dashed">
        <color theme="9"/>
      </right>
      <top style="hair">
        <color theme="9"/>
      </top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hair">
        <color theme="9"/>
      </bottom>
      <diagonal/>
    </border>
    <border>
      <left/>
      <right/>
      <top style="hair">
        <color theme="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/>
      <top style="hair">
        <color theme="9"/>
      </top>
      <bottom style="medium">
        <color theme="9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 style="dashed">
        <color auto="1"/>
      </bottom>
      <diagonal/>
    </border>
    <border>
      <left style="thin">
        <color theme="0"/>
      </left>
      <right style="thin">
        <color theme="0"/>
      </right>
      <top/>
      <bottom style="dashed">
        <color auto="1"/>
      </bottom>
      <diagonal/>
    </border>
    <border>
      <left style="thin">
        <color theme="0"/>
      </left>
      <right/>
      <top/>
      <bottom style="dashed">
        <color auto="1"/>
      </bottom>
      <diagonal/>
    </border>
    <border>
      <left/>
      <right style="dashed">
        <color auto="1"/>
      </right>
      <top/>
      <bottom style="thin">
        <color theme="0"/>
      </bottom>
      <diagonal/>
    </border>
    <border>
      <left/>
      <right style="dashed">
        <color auto="1"/>
      </right>
      <top style="thin">
        <color theme="0"/>
      </top>
      <bottom style="thin">
        <color theme="0"/>
      </bottom>
      <diagonal/>
    </border>
    <border>
      <left/>
      <right style="dashed">
        <color auto="1"/>
      </right>
      <top style="thin">
        <color theme="0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dashed">
        <color theme="9"/>
      </left>
      <right/>
      <top/>
      <bottom/>
      <diagonal/>
    </border>
    <border>
      <left/>
      <right/>
      <top/>
      <bottom style="hair">
        <color rgb="FF00B050"/>
      </bottom>
      <diagonal/>
    </border>
    <border>
      <left/>
      <right/>
      <top style="hair">
        <color rgb="FF00B050"/>
      </top>
      <bottom style="hair">
        <color rgb="FF00B050"/>
      </bottom>
      <diagonal/>
    </border>
    <border>
      <left/>
      <right/>
      <top style="hair">
        <color rgb="FF00B050"/>
      </top>
      <bottom/>
      <diagonal/>
    </border>
    <border>
      <left/>
      <right/>
      <top style="medium">
        <color theme="9"/>
      </top>
      <bottom style="thin">
        <color theme="9"/>
      </bottom>
      <diagonal/>
    </border>
    <border>
      <left/>
      <right/>
      <top style="thin">
        <color theme="9"/>
      </top>
      <bottom style="medium">
        <color theme="9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medium">
        <color theme="9"/>
      </top>
      <bottom style="hair">
        <color theme="9"/>
      </bottom>
      <diagonal/>
    </border>
    <border>
      <left style="dashed">
        <color theme="9"/>
      </left>
      <right/>
      <top style="medium">
        <color theme="9"/>
      </top>
      <bottom style="medium">
        <color theme="9"/>
      </bottom>
      <diagonal/>
    </border>
    <border>
      <left style="dashed">
        <color theme="9"/>
      </left>
      <right/>
      <top style="thin">
        <color theme="9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slantDashDot">
        <color theme="9" tint="-0.24994659260841701"/>
      </top>
      <bottom style="hair">
        <color theme="4"/>
      </bottom>
      <diagonal/>
    </border>
    <border>
      <left/>
      <right/>
      <top style="hair">
        <color theme="4"/>
      </top>
      <bottom style="hair">
        <color theme="4"/>
      </bottom>
      <diagonal/>
    </border>
    <border>
      <left/>
      <right/>
      <top style="hair">
        <color theme="4"/>
      </top>
      <bottom/>
      <diagonal/>
    </border>
    <border>
      <left/>
      <right/>
      <top style="hair">
        <color theme="9"/>
      </top>
      <bottom style="slantDashDot">
        <color theme="9" tint="-0.24994659260841701"/>
      </bottom>
      <diagonal/>
    </border>
    <border>
      <left style="dashed">
        <color theme="0" tint="-0.14996795556505021"/>
      </left>
      <right style="dashed">
        <color theme="0" tint="-0.14996795556505021"/>
      </right>
      <top style="dashed">
        <color theme="0" tint="-0.14996795556505021"/>
      </top>
      <bottom style="dashed">
        <color theme="0" tint="-0.149967955565050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4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2" fillId="5" borderId="0" xfId="0" applyFont="1" applyFill="1"/>
    <xf numFmtId="0" fontId="0" fillId="0" borderId="14" xfId="0" applyBorder="1"/>
    <xf numFmtId="0" fontId="7" fillId="2" borderId="16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0" fillId="0" borderId="15" xfId="0" applyBorder="1"/>
    <xf numFmtId="0" fontId="2" fillId="0" borderId="19" xfId="0" applyFont="1" applyFill="1" applyBorder="1"/>
    <xf numFmtId="41" fontId="0" fillId="0" borderId="4" xfId="0" applyNumberFormat="1" applyBorder="1"/>
    <xf numFmtId="41" fontId="0" fillId="0" borderId="5" xfId="0" applyNumberFormat="1" applyBorder="1"/>
    <xf numFmtId="41" fontId="2" fillId="0" borderId="19" xfId="0" applyNumberFormat="1" applyFont="1" applyBorder="1"/>
    <xf numFmtId="0" fontId="2" fillId="6" borderId="19" xfId="0" applyFont="1" applyFill="1" applyBorder="1"/>
    <xf numFmtId="41" fontId="2" fillId="6" borderId="19" xfId="0" applyNumberFormat="1" applyFont="1" applyFill="1" applyBorder="1"/>
    <xf numFmtId="9" fontId="2" fillId="0" borderId="19" xfId="0" applyNumberFormat="1" applyFont="1" applyBorder="1"/>
    <xf numFmtId="0" fontId="5" fillId="5" borderId="13" xfId="0" applyFont="1" applyFill="1" applyBorder="1" applyAlignment="1">
      <alignment vertical="center"/>
    </xf>
    <xf numFmtId="41" fontId="0" fillId="0" borderId="20" xfId="0" applyNumberFormat="1" applyBorder="1"/>
    <xf numFmtId="9" fontId="0" fillId="7" borderId="14" xfId="0" applyNumberFormat="1" applyFill="1" applyBorder="1"/>
    <xf numFmtId="9" fontId="0" fillId="7" borderId="5" xfId="0" applyNumberFormat="1" applyFill="1" applyBorder="1"/>
    <xf numFmtId="9" fontId="0" fillId="7" borderId="6" xfId="0" applyNumberFormat="1" applyFill="1" applyBorder="1"/>
    <xf numFmtId="0" fontId="8" fillId="0" borderId="0" xfId="0" applyFont="1" applyAlignment="1">
      <alignment horizontal="right" vertical="center"/>
    </xf>
    <xf numFmtId="9" fontId="0" fillId="0" borderId="0" xfId="1" applyFont="1"/>
    <xf numFmtId="9" fontId="0" fillId="0" borderId="0" xfId="0" applyNumberFormat="1"/>
    <xf numFmtId="9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23" xfId="0" applyBorder="1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7" fillId="2" borderId="30" xfId="0" applyFont="1" applyFill="1" applyBorder="1" applyAlignment="1">
      <alignment horizontal="center"/>
    </xf>
    <xf numFmtId="0" fontId="7" fillId="2" borderId="31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/>
    </xf>
    <xf numFmtId="9" fontId="0" fillId="0" borderId="21" xfId="0" applyNumberFormat="1" applyBorder="1" applyAlignment="1">
      <alignment horizontal="center"/>
    </xf>
    <xf numFmtId="167" fontId="2" fillId="0" borderId="19" xfId="0" applyNumberFormat="1" applyFont="1" applyBorder="1"/>
    <xf numFmtId="0" fontId="5" fillId="5" borderId="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2" fillId="5" borderId="33" xfId="0" applyFont="1" applyFill="1" applyBorder="1" applyAlignment="1">
      <alignment horizontal="center"/>
    </xf>
    <xf numFmtId="0" fontId="2" fillId="5" borderId="34" xfId="0" applyFont="1" applyFill="1" applyBorder="1" applyAlignment="1">
      <alignment horizontal="center"/>
    </xf>
    <xf numFmtId="0" fontId="2" fillId="5" borderId="35" xfId="0" applyFont="1" applyFill="1" applyBorder="1" applyAlignment="1">
      <alignment horizontal="center"/>
    </xf>
    <xf numFmtId="0" fontId="2" fillId="5" borderId="36" xfId="0" applyFont="1" applyFill="1" applyBorder="1" applyAlignment="1">
      <alignment horizontal="center"/>
    </xf>
    <xf numFmtId="0" fontId="2" fillId="5" borderId="37" xfId="0" applyFont="1" applyFill="1" applyBorder="1" applyAlignment="1">
      <alignment horizontal="center"/>
    </xf>
    <xf numFmtId="0" fontId="2" fillId="5" borderId="38" xfId="0" applyFont="1" applyFill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0" fontId="5" fillId="5" borderId="39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66" fontId="15" fillId="0" borderId="0" xfId="0" applyNumberFormat="1" applyFont="1" applyBorder="1" applyAlignment="1">
      <alignment horizontal="center" vertical="center"/>
    </xf>
    <xf numFmtId="1" fontId="15" fillId="0" borderId="0" xfId="0" applyNumberFormat="1" applyFont="1" applyBorder="1" applyAlignment="1">
      <alignment horizontal="center" vertical="center"/>
    </xf>
    <xf numFmtId="9" fontId="15" fillId="0" borderId="0" xfId="0" applyNumberFormat="1" applyFont="1" applyBorder="1" applyAlignment="1">
      <alignment horizontal="center" vertical="center"/>
    </xf>
    <xf numFmtId="9" fontId="15" fillId="0" borderId="0" xfId="1" applyFont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 wrapText="1"/>
    </xf>
    <xf numFmtId="0" fontId="14" fillId="0" borderId="0" xfId="0" applyFont="1"/>
    <xf numFmtId="4" fontId="0" fillId="0" borderId="10" xfId="0" applyNumberFormat="1" applyFont="1" applyFill="1" applyBorder="1" applyAlignment="1">
      <alignment horizontal="center" vertical="center"/>
    </xf>
    <xf numFmtId="4" fontId="0" fillId="0" borderId="11" xfId="0" applyNumberFormat="1" applyFont="1" applyFill="1" applyBorder="1" applyAlignment="1">
      <alignment horizontal="center" vertical="center"/>
    </xf>
    <xf numFmtId="4" fontId="0" fillId="0" borderId="12" xfId="0" applyNumberFormat="1" applyFont="1" applyFill="1" applyBorder="1" applyAlignment="1">
      <alignment horizontal="center" vertical="center"/>
    </xf>
    <xf numFmtId="0" fontId="0" fillId="0" borderId="0" xfId="0" applyFont="1"/>
    <xf numFmtId="164" fontId="0" fillId="7" borderId="7" xfId="0" applyNumberFormat="1" applyFont="1" applyFill="1" applyBorder="1" applyAlignment="1">
      <alignment horizontal="center" vertical="center"/>
    </xf>
    <xf numFmtId="164" fontId="0" fillId="7" borderId="8" xfId="0" applyNumberFormat="1" applyFont="1" applyFill="1" applyBorder="1" applyAlignment="1">
      <alignment horizontal="center" vertical="center"/>
    </xf>
    <xf numFmtId="164" fontId="0" fillId="7" borderId="9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9" fontId="0" fillId="7" borderId="7" xfId="1" applyFont="1" applyFill="1" applyBorder="1" applyAlignment="1">
      <alignment horizontal="center" vertical="center"/>
    </xf>
    <xf numFmtId="9" fontId="0" fillId="7" borderId="4" xfId="1" applyFont="1" applyFill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164" fontId="0" fillId="7" borderId="4" xfId="0" applyNumberForma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4" fontId="0" fillId="7" borderId="7" xfId="0" applyNumberFormat="1" applyFill="1" applyBorder="1" applyAlignment="1">
      <alignment horizontal="center" vertical="center"/>
    </xf>
    <xf numFmtId="9" fontId="0" fillId="7" borderId="8" xfId="1" applyFont="1" applyFill="1" applyBorder="1" applyAlignment="1">
      <alignment horizontal="center" vertical="center"/>
    </xf>
    <xf numFmtId="9" fontId="0" fillId="7" borderId="5" xfId="1" applyFont="1" applyFill="1" applyBorder="1" applyAlignment="1">
      <alignment horizontal="center" vertical="center"/>
    </xf>
    <xf numFmtId="9" fontId="0" fillId="0" borderId="11" xfId="1" applyFont="1" applyBorder="1" applyAlignment="1">
      <alignment horizontal="center" vertical="center"/>
    </xf>
    <xf numFmtId="164" fontId="0" fillId="7" borderId="5" xfId="0" applyNumberFormat="1" applyFill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4" fontId="0" fillId="7" borderId="8" xfId="0" applyNumberFormat="1" applyFill="1" applyBorder="1" applyAlignment="1">
      <alignment horizontal="center" vertical="center"/>
    </xf>
    <xf numFmtId="9" fontId="0" fillId="7" borderId="9" xfId="1" applyFont="1" applyFill="1" applyBorder="1" applyAlignment="1">
      <alignment horizontal="center" vertical="center"/>
    </xf>
    <xf numFmtId="9" fontId="0" fillId="7" borderId="6" xfId="1" applyFont="1" applyFill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164" fontId="0" fillId="7" borderId="6" xfId="0" applyNumberFormat="1" applyFill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5" fontId="0" fillId="0" borderId="9" xfId="0" applyNumberFormat="1" applyBorder="1" applyAlignment="1">
      <alignment horizontal="center" vertical="center"/>
    </xf>
    <xf numFmtId="164" fontId="0" fillId="7" borderId="9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ont="1" applyFill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5" borderId="41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3" fontId="0" fillId="7" borderId="7" xfId="0" applyNumberFormat="1" applyFont="1" applyFill="1" applyBorder="1" applyAlignment="1">
      <alignment horizontal="center" vertical="center"/>
    </xf>
    <xf numFmtId="3" fontId="0" fillId="7" borderId="8" xfId="0" applyNumberFormat="1" applyFont="1" applyFill="1" applyBorder="1" applyAlignment="1">
      <alignment horizontal="center" vertical="center"/>
    </xf>
    <xf numFmtId="3" fontId="0" fillId="7" borderId="9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5" xfId="0" applyNumberFormat="1" applyFont="1" applyFill="1" applyBorder="1" applyAlignment="1">
      <alignment horizontal="center" vertical="center"/>
    </xf>
    <xf numFmtId="4" fontId="0" fillId="0" borderId="6" xfId="0" applyNumberFormat="1" applyFont="1" applyFill="1" applyBorder="1" applyAlignment="1">
      <alignment horizontal="center" vertical="center"/>
    </xf>
    <xf numFmtId="169" fontId="0" fillId="0" borderId="4" xfId="0" applyNumberFormat="1" applyBorder="1"/>
    <xf numFmtId="169" fontId="0" fillId="0" borderId="5" xfId="0" applyNumberFormat="1" applyBorder="1"/>
    <xf numFmtId="169" fontId="0" fillId="0" borderId="20" xfId="0" applyNumberFormat="1" applyBorder="1"/>
    <xf numFmtId="41" fontId="0" fillId="0" borderId="0" xfId="0" applyNumberFormat="1"/>
    <xf numFmtId="169" fontId="2" fillId="0" borderId="19" xfId="0" applyNumberFormat="1" applyFont="1" applyBorder="1"/>
    <xf numFmtId="170" fontId="17" fillId="0" borderId="0" xfId="0" applyNumberFormat="1" applyFont="1"/>
    <xf numFmtId="0" fontId="14" fillId="0" borderId="42" xfId="0" applyFont="1" applyBorder="1" applyAlignment="1">
      <alignment vertical="center"/>
    </xf>
    <xf numFmtId="0" fontId="14" fillId="0" borderId="43" xfId="0" applyFont="1" applyBorder="1" applyAlignment="1">
      <alignment vertical="center"/>
    </xf>
    <xf numFmtId="0" fontId="14" fillId="0" borderId="4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6" fillId="0" borderId="19" xfId="0" applyFont="1" applyBorder="1" applyAlignment="1">
      <alignment vertical="center"/>
    </xf>
    <xf numFmtId="0" fontId="18" fillId="0" borderId="0" xfId="0" applyFont="1"/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6" fontId="16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38" fontId="14" fillId="0" borderId="0" xfId="0" applyNumberFormat="1" applyFont="1" applyAlignment="1">
      <alignment vertical="center"/>
    </xf>
    <xf numFmtId="8" fontId="14" fillId="0" borderId="0" xfId="0" applyNumberFormat="1" applyFont="1" applyAlignment="1">
      <alignment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16" fillId="0" borderId="40" xfId="0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6" fontId="16" fillId="0" borderId="19" xfId="0" applyNumberFormat="1" applyFont="1" applyBorder="1" applyAlignment="1">
      <alignment vertical="center"/>
    </xf>
    <xf numFmtId="0" fontId="16" fillId="0" borderId="19" xfId="0" applyFont="1" applyBorder="1" applyAlignment="1">
      <alignment horizontal="center" vertical="center"/>
    </xf>
    <xf numFmtId="0" fontId="14" fillId="0" borderId="14" xfId="0" applyFont="1" applyBorder="1" applyAlignment="1">
      <alignment vertical="center"/>
    </xf>
    <xf numFmtId="0" fontId="19" fillId="0" borderId="14" xfId="0" applyFont="1" applyBorder="1" applyAlignment="1">
      <alignment vertical="center"/>
    </xf>
    <xf numFmtId="6" fontId="14" fillId="0" borderId="14" xfId="0" applyNumberFormat="1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14" fillId="0" borderId="20" xfId="0" applyFont="1" applyBorder="1" applyAlignment="1">
      <alignment vertical="center"/>
    </xf>
    <xf numFmtId="0" fontId="19" fillId="0" borderId="20" xfId="0" applyFont="1" applyBorder="1" applyAlignment="1">
      <alignment vertical="center"/>
    </xf>
    <xf numFmtId="0" fontId="16" fillId="5" borderId="19" xfId="0" applyFont="1" applyFill="1" applyBorder="1" applyAlignment="1">
      <alignment vertical="center"/>
    </xf>
    <xf numFmtId="6" fontId="16" fillId="5" borderId="19" xfId="0" applyNumberFormat="1" applyFont="1" applyFill="1" applyBorder="1" applyAlignment="1">
      <alignment vertical="center"/>
    </xf>
    <xf numFmtId="0" fontId="16" fillId="5" borderId="19" xfId="0" applyFont="1" applyFill="1" applyBorder="1" applyAlignment="1">
      <alignment horizontal="center" vertical="center"/>
    </xf>
    <xf numFmtId="0" fontId="16" fillId="5" borderId="40" xfId="0" applyFont="1" applyFill="1" applyBorder="1" applyAlignment="1">
      <alignment vertical="center"/>
    </xf>
    <xf numFmtId="0" fontId="16" fillId="5" borderId="40" xfId="0" applyFont="1" applyFill="1" applyBorder="1" applyAlignment="1">
      <alignment horizontal="center" vertical="center"/>
    </xf>
    <xf numFmtId="6" fontId="14" fillId="0" borderId="14" xfId="0" applyNumberFormat="1" applyFont="1" applyBorder="1" applyAlignment="1">
      <alignment horizontal="right" vertical="center"/>
    </xf>
    <xf numFmtId="165" fontId="16" fillId="0" borderId="19" xfId="0" applyNumberFormat="1" applyFont="1" applyBorder="1" applyAlignment="1">
      <alignment horizontal="center" vertical="center"/>
    </xf>
    <xf numFmtId="6" fontId="14" fillId="7" borderId="14" xfId="0" applyNumberFormat="1" applyFont="1" applyFill="1" applyBorder="1" applyAlignment="1">
      <alignment vertical="center"/>
    </xf>
    <xf numFmtId="6" fontId="14" fillId="7" borderId="5" xfId="0" applyNumberFormat="1" applyFont="1" applyFill="1" applyBorder="1" applyAlignment="1">
      <alignment vertical="center"/>
    </xf>
    <xf numFmtId="6" fontId="14" fillId="7" borderId="20" xfId="0" applyNumberFormat="1" applyFont="1" applyFill="1" applyBorder="1" applyAlignment="1">
      <alignment vertical="center"/>
    </xf>
    <xf numFmtId="8" fontId="14" fillId="7" borderId="0" xfId="0" applyNumberFormat="1" applyFont="1" applyFill="1" applyAlignment="1">
      <alignment vertical="center"/>
    </xf>
    <xf numFmtId="38" fontId="14" fillId="7" borderId="0" xfId="0" applyNumberFormat="1" applyFont="1" applyFill="1" applyAlignment="1">
      <alignment vertical="center"/>
    </xf>
    <xf numFmtId="0" fontId="14" fillId="7" borderId="1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/>
    </xf>
    <xf numFmtId="0" fontId="14" fillId="7" borderId="20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center" vertical="center"/>
    </xf>
    <xf numFmtId="165" fontId="16" fillId="5" borderId="19" xfId="0" applyNumberFormat="1" applyFont="1" applyFill="1" applyBorder="1" applyAlignment="1">
      <alignment horizontal="center" vertical="center"/>
    </xf>
    <xf numFmtId="6" fontId="14" fillId="0" borderId="0" xfId="0" applyNumberFormat="1" applyFont="1" applyAlignment="1">
      <alignment horizontal="right" vertical="center"/>
    </xf>
    <xf numFmtId="0" fontId="15" fillId="7" borderId="40" xfId="0" applyFont="1" applyFill="1" applyBorder="1" applyAlignment="1">
      <alignment vertical="center"/>
    </xf>
    <xf numFmtId="6" fontId="16" fillId="7" borderId="40" xfId="0" applyNumberFormat="1" applyFont="1" applyFill="1" applyBorder="1" applyAlignment="1">
      <alignment vertical="center"/>
    </xf>
    <xf numFmtId="165" fontId="15" fillId="7" borderId="40" xfId="0" applyNumberFormat="1" applyFont="1" applyFill="1" applyBorder="1" applyAlignment="1">
      <alignment horizontal="center" vertical="center"/>
    </xf>
    <xf numFmtId="164" fontId="0" fillId="0" borderId="0" xfId="0" applyNumberFormat="1"/>
    <xf numFmtId="167" fontId="2" fillId="6" borderId="19" xfId="0" applyNumberFormat="1" applyFont="1" applyFill="1" applyBorder="1"/>
    <xf numFmtId="167" fontId="0" fillId="0" borderId="0" xfId="0" applyNumberFormat="1"/>
    <xf numFmtId="0" fontId="2" fillId="0" borderId="0" xfId="0" applyFont="1" applyFill="1" applyBorder="1" applyAlignment="1">
      <alignment vertical="center"/>
    </xf>
    <xf numFmtId="0" fontId="12" fillId="5" borderId="13" xfId="0" applyFont="1" applyFill="1" applyBorder="1" applyAlignment="1">
      <alignment vertical="center"/>
    </xf>
    <xf numFmtId="171" fontId="14" fillId="0" borderId="42" xfId="0" applyNumberFormat="1" applyFont="1" applyBorder="1" applyAlignment="1">
      <alignment horizontal="center" vertical="center"/>
    </xf>
    <xf numFmtId="171" fontId="14" fillId="0" borderId="43" xfId="0" applyNumberFormat="1" applyFont="1" applyBorder="1" applyAlignment="1">
      <alignment horizontal="center" vertical="center"/>
    </xf>
    <xf numFmtId="171" fontId="14" fillId="0" borderId="44" xfId="0" applyNumberFormat="1" applyFont="1" applyBorder="1" applyAlignment="1">
      <alignment horizontal="center" vertical="center"/>
    </xf>
    <xf numFmtId="0" fontId="14" fillId="0" borderId="14" xfId="0" applyFont="1" applyFill="1" applyBorder="1" applyAlignment="1">
      <alignment vertical="center"/>
    </xf>
    <xf numFmtId="9" fontId="14" fillId="7" borderId="14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vertical="center"/>
    </xf>
    <xf numFmtId="9" fontId="14" fillId="7" borderId="5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vertical="center"/>
    </xf>
    <xf numFmtId="9" fontId="14" fillId="7" borderId="6" xfId="0" applyNumberFormat="1" applyFont="1" applyFill="1" applyBorder="1" applyAlignment="1">
      <alignment horizontal="center" vertical="center"/>
    </xf>
    <xf numFmtId="171" fontId="16" fillId="5" borderId="19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10" fillId="5" borderId="40" xfId="0" applyFont="1" applyFill="1" applyBorder="1" applyAlignment="1">
      <alignment horizontal="center"/>
    </xf>
    <xf numFmtId="0" fontId="0" fillId="5" borderId="40" xfId="0" applyFont="1" applyFill="1" applyBorder="1"/>
    <xf numFmtId="3" fontId="10" fillId="5" borderId="40" xfId="0" applyNumberFormat="1" applyFont="1" applyFill="1" applyBorder="1" applyAlignment="1">
      <alignment horizontal="center"/>
    </xf>
    <xf numFmtId="0" fontId="10" fillId="5" borderId="40" xfId="0" applyFont="1" applyFill="1" applyBorder="1"/>
    <xf numFmtId="0" fontId="0" fillId="0" borderId="4" xfId="0" applyFont="1" applyBorder="1"/>
    <xf numFmtId="8" fontId="0" fillId="0" borderId="4" xfId="0" applyNumberFormat="1" applyFont="1" applyBorder="1"/>
    <xf numFmtId="41" fontId="0" fillId="0" borderId="4" xfId="0" applyNumberFormat="1" applyFont="1" applyBorder="1"/>
    <xf numFmtId="0" fontId="0" fillId="0" borderId="5" xfId="0" applyFont="1" applyBorder="1"/>
    <xf numFmtId="8" fontId="0" fillId="0" borderId="5" xfId="0" applyNumberFormat="1" applyFont="1" applyBorder="1"/>
    <xf numFmtId="41" fontId="0" fillId="0" borderId="5" xfId="0" applyNumberFormat="1" applyFont="1" applyBorder="1"/>
    <xf numFmtId="0" fontId="0" fillId="0" borderId="6" xfId="0" applyFont="1" applyBorder="1"/>
    <xf numFmtId="8" fontId="0" fillId="0" borderId="6" xfId="0" applyNumberFormat="1" applyFont="1" applyBorder="1"/>
    <xf numFmtId="41" fontId="0" fillId="0" borderId="6" xfId="0" applyNumberFormat="1" applyFont="1" applyBorder="1"/>
    <xf numFmtId="0" fontId="0" fillId="0" borderId="0" xfId="0" applyFont="1" applyAlignment="1">
      <alignment horizontal="center"/>
    </xf>
    <xf numFmtId="0" fontId="21" fillId="0" borderId="4" xfId="0" applyFont="1" applyBorder="1"/>
    <xf numFmtId="0" fontId="21" fillId="0" borderId="5" xfId="0" applyFont="1" applyBorder="1"/>
    <xf numFmtId="0" fontId="21" fillId="0" borderId="6" xfId="0" applyFont="1" applyBorder="1"/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3" fontId="13" fillId="5" borderId="40" xfId="0" applyNumberFormat="1" applyFont="1" applyFill="1" applyBorder="1" applyAlignment="1">
      <alignment horizontal="center"/>
    </xf>
    <xf numFmtId="0" fontId="0" fillId="0" borderId="0" xfId="0" applyFont="1" applyBorder="1"/>
    <xf numFmtId="3" fontId="0" fillId="0" borderId="4" xfId="0" applyNumberFormat="1" applyFont="1" applyBorder="1"/>
    <xf numFmtId="3" fontId="0" fillId="0" borderId="5" xfId="0" applyNumberFormat="1" applyFont="1" applyBorder="1"/>
    <xf numFmtId="6" fontId="0" fillId="0" borderId="4" xfId="0" applyNumberFormat="1" applyFont="1" applyBorder="1"/>
    <xf numFmtId="6" fontId="0" fillId="0" borderId="5" xfId="0" applyNumberFormat="1" applyFont="1" applyBorder="1"/>
    <xf numFmtId="6" fontId="0" fillId="0" borderId="15" xfId="0" applyNumberFormat="1" applyFont="1" applyBorder="1"/>
    <xf numFmtId="0" fontId="0" fillId="0" borderId="15" xfId="0" applyFont="1" applyBorder="1"/>
    <xf numFmtId="41" fontId="0" fillId="0" borderId="15" xfId="0" applyNumberFormat="1" applyFont="1" applyBorder="1"/>
    <xf numFmtId="0" fontId="0" fillId="0" borderId="25" xfId="0" applyFont="1" applyBorder="1"/>
    <xf numFmtId="3" fontId="0" fillId="0" borderId="4" xfId="0" applyNumberFormat="1" applyFont="1" applyBorder="1" applyAlignment="1">
      <alignment horizontal="center"/>
    </xf>
    <xf numFmtId="3" fontId="0" fillId="0" borderId="5" xfId="0" applyNumberFormat="1" applyFont="1" applyBorder="1" applyAlignment="1">
      <alignment horizontal="center"/>
    </xf>
    <xf numFmtId="3" fontId="0" fillId="0" borderId="15" xfId="0" applyNumberFormat="1" applyFont="1" applyBorder="1" applyAlignment="1">
      <alignment horizontal="center"/>
    </xf>
    <xf numFmtId="6" fontId="0" fillId="0" borderId="14" xfId="0" applyNumberFormat="1" applyFont="1" applyBorder="1"/>
    <xf numFmtId="0" fontId="23" fillId="0" borderId="4" xfId="0" applyFont="1" applyBorder="1"/>
    <xf numFmtId="0" fontId="23" fillId="0" borderId="5" xfId="0" applyFont="1" applyBorder="1"/>
    <xf numFmtId="6" fontId="0" fillId="0" borderId="6" xfId="0" applyNumberFormat="1" applyFont="1" applyBorder="1"/>
    <xf numFmtId="3" fontId="0" fillId="0" borderId="6" xfId="0" applyNumberFormat="1" applyFont="1" applyBorder="1" applyAlignment="1">
      <alignment horizontal="center"/>
    </xf>
    <xf numFmtId="0" fontId="23" fillId="0" borderId="6" xfId="0" applyFont="1" applyBorder="1"/>
    <xf numFmtId="8" fontId="0" fillId="0" borderId="15" xfId="0" applyNumberFormat="1" applyFont="1" applyBorder="1"/>
    <xf numFmtId="0" fontId="0" fillId="0" borderId="15" xfId="0" applyFont="1" applyBorder="1" applyAlignment="1">
      <alignment horizontal="center"/>
    </xf>
    <xf numFmtId="0" fontId="23" fillId="0" borderId="15" xfId="0" applyFont="1" applyBorder="1"/>
    <xf numFmtId="0" fontId="2" fillId="5" borderId="0" xfId="0" applyFont="1" applyFill="1" applyBorder="1"/>
    <xf numFmtId="6" fontId="2" fillId="5" borderId="0" xfId="0" applyNumberFormat="1" applyFont="1" applyFill="1" applyBorder="1"/>
    <xf numFmtId="3" fontId="2" fillId="5" borderId="0" xfId="0" applyNumberFormat="1" applyFont="1" applyFill="1" applyBorder="1" applyAlignment="1">
      <alignment horizontal="center"/>
    </xf>
    <xf numFmtId="41" fontId="2" fillId="5" borderId="0" xfId="0" applyNumberFormat="1" applyFont="1" applyFill="1" applyBorder="1"/>
    <xf numFmtId="170" fontId="2" fillId="5" borderId="0" xfId="0" applyNumberFormat="1" applyFont="1" applyFill="1" applyBorder="1"/>
    <xf numFmtId="9" fontId="23" fillId="5" borderId="25" xfId="0" applyNumberFormat="1" applyFont="1" applyFill="1" applyBorder="1"/>
    <xf numFmtId="170" fontId="25" fillId="5" borderId="0" xfId="0" applyNumberFormat="1" applyFont="1" applyFill="1" applyBorder="1"/>
    <xf numFmtId="9" fontId="0" fillId="5" borderId="40" xfId="1" applyNumberFormat="1" applyFont="1" applyFill="1" applyBorder="1"/>
    <xf numFmtId="0" fontId="2" fillId="5" borderId="40" xfId="0" applyFont="1" applyFill="1" applyBorder="1"/>
    <xf numFmtId="6" fontId="2" fillId="5" borderId="40" xfId="0" applyNumberFormat="1" applyFont="1" applyFill="1" applyBorder="1"/>
    <xf numFmtId="3" fontId="2" fillId="5" borderId="40" xfId="0" applyNumberFormat="1" applyFont="1" applyFill="1" applyBorder="1" applyAlignment="1">
      <alignment horizontal="center"/>
    </xf>
    <xf numFmtId="41" fontId="2" fillId="5" borderId="40" xfId="0" applyNumberFormat="1" applyFont="1" applyFill="1" applyBorder="1"/>
    <xf numFmtId="170" fontId="2" fillId="5" borderId="40" xfId="0" applyNumberFormat="1" applyFont="1" applyFill="1" applyBorder="1"/>
    <xf numFmtId="9" fontId="0" fillId="5" borderId="40" xfId="1" applyFont="1" applyFill="1" applyBorder="1" applyAlignment="1">
      <alignment horizontal="center"/>
    </xf>
    <xf numFmtId="9" fontId="23" fillId="5" borderId="40" xfId="0" applyNumberFormat="1" applyFont="1" applyFill="1" applyBorder="1"/>
    <xf numFmtId="170" fontId="25" fillId="5" borderId="40" xfId="0" applyNumberFormat="1" applyFont="1" applyFill="1" applyBorder="1"/>
    <xf numFmtId="0" fontId="0" fillId="0" borderId="14" xfId="0" applyFont="1" applyBorder="1"/>
    <xf numFmtId="3" fontId="0" fillId="0" borderId="14" xfId="0" applyNumberFormat="1" applyFont="1" applyBorder="1"/>
    <xf numFmtId="8" fontId="0" fillId="0" borderId="14" xfId="0" applyNumberFormat="1" applyFont="1" applyBorder="1"/>
    <xf numFmtId="3" fontId="0" fillId="0" borderId="14" xfId="0" applyNumberFormat="1" applyFont="1" applyBorder="1" applyAlignment="1">
      <alignment horizontal="center"/>
    </xf>
    <xf numFmtId="41" fontId="0" fillId="0" borderId="14" xfId="0" applyNumberFormat="1" applyFont="1" applyBorder="1"/>
    <xf numFmtId="0" fontId="23" fillId="0" borderId="14" xfId="0" applyFont="1" applyBorder="1"/>
    <xf numFmtId="0" fontId="2" fillId="5" borderId="40" xfId="0" applyFont="1" applyFill="1" applyBorder="1" applyAlignment="1">
      <alignment vertical="center"/>
    </xf>
    <xf numFmtId="0" fontId="2" fillId="5" borderId="40" xfId="0" applyFont="1" applyFill="1" applyBorder="1" applyAlignment="1">
      <alignment horizontal="center" vertical="center"/>
    </xf>
    <xf numFmtId="0" fontId="26" fillId="5" borderId="40" xfId="0" applyFont="1" applyFill="1" applyBorder="1" applyAlignment="1">
      <alignment horizontal="center" vertical="center"/>
    </xf>
    <xf numFmtId="0" fontId="0" fillId="0" borderId="22" xfId="0" applyFont="1" applyBorder="1"/>
    <xf numFmtId="0" fontId="0" fillId="0" borderId="23" xfId="0" applyFont="1" applyBorder="1"/>
    <xf numFmtId="0" fontId="0" fillId="0" borderId="26" xfId="0" applyFont="1" applyBorder="1"/>
    <xf numFmtId="0" fontId="0" fillId="5" borderId="0" xfId="0" applyFont="1" applyFill="1" applyBorder="1"/>
    <xf numFmtId="9" fontId="0" fillId="5" borderId="0" xfId="1" applyFont="1" applyFill="1" applyBorder="1" applyAlignment="1">
      <alignment horizontal="center"/>
    </xf>
    <xf numFmtId="9" fontId="0" fillId="0" borderId="0" xfId="0" applyNumberFormat="1" applyFont="1" applyBorder="1"/>
    <xf numFmtId="0" fontId="0" fillId="0" borderId="27" xfId="0" applyFont="1" applyBorder="1"/>
    <xf numFmtId="0" fontId="0" fillId="0" borderId="28" xfId="0" applyFont="1" applyBorder="1"/>
    <xf numFmtId="0" fontId="0" fillId="0" borderId="28" xfId="0" applyBorder="1"/>
    <xf numFmtId="0" fontId="0" fillId="0" borderId="29" xfId="0" applyFont="1" applyBorder="1"/>
    <xf numFmtId="0" fontId="0" fillId="0" borderId="28" xfId="0" applyFont="1" applyBorder="1" applyAlignment="1">
      <alignment horizontal="center"/>
    </xf>
    <xf numFmtId="9" fontId="24" fillId="0" borderId="28" xfId="1" applyFont="1" applyBorder="1" applyAlignment="1">
      <alignment horizontal="center"/>
    </xf>
    <xf numFmtId="9" fontId="25" fillId="0" borderId="27" xfId="0" applyNumberFormat="1" applyFont="1" applyBorder="1"/>
    <xf numFmtId="0" fontId="23" fillId="0" borderId="28" xfId="0" applyFont="1" applyBorder="1"/>
    <xf numFmtId="0" fontId="2" fillId="0" borderId="23" xfId="0" applyFont="1" applyBorder="1"/>
    <xf numFmtId="0" fontId="0" fillId="0" borderId="24" xfId="0" applyFont="1" applyBorder="1"/>
    <xf numFmtId="0" fontId="13" fillId="0" borderId="23" xfId="0" applyFont="1" applyBorder="1" applyAlignment="1">
      <alignment horizontal="left"/>
    </xf>
    <xf numFmtId="0" fontId="27" fillId="5" borderId="0" xfId="0" applyFont="1" applyFill="1" applyBorder="1" applyAlignment="1">
      <alignment horizontal="center" vertical="center"/>
    </xf>
    <xf numFmtId="41" fontId="21" fillId="0" borderId="4" xfId="0" applyNumberFormat="1" applyFont="1" applyBorder="1" applyAlignment="1">
      <alignment horizontal="center"/>
    </xf>
    <xf numFmtId="3" fontId="21" fillId="0" borderId="4" xfId="0" applyNumberFormat="1" applyFont="1" applyBorder="1" applyAlignment="1">
      <alignment horizontal="center"/>
    </xf>
    <xf numFmtId="41" fontId="21" fillId="0" borderId="5" xfId="0" applyNumberFormat="1" applyFont="1" applyBorder="1" applyAlignment="1">
      <alignment horizontal="center"/>
    </xf>
    <xf numFmtId="3" fontId="21" fillId="0" borderId="5" xfId="0" applyNumberFormat="1" applyFont="1" applyBorder="1" applyAlignment="1">
      <alignment horizontal="center"/>
    </xf>
    <xf numFmtId="0" fontId="21" fillId="0" borderId="15" xfId="0" applyFont="1" applyBorder="1"/>
    <xf numFmtId="41" fontId="21" fillId="0" borderId="15" xfId="0" applyNumberFormat="1" applyFont="1" applyBorder="1" applyAlignment="1">
      <alignment horizontal="center"/>
    </xf>
    <xf numFmtId="3" fontId="21" fillId="0" borderId="15" xfId="0" applyNumberFormat="1" applyFont="1" applyBorder="1" applyAlignment="1">
      <alignment horizontal="center"/>
    </xf>
    <xf numFmtId="0" fontId="22" fillId="5" borderId="40" xfId="0" applyFont="1" applyFill="1" applyBorder="1"/>
    <xf numFmtId="3" fontId="22" fillId="5" borderId="40" xfId="0" applyNumberFormat="1" applyFont="1" applyFill="1" applyBorder="1" applyAlignment="1">
      <alignment horizontal="center"/>
    </xf>
    <xf numFmtId="3" fontId="21" fillId="5" borderId="40" xfId="0" applyNumberFormat="1" applyFont="1" applyFill="1" applyBorder="1" applyAlignment="1">
      <alignment horizontal="center"/>
    </xf>
    <xf numFmtId="41" fontId="21" fillId="0" borderId="6" xfId="0" applyNumberFormat="1" applyFont="1" applyBorder="1" applyAlignment="1">
      <alignment horizontal="center"/>
    </xf>
    <xf numFmtId="3" fontId="21" fillId="0" borderId="6" xfId="0" applyNumberFormat="1" applyFont="1" applyBorder="1" applyAlignment="1">
      <alignment horizontal="center"/>
    </xf>
    <xf numFmtId="172" fontId="21" fillId="0" borderId="4" xfId="0" applyNumberFormat="1" applyFont="1" applyBorder="1" applyAlignment="1">
      <alignment horizontal="center"/>
    </xf>
    <xf numFmtId="172" fontId="21" fillId="0" borderId="5" xfId="0" applyNumberFormat="1" applyFont="1" applyBorder="1" applyAlignment="1">
      <alignment horizontal="center"/>
    </xf>
    <xf numFmtId="172" fontId="21" fillId="0" borderId="6" xfId="0" applyNumberFormat="1" applyFont="1" applyBorder="1" applyAlignment="1">
      <alignment horizontal="center"/>
    </xf>
    <xf numFmtId="172" fontId="29" fillId="5" borderId="40" xfId="0" applyNumberFormat="1" applyFont="1" applyFill="1" applyBorder="1" applyAlignment="1">
      <alignment horizontal="center"/>
    </xf>
    <xf numFmtId="0" fontId="29" fillId="10" borderId="19" xfId="0" applyFont="1" applyFill="1" applyBorder="1" applyAlignment="1">
      <alignment vertical="center"/>
    </xf>
    <xf numFmtId="0" fontId="2" fillId="10" borderId="19" xfId="0" applyFont="1" applyFill="1" applyBorder="1" applyAlignment="1">
      <alignment vertical="center"/>
    </xf>
    <xf numFmtId="0" fontId="2" fillId="10" borderId="19" xfId="0" applyFont="1" applyFill="1" applyBorder="1" applyAlignment="1">
      <alignment horizontal="center" vertical="center"/>
    </xf>
    <xf numFmtId="172" fontId="2" fillId="10" borderId="19" xfId="0" applyNumberFormat="1" applyFont="1" applyFill="1" applyBorder="1" applyAlignment="1">
      <alignment horizontal="center" vertical="center"/>
    </xf>
    <xf numFmtId="0" fontId="30" fillId="0" borderId="0" xfId="0" applyFont="1"/>
    <xf numFmtId="0" fontId="31" fillId="5" borderId="40" xfId="0" applyFont="1" applyFill="1" applyBorder="1" applyAlignment="1">
      <alignment horizontal="center"/>
    </xf>
    <xf numFmtId="0" fontId="31" fillId="5" borderId="40" xfId="0" applyFont="1" applyFill="1" applyBorder="1"/>
    <xf numFmtId="0" fontId="30" fillId="5" borderId="40" xfId="0" applyFont="1" applyFill="1" applyBorder="1"/>
    <xf numFmtId="0" fontId="32" fillId="0" borderId="4" xfId="0" applyFont="1" applyBorder="1"/>
    <xf numFmtId="0" fontId="32" fillId="0" borderId="5" xfId="0" applyFont="1" applyBorder="1"/>
    <xf numFmtId="0" fontId="32" fillId="0" borderId="43" xfId="0" applyFont="1" applyBorder="1"/>
    <xf numFmtId="0" fontId="32" fillId="0" borderId="15" xfId="0" applyFont="1" applyBorder="1"/>
    <xf numFmtId="8" fontId="32" fillId="0" borderId="15" xfId="0" applyNumberFormat="1" applyFont="1" applyBorder="1"/>
    <xf numFmtId="8" fontId="32" fillId="0" borderId="5" xfId="0" applyNumberFormat="1" applyFont="1" applyBorder="1"/>
    <xf numFmtId="0" fontId="33" fillId="5" borderId="40" xfId="0" applyFont="1" applyFill="1" applyBorder="1"/>
    <xf numFmtId="0" fontId="32" fillId="5" borderId="40" xfId="0" applyFont="1" applyFill="1" applyBorder="1"/>
    <xf numFmtId="0" fontId="32" fillId="0" borderId="5" xfId="0" applyFont="1" applyFill="1" applyBorder="1"/>
    <xf numFmtId="0" fontId="32" fillId="0" borderId="6" xfId="0" applyFont="1" applyBorder="1"/>
    <xf numFmtId="8" fontId="32" fillId="0" borderId="4" xfId="0" applyNumberFormat="1" applyFont="1" applyBorder="1"/>
    <xf numFmtId="0" fontId="31" fillId="10" borderId="19" xfId="0" applyFont="1" applyFill="1" applyBorder="1" applyAlignment="1">
      <alignment vertical="center"/>
    </xf>
    <xf numFmtId="5" fontId="0" fillId="5" borderId="40" xfId="0" applyNumberFormat="1" applyFont="1" applyFill="1" applyBorder="1"/>
    <xf numFmtId="5" fontId="21" fillId="0" borderId="4" xfId="0" applyNumberFormat="1" applyFont="1" applyBorder="1"/>
    <xf numFmtId="5" fontId="21" fillId="0" borderId="5" xfId="0" applyNumberFormat="1" applyFont="1" applyBorder="1"/>
    <xf numFmtId="5" fontId="21" fillId="0" borderId="15" xfId="0" applyNumberFormat="1" applyFont="1" applyBorder="1"/>
    <xf numFmtId="5" fontId="21" fillId="0" borderId="6" xfId="0" applyNumberFormat="1" applyFont="1" applyBorder="1"/>
    <xf numFmtId="5" fontId="21" fillId="5" borderId="40" xfId="0" applyNumberFormat="1" applyFont="1" applyFill="1" applyBorder="1"/>
    <xf numFmtId="5" fontId="21" fillId="9" borderId="5" xfId="0" applyNumberFormat="1" applyFont="1" applyFill="1" applyBorder="1"/>
    <xf numFmtId="0" fontId="34" fillId="5" borderId="40" xfId="0" applyFont="1" applyFill="1" applyBorder="1" applyAlignment="1">
      <alignment horizontal="center" vertical="center" wrapText="1"/>
    </xf>
    <xf numFmtId="8" fontId="32" fillId="0" borderId="6" xfId="0" applyNumberFormat="1" applyFont="1" applyBorder="1"/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10" fillId="5" borderId="40" xfId="0" applyFont="1" applyFill="1" applyBorder="1" applyAlignment="1">
      <alignment vertical="center"/>
    </xf>
    <xf numFmtId="0" fontId="13" fillId="5" borderId="40" xfId="0" applyFont="1" applyFill="1" applyBorder="1" applyAlignment="1">
      <alignment vertical="center"/>
    </xf>
    <xf numFmtId="167" fontId="13" fillId="5" borderId="40" xfId="0" applyNumberFormat="1" applyFont="1" applyFill="1" applyBorder="1" applyAlignment="1">
      <alignment vertical="center"/>
    </xf>
    <xf numFmtId="0" fontId="35" fillId="0" borderId="4" xfId="0" applyFont="1" applyBorder="1" applyAlignment="1">
      <alignment vertical="center"/>
    </xf>
    <xf numFmtId="169" fontId="35" fillId="0" borderId="4" xfId="0" applyNumberFormat="1" applyFont="1" applyBorder="1" applyAlignment="1">
      <alignment vertical="center"/>
    </xf>
    <xf numFmtId="0" fontId="35" fillId="0" borderId="5" xfId="0" applyFont="1" applyBorder="1" applyAlignment="1">
      <alignment vertical="center"/>
    </xf>
    <xf numFmtId="169" fontId="35" fillId="0" borderId="5" xfId="0" applyNumberFormat="1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169" fontId="35" fillId="0" borderId="6" xfId="0" applyNumberFormat="1" applyFont="1" applyBorder="1" applyAlignment="1">
      <alignment vertical="center"/>
    </xf>
    <xf numFmtId="167" fontId="15" fillId="7" borderId="40" xfId="0" applyNumberFormat="1" applyFont="1" applyFill="1" applyBorder="1" applyAlignment="1">
      <alignment vertical="center"/>
    </xf>
    <xf numFmtId="0" fontId="13" fillId="5" borderId="13" xfId="0" applyFont="1" applyFill="1" applyBorder="1" applyAlignment="1">
      <alignment vertical="center"/>
    </xf>
    <xf numFmtId="167" fontId="13" fillId="5" borderId="13" xfId="0" applyNumberFormat="1" applyFont="1" applyFill="1" applyBorder="1" applyAlignment="1">
      <alignment vertical="center"/>
    </xf>
    <xf numFmtId="0" fontId="2" fillId="0" borderId="19" xfId="0" applyFont="1" applyBorder="1" applyAlignment="1">
      <alignment vertical="center"/>
    </xf>
    <xf numFmtId="173" fontId="0" fillId="0" borderId="0" xfId="0" applyNumberFormat="1"/>
    <xf numFmtId="173" fontId="0" fillId="0" borderId="0" xfId="0" applyNumberFormat="1" applyAlignment="1">
      <alignment vertical="center"/>
    </xf>
    <xf numFmtId="167" fontId="0" fillId="0" borderId="19" xfId="0" applyNumberFormat="1" applyBorder="1" applyAlignment="1">
      <alignment vertical="center"/>
    </xf>
    <xf numFmtId="0" fontId="0" fillId="0" borderId="45" xfId="0" applyBorder="1"/>
    <xf numFmtId="0" fontId="0" fillId="0" borderId="46" xfId="0" applyBorder="1"/>
    <xf numFmtId="0" fontId="0" fillId="0" borderId="4" xfId="0" applyFill="1" applyBorder="1" applyAlignment="1">
      <alignment vertical="center"/>
    </xf>
    <xf numFmtId="168" fontId="0" fillId="0" borderId="4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1" fontId="0" fillId="0" borderId="5" xfId="0" applyNumberFormat="1" applyFill="1" applyBorder="1" applyAlignment="1">
      <alignment horizontal="center" vertical="center"/>
    </xf>
    <xf numFmtId="0" fontId="0" fillId="0" borderId="6" xfId="0" applyFill="1" applyBorder="1" applyAlignment="1">
      <alignment vertical="center"/>
    </xf>
    <xf numFmtId="2" fontId="0" fillId="0" borderId="6" xfId="0" applyNumberFormat="1" applyFill="1" applyBorder="1" applyAlignment="1">
      <alignment horizontal="center" vertical="center"/>
    </xf>
    <xf numFmtId="0" fontId="0" fillId="0" borderId="40" xfId="0" applyFill="1" applyBorder="1" applyAlignment="1">
      <alignment vertical="center"/>
    </xf>
    <xf numFmtId="2" fontId="0" fillId="0" borderId="40" xfId="0" applyNumberFormat="1" applyFill="1" applyBorder="1"/>
    <xf numFmtId="10" fontId="13" fillId="7" borderId="45" xfId="0" applyNumberFormat="1" applyFont="1" applyFill="1" applyBorder="1"/>
    <xf numFmtId="10" fontId="13" fillId="7" borderId="46" xfId="0" applyNumberFormat="1" applyFont="1" applyFill="1" applyBorder="1"/>
    <xf numFmtId="0" fontId="36" fillId="0" borderId="40" xfId="0" applyFont="1" applyFill="1" applyBorder="1" applyAlignment="1">
      <alignment vertical="center"/>
    </xf>
    <xf numFmtId="2" fontId="0" fillId="0" borderId="40" xfId="0" applyNumberFormat="1" applyFill="1" applyBorder="1" applyAlignment="1">
      <alignment vertical="center"/>
    </xf>
    <xf numFmtId="2" fontId="0" fillId="7" borderId="40" xfId="0" applyNumberFormat="1" applyFill="1" applyBorder="1" applyAlignment="1">
      <alignment vertical="center"/>
    </xf>
    <xf numFmtId="3" fontId="0" fillId="7" borderId="40" xfId="0" applyNumberFormat="1" applyFill="1" applyBorder="1" applyAlignment="1">
      <alignment vertical="center"/>
    </xf>
    <xf numFmtId="2" fontId="19" fillId="7" borderId="5" xfId="0" applyNumberFormat="1" applyFont="1" applyFill="1" applyBorder="1" applyAlignment="1">
      <alignment vertical="center"/>
    </xf>
    <xf numFmtId="2" fontId="19" fillId="7" borderId="4" xfId="0" applyNumberFormat="1" applyFont="1" applyFill="1" applyBorder="1" applyAlignment="1">
      <alignment vertical="center"/>
    </xf>
    <xf numFmtId="2" fontId="19" fillId="7" borderId="15" xfId="0" applyNumberFormat="1" applyFont="1" applyFill="1" applyBorder="1" applyAlignment="1">
      <alignment vertical="center"/>
    </xf>
    <xf numFmtId="0" fontId="19" fillId="0" borderId="4" xfId="0" applyFont="1" applyFill="1" applyBorder="1" applyAlignment="1">
      <alignment horizontal="left" vertical="center" indent="1"/>
    </xf>
    <xf numFmtId="0" fontId="19" fillId="0" borderId="5" xfId="0" applyFont="1" applyFill="1" applyBorder="1" applyAlignment="1">
      <alignment horizontal="left" vertical="center" indent="1"/>
    </xf>
    <xf numFmtId="0" fontId="19" fillId="0" borderId="15" xfId="0" applyFont="1" applyFill="1" applyBorder="1" applyAlignment="1">
      <alignment horizontal="left" vertical="center" indent="1"/>
    </xf>
    <xf numFmtId="0" fontId="37" fillId="0" borderId="0" xfId="0" applyFont="1" applyAlignment="1">
      <alignment horizontal="left" vertical="center" indent="1"/>
    </xf>
    <xf numFmtId="0" fontId="37" fillId="0" borderId="0" xfId="0" applyFont="1" applyAlignment="1">
      <alignment horizontal="left" vertical="center"/>
    </xf>
    <xf numFmtId="2" fontId="13" fillId="0" borderId="40" xfId="0" applyNumberFormat="1" applyFont="1" applyFill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40" fillId="0" borderId="4" xfId="0" applyFont="1" applyBorder="1" applyAlignment="1">
      <alignment vertical="center"/>
    </xf>
    <xf numFmtId="0" fontId="41" fillId="0" borderId="40" xfId="0" applyFont="1" applyBorder="1" applyAlignment="1">
      <alignment vertical="center"/>
    </xf>
    <xf numFmtId="0" fontId="40" fillId="0" borderId="15" xfId="0" applyFont="1" applyBorder="1" applyAlignment="1">
      <alignment vertical="center"/>
    </xf>
    <xf numFmtId="0" fontId="41" fillId="0" borderId="40" xfId="0" applyFont="1" applyFill="1" applyBorder="1" applyAlignment="1">
      <alignment vertical="center"/>
    </xf>
    <xf numFmtId="0" fontId="2" fillId="6" borderId="19" xfId="0" applyFont="1" applyFill="1" applyBorder="1" applyAlignment="1">
      <alignment vertical="center"/>
    </xf>
    <xf numFmtId="41" fontId="2" fillId="6" borderId="19" xfId="0" applyNumberFormat="1" applyFont="1" applyFill="1" applyBorder="1" applyAlignment="1">
      <alignment vertical="center"/>
    </xf>
    <xf numFmtId="0" fontId="42" fillId="0" borderId="4" xfId="0" applyFont="1" applyFill="1" applyBorder="1" applyAlignment="1">
      <alignment vertical="center"/>
    </xf>
    <xf numFmtId="0" fontId="42" fillId="0" borderId="5" xfId="0" applyFont="1" applyFill="1" applyBorder="1" applyAlignment="1">
      <alignment vertical="center"/>
    </xf>
    <xf numFmtId="0" fontId="42" fillId="0" borderId="6" xfId="0" applyFont="1" applyFill="1" applyBorder="1" applyAlignment="1">
      <alignment vertical="center"/>
    </xf>
    <xf numFmtId="167" fontId="0" fillId="0" borderId="5" xfId="0" applyNumberFormat="1" applyBorder="1"/>
    <xf numFmtId="0" fontId="42" fillId="0" borderId="0" xfId="0" applyFont="1" applyAlignment="1">
      <alignment horizontal="center"/>
    </xf>
    <xf numFmtId="0" fontId="43" fillId="2" borderId="18" xfId="0" applyFont="1" applyFill="1" applyBorder="1" applyAlignment="1">
      <alignment horizontal="center" vertical="center" wrapText="1"/>
    </xf>
    <xf numFmtId="3" fontId="29" fillId="5" borderId="40" xfId="0" applyNumberFormat="1" applyFont="1" applyFill="1" applyBorder="1" applyAlignment="1">
      <alignment horizontal="center"/>
    </xf>
    <xf numFmtId="3" fontId="0" fillId="0" borderId="0" xfId="0" applyNumberFormat="1" applyFont="1" applyAlignment="1">
      <alignment horizontal="center"/>
    </xf>
    <xf numFmtId="3" fontId="2" fillId="10" borderId="1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1" fontId="2" fillId="0" borderId="0" xfId="1" applyNumberFormat="1" applyFont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5" fillId="8" borderId="16" xfId="0" applyFont="1" applyFill="1" applyBorder="1" applyAlignment="1">
      <alignment horizontal="center" vertical="center"/>
    </xf>
    <xf numFmtId="0" fontId="45" fillId="8" borderId="17" xfId="0" applyFont="1" applyFill="1" applyBorder="1" applyAlignment="1">
      <alignment horizontal="center" vertical="center"/>
    </xf>
    <xf numFmtId="0" fontId="45" fillId="8" borderId="18" xfId="0" applyFont="1" applyFill="1" applyBorder="1" applyAlignment="1">
      <alignment horizontal="center" vertical="center"/>
    </xf>
    <xf numFmtId="41" fontId="0" fillId="0" borderId="4" xfId="0" applyNumberFormat="1" applyFill="1" applyBorder="1"/>
    <xf numFmtId="41" fontId="0" fillId="0" borderId="5" xfId="0" applyNumberFormat="1" applyFill="1" applyBorder="1"/>
    <xf numFmtId="41" fontId="0" fillId="0" borderId="20" xfId="0" applyNumberFormat="1" applyFill="1" applyBorder="1"/>
    <xf numFmtId="166" fontId="0" fillId="0" borderId="5" xfId="0" applyNumberFormat="1" applyBorder="1" applyAlignment="1">
      <alignment horizontal="center"/>
    </xf>
    <xf numFmtId="0" fontId="46" fillId="3" borderId="16" xfId="0" applyFont="1" applyFill="1" applyBorder="1" applyAlignment="1">
      <alignment horizontal="center" vertical="center"/>
    </xf>
    <xf numFmtId="0" fontId="46" fillId="3" borderId="17" xfId="0" applyFont="1" applyFill="1" applyBorder="1" applyAlignment="1">
      <alignment horizontal="center" vertical="center"/>
    </xf>
    <xf numFmtId="0" fontId="17" fillId="4" borderId="17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46" fillId="3" borderId="30" xfId="0" applyFont="1" applyFill="1" applyBorder="1" applyAlignment="1">
      <alignment horizontal="center" vertical="center"/>
    </xf>
    <xf numFmtId="0" fontId="17" fillId="4" borderId="30" xfId="0" applyFont="1" applyFill="1" applyBorder="1" applyAlignment="1">
      <alignment horizontal="center" vertical="center"/>
    </xf>
    <xf numFmtId="0" fontId="46" fillId="3" borderId="47" xfId="0" applyFont="1" applyFill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/>
    </xf>
    <xf numFmtId="0" fontId="17" fillId="4" borderId="47" xfId="0" applyFont="1" applyFill="1" applyBorder="1" applyAlignment="1">
      <alignment horizontal="center" vertical="center"/>
    </xf>
    <xf numFmtId="0" fontId="46" fillId="3" borderId="48" xfId="0" applyFont="1" applyFill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Border="1" applyAlignment="1">
      <alignment vertical="center"/>
    </xf>
    <xf numFmtId="0" fontId="44" fillId="0" borderId="14" xfId="0" applyFont="1" applyBorder="1" applyAlignment="1">
      <alignment vertical="center"/>
    </xf>
    <xf numFmtId="0" fontId="47" fillId="0" borderId="0" xfId="0" applyFont="1" applyAlignment="1">
      <alignment horizontal="center" vertical="center"/>
    </xf>
    <xf numFmtId="41" fontId="0" fillId="0" borderId="19" xfId="0" applyNumberFormat="1" applyBorder="1" applyAlignment="1">
      <alignment vertical="center"/>
    </xf>
    <xf numFmtId="0" fontId="50" fillId="0" borderId="0" xfId="0" applyFont="1" applyAlignment="1">
      <alignment horizontal="right" vertical="center"/>
    </xf>
    <xf numFmtId="0" fontId="0" fillId="0" borderId="49" xfId="0" applyBorder="1"/>
    <xf numFmtId="164" fontId="0" fillId="0" borderId="49" xfId="0" applyNumberFormat="1" applyBorder="1"/>
    <xf numFmtId="164" fontId="0" fillId="0" borderId="5" xfId="0" applyNumberFormat="1" applyBorder="1"/>
    <xf numFmtId="170" fontId="0" fillId="0" borderId="0" xfId="0" applyNumberFormat="1"/>
    <xf numFmtId="41" fontId="49" fillId="0" borderId="50" xfId="0" applyNumberFormat="1" applyFont="1" applyBorder="1" applyAlignment="1">
      <alignment vertical="center"/>
    </xf>
    <xf numFmtId="0" fontId="49" fillId="0" borderId="41" xfId="0" applyFont="1" applyBorder="1"/>
    <xf numFmtId="167" fontId="51" fillId="7" borderId="51" xfId="0" applyNumberFormat="1" applyFont="1" applyFill="1" applyBorder="1" applyAlignment="1">
      <alignment vertical="center"/>
    </xf>
    <xf numFmtId="167" fontId="15" fillId="7" borderId="51" xfId="0" applyNumberFormat="1" applyFont="1" applyFill="1" applyBorder="1" applyAlignment="1">
      <alignment vertical="center"/>
    </xf>
    <xf numFmtId="164" fontId="49" fillId="0" borderId="41" xfId="0" applyNumberFormat="1" applyFont="1" applyBorder="1"/>
    <xf numFmtId="0" fontId="0" fillId="0" borderId="41" xfId="0" applyBorder="1"/>
    <xf numFmtId="0" fontId="0" fillId="0" borderId="40" xfId="0" applyBorder="1"/>
    <xf numFmtId="10" fontId="13" fillId="7" borderId="40" xfId="0" applyNumberFormat="1" applyFont="1" applyFill="1" applyBorder="1"/>
    <xf numFmtId="0" fontId="13" fillId="5" borderId="19" xfId="0" applyFont="1" applyFill="1" applyBorder="1" applyAlignment="1">
      <alignment vertical="center"/>
    </xf>
    <xf numFmtId="41" fontId="13" fillId="5" borderId="19" xfId="0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46" xfId="0" applyFont="1" applyFill="1" applyBorder="1" applyAlignment="1">
      <alignment vertical="center"/>
    </xf>
    <xf numFmtId="41" fontId="13" fillId="0" borderId="46" xfId="0" applyNumberFormat="1" applyFont="1" applyBorder="1" applyAlignment="1">
      <alignment vertical="center"/>
    </xf>
    <xf numFmtId="0" fontId="52" fillId="7" borderId="45" xfId="0" applyFont="1" applyFill="1" applyBorder="1" applyAlignment="1">
      <alignment horizontal="left" vertical="center"/>
    </xf>
    <xf numFmtId="9" fontId="52" fillId="7" borderId="45" xfId="1" applyNumberFormat="1" applyFont="1" applyFill="1" applyBorder="1" applyAlignment="1">
      <alignment vertical="center"/>
    </xf>
    <xf numFmtId="0" fontId="52" fillId="0" borderId="0" xfId="0" applyFont="1" applyAlignment="1">
      <alignment vertical="center"/>
    </xf>
    <xf numFmtId="0" fontId="13" fillId="0" borderId="40" xfId="0" applyFont="1" applyFill="1" applyBorder="1" applyAlignment="1">
      <alignment vertical="center"/>
    </xf>
    <xf numFmtId="41" fontId="13" fillId="0" borderId="40" xfId="0" applyNumberFormat="1" applyFont="1" applyBorder="1" applyAlignment="1">
      <alignment vertical="center"/>
    </xf>
    <xf numFmtId="0" fontId="35" fillId="0" borderId="49" xfId="0" applyFont="1" applyBorder="1" applyAlignment="1">
      <alignment horizontal="left" vertical="center" indent="1"/>
    </xf>
    <xf numFmtId="41" fontId="35" fillId="0" borderId="49" xfId="0" applyNumberFormat="1" applyFont="1" applyBorder="1" applyAlignment="1">
      <alignment vertical="center"/>
    </xf>
    <xf numFmtId="0" fontId="35" fillId="0" borderId="5" xfId="0" applyFont="1" applyBorder="1" applyAlignment="1">
      <alignment horizontal="left" vertical="center" indent="1"/>
    </xf>
    <xf numFmtId="41" fontId="35" fillId="0" borderId="5" xfId="0" applyNumberFormat="1" applyFont="1" applyBorder="1" applyAlignment="1">
      <alignment vertical="center"/>
    </xf>
    <xf numFmtId="0" fontId="35" fillId="0" borderId="6" xfId="0" applyFont="1" applyBorder="1" applyAlignment="1">
      <alignment horizontal="left" vertical="center" indent="1"/>
    </xf>
    <xf numFmtId="41" fontId="35" fillId="0" borderId="6" xfId="0" applyNumberFormat="1" applyFont="1" applyBorder="1" applyAlignment="1">
      <alignment vertical="center"/>
    </xf>
    <xf numFmtId="0" fontId="53" fillId="0" borderId="0" xfId="0" applyFont="1"/>
    <xf numFmtId="41" fontId="13" fillId="7" borderId="40" xfId="0" applyNumberFormat="1" applyFont="1" applyFill="1" applyBorder="1" applyAlignment="1">
      <alignment vertical="center"/>
    </xf>
    <xf numFmtId="0" fontId="15" fillId="5" borderId="19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9" fillId="0" borderId="40" xfId="0" applyFont="1" applyBorder="1" applyAlignment="1">
      <alignment horizontal="center" vertical="center" wrapText="1"/>
    </xf>
    <xf numFmtId="10" fontId="2" fillId="9" borderId="0" xfId="0" applyNumberFormat="1" applyFont="1" applyFill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4" xfId="0" applyFont="1" applyBorder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vertical="center"/>
    </xf>
    <xf numFmtId="0" fontId="2" fillId="5" borderId="19" xfId="0" applyFont="1" applyFill="1" applyBorder="1" applyAlignment="1">
      <alignment vertical="center"/>
    </xf>
    <xf numFmtId="41" fontId="2" fillId="5" borderId="19" xfId="0" applyNumberFormat="1" applyFont="1" applyFill="1" applyBorder="1" applyAlignment="1">
      <alignment vertical="center"/>
    </xf>
    <xf numFmtId="0" fontId="0" fillId="7" borderId="52" xfId="0" applyFill="1" applyBorder="1"/>
    <xf numFmtId="41" fontId="0" fillId="7" borderId="52" xfId="0" applyNumberFormat="1" applyFill="1" applyBorder="1"/>
    <xf numFmtId="0" fontId="0" fillId="5" borderId="14" xfId="0" applyFill="1" applyBorder="1" applyAlignment="1">
      <alignment vertical="center"/>
    </xf>
    <xf numFmtId="3" fontId="0" fillId="5" borderId="14" xfId="0" applyNumberFormat="1" applyFill="1" applyBorder="1" applyAlignment="1">
      <alignment vertical="center"/>
    </xf>
    <xf numFmtId="0" fontId="0" fillId="5" borderId="5" xfId="0" applyFill="1" applyBorder="1" applyAlignment="1">
      <alignment vertical="center"/>
    </xf>
    <xf numFmtId="3" fontId="0" fillId="5" borderId="5" xfId="0" applyNumberFormat="1" applyFill="1" applyBorder="1" applyAlignment="1">
      <alignment vertical="center"/>
    </xf>
    <xf numFmtId="0" fontId="0" fillId="5" borderId="56" xfId="0" applyFill="1" applyBorder="1" applyAlignment="1">
      <alignment vertical="center"/>
    </xf>
    <xf numFmtId="3" fontId="0" fillId="5" borderId="56" xfId="0" applyNumberFormat="1" applyFill="1" applyBorder="1" applyAlignment="1">
      <alignment vertical="center"/>
    </xf>
    <xf numFmtId="0" fontId="0" fillId="11" borderId="53" xfId="0" applyFill="1" applyBorder="1" applyAlignment="1">
      <alignment vertical="center"/>
    </xf>
    <xf numFmtId="3" fontId="0" fillId="11" borderId="53" xfId="0" applyNumberFormat="1" applyFill="1" applyBorder="1" applyAlignment="1">
      <alignment vertical="center"/>
    </xf>
    <xf numFmtId="0" fontId="0" fillId="11" borderId="54" xfId="0" applyFill="1" applyBorder="1" applyAlignment="1">
      <alignment vertical="center"/>
    </xf>
    <xf numFmtId="3" fontId="0" fillId="11" borderId="54" xfId="0" applyNumberFormat="1" applyFill="1" applyBorder="1" applyAlignment="1">
      <alignment vertical="center"/>
    </xf>
    <xf numFmtId="0" fontId="0" fillId="11" borderId="55" xfId="0" applyFill="1" applyBorder="1" applyAlignment="1">
      <alignment vertical="center"/>
    </xf>
    <xf numFmtId="3" fontId="0" fillId="11" borderId="55" xfId="0" applyNumberFormat="1" applyFill="1" applyBorder="1" applyAlignment="1">
      <alignment vertical="center"/>
    </xf>
    <xf numFmtId="1" fontId="44" fillId="2" borderId="0" xfId="0" applyNumberFormat="1" applyFont="1" applyFill="1" applyAlignment="1">
      <alignment horizontal="center" vertical="center"/>
    </xf>
    <xf numFmtId="43" fontId="13" fillId="0" borderId="0" xfId="0" applyNumberFormat="1" applyFont="1" applyAlignment="1">
      <alignment vertical="center"/>
    </xf>
    <xf numFmtId="1" fontId="0" fillId="7" borderId="4" xfId="0" applyNumberFormat="1" applyFill="1" applyBorder="1" applyAlignment="1">
      <alignment horizontal="center" vertical="center"/>
    </xf>
    <xf numFmtId="1" fontId="0" fillId="7" borderId="6" xfId="0" applyNumberFormat="1" applyFill="1" applyBorder="1" applyAlignment="1">
      <alignment horizontal="center" vertical="center"/>
    </xf>
    <xf numFmtId="0" fontId="54" fillId="0" borderId="0" xfId="0" applyFont="1" applyBorder="1" applyAlignment="1">
      <alignment vertical="center"/>
    </xf>
    <xf numFmtId="41" fontId="54" fillId="0" borderId="0" xfId="0" applyNumberFormat="1" applyFont="1" applyBorder="1" applyAlignment="1">
      <alignment vertical="center"/>
    </xf>
    <xf numFmtId="171" fontId="0" fillId="7" borderId="40" xfId="1" applyNumberFormat="1" applyFont="1" applyFill="1" applyBorder="1" applyAlignment="1">
      <alignment vertical="center"/>
    </xf>
    <xf numFmtId="41" fontId="13" fillId="0" borderId="57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7" fontId="15" fillId="7" borderId="40" xfId="0" applyNumberFormat="1" applyFont="1" applyFill="1" applyBorder="1" applyAlignment="1">
      <alignment vertical="center"/>
    </xf>
    <xf numFmtId="0" fontId="11" fillId="0" borderId="45" xfId="0" applyFont="1" applyBorder="1" applyAlignment="1">
      <alignment vertical="center"/>
    </xf>
    <xf numFmtId="0" fontId="11" fillId="5" borderId="40" xfId="0" applyFont="1" applyFill="1" applyBorder="1" applyAlignment="1">
      <alignment vertical="center"/>
    </xf>
    <xf numFmtId="41" fontId="15" fillId="5" borderId="40" xfId="0" applyNumberFormat="1" applyFont="1" applyFill="1" applyBorder="1" applyAlignment="1">
      <alignment vertical="center"/>
    </xf>
    <xf numFmtId="165" fontId="15" fillId="0" borderId="45" xfId="0" applyNumberFormat="1" applyFont="1" applyBorder="1" applyAlignment="1">
      <alignment vertical="center"/>
    </xf>
    <xf numFmtId="41" fontId="15" fillId="7" borderId="40" xfId="0" applyNumberFormat="1" applyFont="1" applyFill="1" applyBorder="1" applyAlignment="1">
      <alignment vertical="center"/>
    </xf>
    <xf numFmtId="41" fontId="11" fillId="7" borderId="40" xfId="0" applyNumberFormat="1" applyFont="1" applyFill="1" applyBorder="1" applyAlignment="1">
      <alignment vertical="center"/>
    </xf>
    <xf numFmtId="170" fontId="15" fillId="5" borderId="40" xfId="0" applyNumberFormat="1" applyFont="1" applyFill="1" applyBorder="1" applyAlignment="1">
      <alignment vertical="center"/>
    </xf>
    <xf numFmtId="164" fontId="15" fillId="0" borderId="45" xfId="0" applyNumberFormat="1" applyFont="1" applyBorder="1" applyAlignment="1">
      <alignment vertical="center"/>
    </xf>
    <xf numFmtId="170" fontId="15" fillId="7" borderId="40" xfId="0" applyNumberFormat="1" applyFont="1" applyFill="1" applyBorder="1" applyAlignment="1">
      <alignment vertical="center"/>
    </xf>
    <xf numFmtId="170" fontId="11" fillId="7" borderId="40" xfId="0" applyNumberFormat="1" applyFont="1" applyFill="1" applyBorder="1" applyAlignment="1">
      <alignment vertical="center"/>
    </xf>
    <xf numFmtId="0" fontId="7" fillId="12" borderId="19" xfId="0" applyFont="1" applyFill="1" applyBorder="1" applyAlignment="1">
      <alignment vertical="center"/>
    </xf>
    <xf numFmtId="9" fontId="7" fillId="12" borderId="19" xfId="1" applyFont="1" applyFill="1" applyBorder="1" applyAlignment="1">
      <alignment vertical="center"/>
    </xf>
    <xf numFmtId="167" fontId="11" fillId="7" borderId="40" xfId="0" applyNumberFormat="1" applyFont="1" applyFill="1" applyBorder="1" applyAlignment="1">
      <alignment vertical="center"/>
    </xf>
    <xf numFmtId="165" fontId="0" fillId="0" borderId="0" xfId="0" applyNumberFormat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6" fillId="3" borderId="48" xfId="0" applyFont="1" applyFill="1" applyBorder="1" applyAlignment="1">
      <alignment horizontal="center" vertical="center"/>
    </xf>
    <xf numFmtId="0" fontId="46" fillId="3" borderId="30" xfId="0" applyFont="1" applyFill="1" applyBorder="1" applyAlignment="1">
      <alignment horizontal="center" vertical="center"/>
    </xf>
    <xf numFmtId="0" fontId="46" fillId="3" borderId="47" xfId="0" applyFont="1" applyFill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/>
    </xf>
    <xf numFmtId="0" fontId="17" fillId="4" borderId="30" xfId="0" applyFont="1" applyFill="1" applyBorder="1" applyAlignment="1">
      <alignment horizontal="center" vertical="center"/>
    </xf>
    <xf numFmtId="0" fontId="17" fillId="4" borderId="47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3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3" formatCode="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0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0" indent="0" justifyLastLine="0" shrinkToFit="0" readingOrder="0"/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ill>
        <patternFill patternType="solid"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2"/>
          <c:order val="0"/>
          <c:tx>
            <c:strRef>
              <c:f>CVP!$Q$4</c:f>
              <c:strCache>
                <c:ptCount val="1"/>
                <c:pt idx="0">
                  <c:v>TC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2"/>
            <c:spPr>
              <a:solidFill>
                <a:schemeClr val="bg1"/>
              </a:solidFill>
              <a:ln w="22225">
                <a:solidFill>
                  <a:schemeClr val="accent3"/>
                </a:solidFill>
              </a:ln>
              <a:effectLst/>
            </c:spPr>
          </c:marker>
          <c:xVal>
            <c:numRef>
              <c:f>CVP!$O$5:$O$24</c:f>
              <c:numCache>
                <c:formatCode>General</c:formatCode>
                <c:ptCount val="2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140</c:v>
                </c:pt>
                <c:pt idx="14">
                  <c:v>150</c:v>
                </c:pt>
                <c:pt idx="15">
                  <c:v>160</c:v>
                </c:pt>
                <c:pt idx="16">
                  <c:v>170</c:v>
                </c:pt>
                <c:pt idx="17">
                  <c:v>180</c:v>
                </c:pt>
                <c:pt idx="18">
                  <c:v>190</c:v>
                </c:pt>
                <c:pt idx="19">
                  <c:v>200</c:v>
                </c:pt>
              </c:numCache>
            </c:numRef>
          </c:xVal>
          <c:yVal>
            <c:numRef>
              <c:f>CVP!$Q$5:$Q$24</c:f>
              <c:numCache>
                <c:formatCode>"$"#,##0</c:formatCode>
                <c:ptCount val="20"/>
                <c:pt idx="0">
                  <c:v>972.06684455250684</c:v>
                </c:pt>
                <c:pt idx="1">
                  <c:v>1006.2103537820971</c:v>
                </c:pt>
                <c:pt idx="2">
                  <c:v>1040.3538630116873</c:v>
                </c:pt>
                <c:pt idx="3">
                  <c:v>1074.4973722412776</c:v>
                </c:pt>
                <c:pt idx="4">
                  <c:v>1108.6408814708677</c:v>
                </c:pt>
                <c:pt idx="5">
                  <c:v>1142.7843907004581</c:v>
                </c:pt>
                <c:pt idx="6">
                  <c:v>1176.9278999300482</c:v>
                </c:pt>
                <c:pt idx="7">
                  <c:v>1211.0714091596385</c:v>
                </c:pt>
                <c:pt idx="8">
                  <c:v>1245.2149183892288</c:v>
                </c:pt>
                <c:pt idx="9">
                  <c:v>1279.358427618819</c:v>
                </c:pt>
                <c:pt idx="10">
                  <c:v>1313.5019368484091</c:v>
                </c:pt>
                <c:pt idx="11">
                  <c:v>1347.6454460779994</c:v>
                </c:pt>
                <c:pt idx="12">
                  <c:v>1381.7889553075897</c:v>
                </c:pt>
                <c:pt idx="13">
                  <c:v>1415.9324645371798</c:v>
                </c:pt>
                <c:pt idx="14">
                  <c:v>1450.0759737667699</c:v>
                </c:pt>
                <c:pt idx="15">
                  <c:v>1484.2194829963603</c:v>
                </c:pt>
                <c:pt idx="16">
                  <c:v>1518.3629922259506</c:v>
                </c:pt>
                <c:pt idx="17">
                  <c:v>1552.5065014555407</c:v>
                </c:pt>
                <c:pt idx="18">
                  <c:v>1586.6500106851311</c:v>
                </c:pt>
                <c:pt idx="19">
                  <c:v>1620.7935199147214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EF9-4657-9DC0-929EAE27FBEB}"/>
            </c:ext>
          </c:extLst>
        </c:ser>
        <c:ser>
          <c:idx val="3"/>
          <c:order val="1"/>
          <c:tx>
            <c:strRef>
              <c:f>CVP!$R$4</c:f>
              <c:strCache>
                <c:ptCount val="1"/>
                <c:pt idx="0">
                  <c:v>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2"/>
            <c:spPr>
              <a:solidFill>
                <a:schemeClr val="bg1"/>
              </a:solidFill>
              <a:ln w="22225">
                <a:solidFill>
                  <a:schemeClr val="accent4"/>
                </a:solidFill>
              </a:ln>
              <a:effectLst/>
            </c:spPr>
          </c:marker>
          <c:xVal>
            <c:numRef>
              <c:f>CVP!$O$5:$O$24</c:f>
              <c:numCache>
                <c:formatCode>General</c:formatCode>
                <c:ptCount val="2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140</c:v>
                </c:pt>
                <c:pt idx="14">
                  <c:v>150</c:v>
                </c:pt>
                <c:pt idx="15">
                  <c:v>160</c:v>
                </c:pt>
                <c:pt idx="16">
                  <c:v>170</c:v>
                </c:pt>
                <c:pt idx="17">
                  <c:v>180</c:v>
                </c:pt>
                <c:pt idx="18">
                  <c:v>190</c:v>
                </c:pt>
                <c:pt idx="19">
                  <c:v>200</c:v>
                </c:pt>
              </c:numCache>
            </c:numRef>
          </c:xVal>
          <c:yVal>
            <c:numRef>
              <c:f>CVP!$R$5:$R$24</c:f>
              <c:numCache>
                <c:formatCode>"$"#,##0</c:formatCode>
                <c:ptCount val="20"/>
                <c:pt idx="0">
                  <c:v>151.07141731085528</c:v>
                </c:pt>
                <c:pt idx="1">
                  <c:v>302.14283462171056</c:v>
                </c:pt>
                <c:pt idx="2">
                  <c:v>453.21425193256579</c:v>
                </c:pt>
                <c:pt idx="3">
                  <c:v>604.28566924342113</c:v>
                </c:pt>
                <c:pt idx="4">
                  <c:v>755.35708655427629</c:v>
                </c:pt>
                <c:pt idx="5">
                  <c:v>906.42850386513157</c:v>
                </c:pt>
                <c:pt idx="6">
                  <c:v>1057.4999211759869</c:v>
                </c:pt>
                <c:pt idx="7">
                  <c:v>1208.5713384868423</c:v>
                </c:pt>
                <c:pt idx="8">
                  <c:v>1359.6427557976974</c:v>
                </c:pt>
                <c:pt idx="9">
                  <c:v>1510.7141731085526</c:v>
                </c:pt>
                <c:pt idx="10">
                  <c:v>1661.785590419408</c:v>
                </c:pt>
                <c:pt idx="11">
                  <c:v>1812.8570077302631</c:v>
                </c:pt>
                <c:pt idx="12">
                  <c:v>1963.9284250411185</c:v>
                </c:pt>
                <c:pt idx="13">
                  <c:v>2114.9998423519737</c:v>
                </c:pt>
                <c:pt idx="14">
                  <c:v>2266.0712596628291</c:v>
                </c:pt>
                <c:pt idx="15">
                  <c:v>2417.1426769736845</c:v>
                </c:pt>
                <c:pt idx="16">
                  <c:v>2568.2140942845394</c:v>
                </c:pt>
                <c:pt idx="17">
                  <c:v>2719.2855115953948</c:v>
                </c:pt>
                <c:pt idx="18">
                  <c:v>2870.3569289062502</c:v>
                </c:pt>
                <c:pt idx="19">
                  <c:v>3021.4283462171052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EF9-4657-9DC0-929EAE27F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9572848"/>
        <c:axId val="1399578256"/>
      </c:scatterChart>
      <c:valAx>
        <c:axId val="1399572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1399578256"/>
        <c:crosses val="autoZero"/>
        <c:crossBetween val="midCat"/>
        <c:majorUnit val="20"/>
      </c:valAx>
      <c:valAx>
        <c:axId val="1399578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1399572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171449</xdr:colOff>
      <xdr:row>21</xdr:row>
      <xdr:rowOff>9526</xdr:rowOff>
    </xdr:from>
    <xdr:to>
      <xdr:col>21</xdr:col>
      <xdr:colOff>504825</xdr:colOff>
      <xdr:row>44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eriods" displayName="Periods" ref="P2:W5" totalsRowShown="0" headerRowDxfId="27" dataDxfId="26">
  <autoFilter ref="P2:W5" xr:uid="{00000000-0009-0000-0100-000001000000}">
    <filterColumn colId="0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000-000001000000}" name="Period" dataDxfId="25">
      <calculatedColumnFormula>R3&amp;" мес."</calculatedColumnFormula>
    </tableColumn>
    <tableColumn id="7" xr3:uid="{00000000-0010-0000-0000-000007000000}" name="Name" dataDxfId="24"/>
    <tableColumn id="2" xr3:uid="{00000000-0010-0000-0000-000002000000}" name="Cycle" dataDxfId="23"/>
    <tableColumn id="3" xr3:uid="{00000000-0010-0000-0000-000003000000}" name="Years" dataDxfId="22">
      <calculatedColumnFormula>R3/12</calculatedColumnFormula>
    </tableColumn>
    <tableColumn id="4" xr3:uid="{00000000-0010-0000-0000-000004000000}" name="Round" dataDxfId="21">
      <calculatedColumnFormula>ROUNDDOWN(S3,0)+1</calculatedColumnFormula>
    </tableColumn>
    <tableColumn id="5" xr3:uid="{00000000-0010-0000-0000-000005000000}" name="Year 1" dataDxfId="20">
      <calculatedColumnFormula>1-V3</calculatedColumnFormula>
    </tableColumn>
    <tableColumn id="6" xr3:uid="{00000000-0010-0000-0000-000006000000}" name="Year 2" dataDxfId="19" dataCellStyle="Percent">
      <calculatedColumnFormula>S3-ROUNDDOWN(S3,0)</calculatedColumnFormula>
    </tableColumn>
    <tableColumn id="8" xr3:uid="{00000000-0010-0000-0000-000008000000}" name="Старт продаж" dataDxfId="18">
      <calculatedColumnFormula>IF(Periods[[#This Row],[Cycle]]&lt;=12,2,IF(Periods[[#This Row],[Cycle]]&gt;24,4,3))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O38"/>
  <sheetViews>
    <sheetView showGridLines="0" zoomScale="90" zoomScaleNormal="90" workbookViewId="0">
      <selection activeCell="J30" sqref="J30"/>
    </sheetView>
  </sheetViews>
  <sheetFormatPr defaultRowHeight="14.25" x14ac:dyDescent="0.2"/>
  <cols>
    <col min="1" max="1" width="26.625" customWidth="1"/>
    <col min="2" max="14" width="10.5" customWidth="1"/>
    <col min="15" max="15" width="9" style="371"/>
  </cols>
  <sheetData>
    <row r="3" spans="1:15" s="70" customFormat="1" ht="18" customHeight="1" x14ac:dyDescent="0.2">
      <c r="A3" s="484" t="s">
        <v>0</v>
      </c>
      <c r="B3" s="482" t="s">
        <v>11</v>
      </c>
      <c r="C3" s="482"/>
      <c r="D3" s="482"/>
      <c r="E3" s="483" t="s">
        <v>32</v>
      </c>
      <c r="F3" s="486"/>
      <c r="G3" s="487"/>
      <c r="H3" s="42" t="s">
        <v>46</v>
      </c>
      <c r="I3" s="483" t="s">
        <v>55</v>
      </c>
      <c r="J3" s="486"/>
      <c r="K3" s="486"/>
      <c r="L3" s="487"/>
      <c r="M3" s="482" t="s">
        <v>21</v>
      </c>
      <c r="N3" s="483"/>
      <c r="O3" s="481" t="s">
        <v>420</v>
      </c>
    </row>
    <row r="4" spans="1:15" s="70" customFormat="1" ht="18" customHeight="1" x14ac:dyDescent="0.2">
      <c r="A4" s="485"/>
      <c r="B4" s="7" t="s">
        <v>9</v>
      </c>
      <c r="C4" s="8" t="s">
        <v>10</v>
      </c>
      <c r="D4" s="8" t="s">
        <v>20</v>
      </c>
      <c r="E4" s="2" t="s">
        <v>9</v>
      </c>
      <c r="F4" s="3" t="s">
        <v>10</v>
      </c>
      <c r="G4" s="108" t="s">
        <v>29</v>
      </c>
      <c r="H4" s="7" t="s">
        <v>47</v>
      </c>
      <c r="I4" s="61" t="s">
        <v>58</v>
      </c>
      <c r="J4" s="61" t="s">
        <v>57</v>
      </c>
      <c r="K4" s="61" t="s">
        <v>59</v>
      </c>
      <c r="L4" s="61" t="s">
        <v>60</v>
      </c>
      <c r="M4" s="9" t="s">
        <v>22</v>
      </c>
      <c r="N4" s="9" t="s">
        <v>23</v>
      </c>
      <c r="O4" s="481"/>
    </row>
    <row r="5" spans="1:15" s="70" customFormat="1" ht="18" customHeight="1" x14ac:dyDescent="0.2">
      <c r="A5" s="71" t="s">
        <v>7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97"/>
    </row>
    <row r="6" spans="1:15" s="70" customFormat="1" ht="18" customHeight="1" x14ac:dyDescent="0.2">
      <c r="A6" s="73" t="s">
        <v>3</v>
      </c>
      <c r="B6" s="76">
        <v>0.75</v>
      </c>
      <c r="C6" s="77">
        <f>D6-B6</f>
        <v>0.25</v>
      </c>
      <c r="D6" s="78">
        <v>1</v>
      </c>
      <c r="E6" s="79">
        <v>15</v>
      </c>
      <c r="F6" s="79">
        <v>10</v>
      </c>
      <c r="G6" s="80">
        <f>SUMPRODUCT(B6:C6,E6:F6)</f>
        <v>13.75</v>
      </c>
      <c r="H6" s="67" t="s">
        <v>52</v>
      </c>
      <c r="I6" s="105">
        <v>650</v>
      </c>
      <c r="J6" s="109">
        <f>I6/Parameters!$B$10</f>
        <v>866.66666666666663</v>
      </c>
      <c r="K6" s="109">
        <f>I6/Parameters!$B$8</f>
        <v>171.71183403279647</v>
      </c>
      <c r="L6" s="63">
        <f>J6/Parameters!$B$9</f>
        <v>72.222222222222214</v>
      </c>
      <c r="M6" s="81">
        <f>N6*1000</f>
        <v>1150</v>
      </c>
      <c r="N6" s="82">
        <v>1.1499999999999999</v>
      </c>
      <c r="O6" s="374">
        <f>VLOOKUP(H6,Periods[],8,FALSE)</f>
        <v>2</v>
      </c>
    </row>
    <row r="7" spans="1:15" s="70" customFormat="1" ht="18" customHeight="1" x14ac:dyDescent="0.2">
      <c r="A7" s="74" t="s">
        <v>4</v>
      </c>
      <c r="B7" s="83">
        <v>0.75</v>
      </c>
      <c r="C7" s="84">
        <f t="shared" ref="C7:C12" si="0">D7-B7</f>
        <v>0.25</v>
      </c>
      <c r="D7" s="85">
        <v>1</v>
      </c>
      <c r="E7" s="86">
        <v>15</v>
      </c>
      <c r="F7" s="86">
        <v>10</v>
      </c>
      <c r="G7" s="87">
        <f t="shared" ref="G7:G12" si="1">SUMPRODUCT(B7:C7,E7:F7)</f>
        <v>13.75</v>
      </c>
      <c r="H7" s="68" t="s">
        <v>45</v>
      </c>
      <c r="I7" s="106">
        <v>650</v>
      </c>
      <c r="J7" s="110">
        <f>I7/Parameters!$B$10</f>
        <v>866.66666666666663</v>
      </c>
      <c r="K7" s="110">
        <f>I7/Parameters!$B$8</f>
        <v>171.71183403279647</v>
      </c>
      <c r="L7" s="64">
        <f>J7/Parameters!$B$9</f>
        <v>72.222222222222214</v>
      </c>
      <c r="M7" s="88">
        <f t="shared" ref="M7:M12" si="2">N7*1000</f>
        <v>1150</v>
      </c>
      <c r="N7" s="89">
        <v>1.1499999999999999</v>
      </c>
      <c r="O7" s="375">
        <f>VLOOKUP(H7,Periods[],8,FALSE)</f>
        <v>3</v>
      </c>
    </row>
    <row r="8" spans="1:15" s="70" customFormat="1" ht="18" customHeight="1" x14ac:dyDescent="0.2">
      <c r="A8" s="74" t="s">
        <v>5</v>
      </c>
      <c r="B8" s="83">
        <v>0.75</v>
      </c>
      <c r="C8" s="84">
        <f t="shared" si="0"/>
        <v>0.25</v>
      </c>
      <c r="D8" s="85">
        <v>1</v>
      </c>
      <c r="E8" s="86">
        <v>15</v>
      </c>
      <c r="F8" s="86">
        <v>10</v>
      </c>
      <c r="G8" s="87">
        <f t="shared" si="1"/>
        <v>13.75</v>
      </c>
      <c r="H8" s="68" t="s">
        <v>45</v>
      </c>
      <c r="I8" s="106">
        <v>650</v>
      </c>
      <c r="J8" s="110">
        <f>I8/Parameters!$B$10</f>
        <v>866.66666666666663</v>
      </c>
      <c r="K8" s="110">
        <f>I8/Parameters!$B$8</f>
        <v>171.71183403279647</v>
      </c>
      <c r="L8" s="64">
        <f>J8/Parameters!$B$9</f>
        <v>72.222222222222214</v>
      </c>
      <c r="M8" s="88">
        <f t="shared" si="2"/>
        <v>1150</v>
      </c>
      <c r="N8" s="89">
        <v>1.1499999999999999</v>
      </c>
      <c r="O8" s="375">
        <f>VLOOKUP(H8,Periods[],8,FALSE)</f>
        <v>3</v>
      </c>
    </row>
    <row r="9" spans="1:15" s="70" customFormat="1" ht="18" customHeight="1" x14ac:dyDescent="0.2">
      <c r="A9" s="74" t="s">
        <v>19</v>
      </c>
      <c r="B9" s="83">
        <v>0.75</v>
      </c>
      <c r="C9" s="84">
        <f t="shared" si="0"/>
        <v>0.25</v>
      </c>
      <c r="D9" s="85">
        <v>1</v>
      </c>
      <c r="E9" s="86">
        <v>15</v>
      </c>
      <c r="F9" s="86">
        <v>10</v>
      </c>
      <c r="G9" s="87">
        <f t="shared" si="1"/>
        <v>13.75</v>
      </c>
      <c r="H9" s="68" t="s">
        <v>44</v>
      </c>
      <c r="I9" s="106">
        <v>650</v>
      </c>
      <c r="J9" s="110">
        <f>I9/Parameters!$B$10</f>
        <v>866.66666666666663</v>
      </c>
      <c r="K9" s="110">
        <f>I9/Parameters!$B$8</f>
        <v>171.71183403279647</v>
      </c>
      <c r="L9" s="64">
        <f>J9/Parameters!$B$9</f>
        <v>72.222222222222214</v>
      </c>
      <c r="M9" s="88">
        <f t="shared" si="2"/>
        <v>1150</v>
      </c>
      <c r="N9" s="89">
        <v>1.1499999999999999</v>
      </c>
      <c r="O9" s="375">
        <f>VLOOKUP(H9,Periods[],8,FALSE)</f>
        <v>3</v>
      </c>
    </row>
    <row r="10" spans="1:15" s="70" customFormat="1" ht="18" customHeight="1" x14ac:dyDescent="0.2">
      <c r="A10" s="74" t="s">
        <v>18</v>
      </c>
      <c r="B10" s="83">
        <v>0.75</v>
      </c>
      <c r="C10" s="84">
        <f t="shared" si="0"/>
        <v>0.25</v>
      </c>
      <c r="D10" s="85">
        <v>1</v>
      </c>
      <c r="E10" s="86">
        <v>15</v>
      </c>
      <c r="F10" s="86">
        <v>10</v>
      </c>
      <c r="G10" s="87">
        <f t="shared" si="1"/>
        <v>13.75</v>
      </c>
      <c r="H10" s="68" t="s">
        <v>52</v>
      </c>
      <c r="I10" s="106">
        <v>650</v>
      </c>
      <c r="J10" s="110">
        <f>I10/Parameters!$B$10</f>
        <v>866.66666666666663</v>
      </c>
      <c r="K10" s="110">
        <f>I10/Parameters!$B$8</f>
        <v>171.71183403279647</v>
      </c>
      <c r="L10" s="64">
        <f>J10/Parameters!$B$9</f>
        <v>72.222222222222214</v>
      </c>
      <c r="M10" s="88">
        <f t="shared" si="2"/>
        <v>1150</v>
      </c>
      <c r="N10" s="89">
        <v>1.1499999999999999</v>
      </c>
      <c r="O10" s="375">
        <f>VLOOKUP(H10,Periods[],8,FALSE)</f>
        <v>2</v>
      </c>
    </row>
    <row r="11" spans="1:15" s="70" customFormat="1" ht="18" customHeight="1" x14ac:dyDescent="0.2">
      <c r="A11" s="74" t="s">
        <v>6</v>
      </c>
      <c r="B11" s="83">
        <v>0.75</v>
      </c>
      <c r="C11" s="84">
        <f t="shared" si="0"/>
        <v>0.25</v>
      </c>
      <c r="D11" s="85">
        <v>1</v>
      </c>
      <c r="E11" s="86">
        <v>15</v>
      </c>
      <c r="F11" s="86">
        <v>10</v>
      </c>
      <c r="G11" s="87">
        <f t="shared" si="1"/>
        <v>13.75</v>
      </c>
      <c r="H11" s="68" t="s">
        <v>44</v>
      </c>
      <c r="I11" s="106">
        <v>650</v>
      </c>
      <c r="J11" s="110">
        <f>I11/Parameters!$B$10</f>
        <v>866.66666666666663</v>
      </c>
      <c r="K11" s="110">
        <f>I11/Parameters!$B$8</f>
        <v>171.71183403279647</v>
      </c>
      <c r="L11" s="64">
        <f>J11/Parameters!$B$9</f>
        <v>72.222222222222214</v>
      </c>
      <c r="M11" s="88">
        <f t="shared" si="2"/>
        <v>1150</v>
      </c>
      <c r="N11" s="89">
        <v>1.1499999999999999</v>
      </c>
      <c r="O11" s="375">
        <f>VLOOKUP(H11,Periods[],8,FALSE)</f>
        <v>3</v>
      </c>
    </row>
    <row r="12" spans="1:15" s="70" customFormat="1" ht="18" customHeight="1" x14ac:dyDescent="0.2">
      <c r="A12" s="75" t="s">
        <v>17</v>
      </c>
      <c r="B12" s="90">
        <v>0.75</v>
      </c>
      <c r="C12" s="91">
        <f t="shared" si="0"/>
        <v>0.25</v>
      </c>
      <c r="D12" s="92">
        <v>1</v>
      </c>
      <c r="E12" s="93">
        <v>15</v>
      </c>
      <c r="F12" s="93">
        <v>10</v>
      </c>
      <c r="G12" s="94">
        <f t="shared" si="1"/>
        <v>13.75</v>
      </c>
      <c r="H12" s="69" t="s">
        <v>45</v>
      </c>
      <c r="I12" s="107">
        <v>650</v>
      </c>
      <c r="J12" s="111">
        <f>I12/Parameters!$B$10</f>
        <v>866.66666666666663</v>
      </c>
      <c r="K12" s="111">
        <f>I12/Parameters!$B$8</f>
        <v>171.71183403279647</v>
      </c>
      <c r="L12" s="65">
        <f>J12/Parameters!$B$9</f>
        <v>72.222222222222214</v>
      </c>
      <c r="M12" s="95">
        <f t="shared" si="2"/>
        <v>1150</v>
      </c>
      <c r="N12" s="96">
        <v>1.1499999999999999</v>
      </c>
      <c r="O12" s="376">
        <f>VLOOKUP(H12,Periods[],8,FALSE)</f>
        <v>3</v>
      </c>
    </row>
    <row r="13" spans="1:15" s="70" customFormat="1" ht="18" customHeight="1" x14ac:dyDescent="0.2">
      <c r="B13" s="97"/>
      <c r="C13" s="97"/>
      <c r="D13" s="97"/>
      <c r="E13" s="97"/>
      <c r="F13" s="97"/>
      <c r="G13" s="97"/>
      <c r="H13" s="98"/>
      <c r="I13" s="101"/>
      <c r="J13" s="102"/>
      <c r="K13" s="102"/>
      <c r="L13" s="102"/>
      <c r="M13" s="97"/>
      <c r="N13" s="97"/>
      <c r="O13" s="97"/>
    </row>
    <row r="14" spans="1:15" s="70" customFormat="1" ht="18" customHeight="1" x14ac:dyDescent="0.2">
      <c r="A14" s="71" t="s">
        <v>8</v>
      </c>
      <c r="B14" s="99"/>
      <c r="C14" s="99"/>
      <c r="D14" s="99"/>
      <c r="E14" s="99"/>
      <c r="F14" s="99"/>
      <c r="G14" s="99"/>
      <c r="H14" s="100"/>
      <c r="I14" s="103"/>
      <c r="J14" s="104"/>
      <c r="K14" s="104"/>
      <c r="L14" s="104"/>
      <c r="M14" s="99"/>
      <c r="N14" s="99"/>
      <c r="O14" s="97"/>
    </row>
    <row r="15" spans="1:15" s="70" customFormat="1" ht="18" customHeight="1" x14ac:dyDescent="0.2">
      <c r="A15" s="73" t="s">
        <v>1</v>
      </c>
      <c r="B15" s="76">
        <v>0.75</v>
      </c>
      <c r="C15" s="77">
        <f>D15-B15</f>
        <v>0.25</v>
      </c>
      <c r="D15" s="78">
        <v>1</v>
      </c>
      <c r="E15" s="79">
        <v>15</v>
      </c>
      <c r="F15" s="79">
        <v>10</v>
      </c>
      <c r="G15" s="80">
        <f>SUMPRODUCT(B15:C15,E15:F15)</f>
        <v>13.75</v>
      </c>
      <c r="H15" s="67" t="s">
        <v>45</v>
      </c>
      <c r="I15" s="105">
        <v>650</v>
      </c>
      <c r="J15" s="109">
        <f>I15/Parameters!$B$10</f>
        <v>866.66666666666663</v>
      </c>
      <c r="K15" s="109">
        <f>I15/Parameters!$B$8</f>
        <v>171.71183403279647</v>
      </c>
      <c r="L15" s="63">
        <f>J15/Parameters!$B$9</f>
        <v>72.222222222222214</v>
      </c>
      <c r="M15" s="81">
        <f>N15*1000</f>
        <v>1150</v>
      </c>
      <c r="N15" s="82">
        <v>1.1499999999999999</v>
      </c>
      <c r="O15" s="374">
        <f>VLOOKUP(H15,Periods[],8,FALSE)</f>
        <v>3</v>
      </c>
    </row>
    <row r="16" spans="1:15" s="70" customFormat="1" ht="18" customHeight="1" x14ac:dyDescent="0.2">
      <c r="A16" s="74" t="s">
        <v>12</v>
      </c>
      <c r="B16" s="83">
        <v>0.75</v>
      </c>
      <c r="C16" s="84">
        <f t="shared" ref="C16:C21" si="3">D16-B16</f>
        <v>0.25</v>
      </c>
      <c r="D16" s="85">
        <v>1</v>
      </c>
      <c r="E16" s="86">
        <v>15</v>
      </c>
      <c r="F16" s="86">
        <v>10</v>
      </c>
      <c r="G16" s="87">
        <f t="shared" ref="G16:G21" si="4">SUMPRODUCT(B16:C16,E16:F16)</f>
        <v>13.75</v>
      </c>
      <c r="H16" s="68" t="s">
        <v>52</v>
      </c>
      <c r="I16" s="106">
        <v>650</v>
      </c>
      <c r="J16" s="110">
        <f>I16/Parameters!$B$10</f>
        <v>866.66666666666663</v>
      </c>
      <c r="K16" s="110">
        <f>I16/Parameters!$B$8</f>
        <v>171.71183403279647</v>
      </c>
      <c r="L16" s="64">
        <f>J16/Parameters!$B$9</f>
        <v>72.222222222222214</v>
      </c>
      <c r="M16" s="88">
        <f t="shared" ref="M16:M21" si="5">N16*1000</f>
        <v>1150</v>
      </c>
      <c r="N16" s="89">
        <v>1.1499999999999999</v>
      </c>
      <c r="O16" s="375">
        <f>VLOOKUP(H16,Periods[],8,FALSE)</f>
        <v>2</v>
      </c>
    </row>
    <row r="17" spans="1:15" s="70" customFormat="1" ht="18" customHeight="1" x14ac:dyDescent="0.2">
      <c r="A17" s="74" t="s">
        <v>13</v>
      </c>
      <c r="B17" s="83">
        <v>0.75</v>
      </c>
      <c r="C17" s="84">
        <f t="shared" si="3"/>
        <v>0.25</v>
      </c>
      <c r="D17" s="85">
        <v>1</v>
      </c>
      <c r="E17" s="86">
        <v>15</v>
      </c>
      <c r="F17" s="86">
        <v>10</v>
      </c>
      <c r="G17" s="87">
        <f t="shared" si="4"/>
        <v>13.75</v>
      </c>
      <c r="H17" s="68" t="s">
        <v>44</v>
      </c>
      <c r="I17" s="106">
        <v>650</v>
      </c>
      <c r="J17" s="110">
        <f>I17/Parameters!$B$10</f>
        <v>866.66666666666663</v>
      </c>
      <c r="K17" s="110">
        <f>I17/Parameters!$B$8</f>
        <v>171.71183403279647</v>
      </c>
      <c r="L17" s="64">
        <f>J17/Parameters!$B$9</f>
        <v>72.222222222222214</v>
      </c>
      <c r="M17" s="88">
        <f t="shared" si="5"/>
        <v>1150</v>
      </c>
      <c r="N17" s="89">
        <v>1.1499999999999999</v>
      </c>
      <c r="O17" s="375">
        <f>VLOOKUP(H17,Periods[],8,FALSE)</f>
        <v>3</v>
      </c>
    </row>
    <row r="18" spans="1:15" s="70" customFormat="1" ht="18" customHeight="1" x14ac:dyDescent="0.2">
      <c r="A18" s="74" t="s">
        <v>14</v>
      </c>
      <c r="B18" s="83">
        <v>0.75</v>
      </c>
      <c r="C18" s="84">
        <f t="shared" si="3"/>
        <v>0.25</v>
      </c>
      <c r="D18" s="85">
        <v>1</v>
      </c>
      <c r="E18" s="86">
        <v>15</v>
      </c>
      <c r="F18" s="86">
        <v>10</v>
      </c>
      <c r="G18" s="87">
        <f t="shared" si="4"/>
        <v>13.75</v>
      </c>
      <c r="H18" s="68" t="s">
        <v>45</v>
      </c>
      <c r="I18" s="106">
        <v>650</v>
      </c>
      <c r="J18" s="110">
        <f>I18/Parameters!$B$10</f>
        <v>866.66666666666663</v>
      </c>
      <c r="K18" s="110">
        <f>I18/Parameters!$B$8</f>
        <v>171.71183403279647</v>
      </c>
      <c r="L18" s="64">
        <f>J18/Parameters!$B$9</f>
        <v>72.222222222222214</v>
      </c>
      <c r="M18" s="88">
        <f t="shared" si="5"/>
        <v>1150</v>
      </c>
      <c r="N18" s="89">
        <v>1.1499999999999999</v>
      </c>
      <c r="O18" s="375">
        <f>VLOOKUP(H18,Periods[],8,FALSE)</f>
        <v>3</v>
      </c>
    </row>
    <row r="19" spans="1:15" s="70" customFormat="1" ht="18" customHeight="1" x14ac:dyDescent="0.2">
      <c r="A19" s="74" t="s">
        <v>15</v>
      </c>
      <c r="B19" s="83">
        <v>0.75</v>
      </c>
      <c r="C19" s="84">
        <f t="shared" si="3"/>
        <v>0.25</v>
      </c>
      <c r="D19" s="85">
        <v>1</v>
      </c>
      <c r="E19" s="86">
        <v>15</v>
      </c>
      <c r="F19" s="86">
        <v>10</v>
      </c>
      <c r="G19" s="87">
        <f t="shared" si="4"/>
        <v>13.75</v>
      </c>
      <c r="H19" s="68" t="s">
        <v>44</v>
      </c>
      <c r="I19" s="106">
        <v>650</v>
      </c>
      <c r="J19" s="110">
        <f>I19/Parameters!$B$10</f>
        <v>866.66666666666663</v>
      </c>
      <c r="K19" s="110">
        <f>I19/Parameters!$B$8</f>
        <v>171.71183403279647</v>
      </c>
      <c r="L19" s="64">
        <f>J19/Parameters!$B$9</f>
        <v>72.222222222222214</v>
      </c>
      <c r="M19" s="88">
        <f t="shared" si="5"/>
        <v>1150</v>
      </c>
      <c r="N19" s="89">
        <v>1.1499999999999999</v>
      </c>
      <c r="O19" s="375">
        <f>VLOOKUP(H19,Periods[],8,FALSE)</f>
        <v>3</v>
      </c>
    </row>
    <row r="20" spans="1:15" s="70" customFormat="1" ht="18" customHeight="1" x14ac:dyDescent="0.2">
      <c r="A20" s="74" t="s">
        <v>2</v>
      </c>
      <c r="B20" s="83">
        <v>0.75</v>
      </c>
      <c r="C20" s="84">
        <f t="shared" si="3"/>
        <v>0.25</v>
      </c>
      <c r="D20" s="85">
        <v>1</v>
      </c>
      <c r="E20" s="86">
        <v>15</v>
      </c>
      <c r="F20" s="86">
        <v>10</v>
      </c>
      <c r="G20" s="87">
        <f t="shared" si="4"/>
        <v>13.75</v>
      </c>
      <c r="H20" s="68" t="s">
        <v>44</v>
      </c>
      <c r="I20" s="106">
        <v>650</v>
      </c>
      <c r="J20" s="110">
        <f>I20/Parameters!$B$10</f>
        <v>866.66666666666663</v>
      </c>
      <c r="K20" s="110">
        <f>I20/Parameters!$B$8</f>
        <v>171.71183403279647</v>
      </c>
      <c r="L20" s="64">
        <f>J20/Parameters!$B$9</f>
        <v>72.222222222222214</v>
      </c>
      <c r="M20" s="88">
        <f t="shared" si="5"/>
        <v>1150</v>
      </c>
      <c r="N20" s="89">
        <v>1.1499999999999999</v>
      </c>
      <c r="O20" s="375">
        <f>VLOOKUP(H20,Periods[],8,FALSE)</f>
        <v>3</v>
      </c>
    </row>
    <row r="21" spans="1:15" s="70" customFormat="1" ht="18" customHeight="1" x14ac:dyDescent="0.2">
      <c r="A21" s="75" t="s">
        <v>16</v>
      </c>
      <c r="B21" s="90">
        <v>0.75</v>
      </c>
      <c r="C21" s="91">
        <f t="shared" si="3"/>
        <v>0.25</v>
      </c>
      <c r="D21" s="92">
        <v>1</v>
      </c>
      <c r="E21" s="93">
        <v>15</v>
      </c>
      <c r="F21" s="93">
        <v>10</v>
      </c>
      <c r="G21" s="94">
        <f t="shared" si="4"/>
        <v>13.75</v>
      </c>
      <c r="H21" s="69" t="s">
        <v>44</v>
      </c>
      <c r="I21" s="107">
        <v>650</v>
      </c>
      <c r="J21" s="111">
        <f>I21/Parameters!$B$10</f>
        <v>866.66666666666663</v>
      </c>
      <c r="K21" s="111">
        <f>I21/Parameters!$B$8</f>
        <v>171.71183403279647</v>
      </c>
      <c r="L21" s="65">
        <f>J21/Parameters!$B$9</f>
        <v>72.222222222222214</v>
      </c>
      <c r="M21" s="95">
        <f t="shared" si="5"/>
        <v>1150</v>
      </c>
      <c r="N21" s="96">
        <v>1.1499999999999999</v>
      </c>
      <c r="O21" s="376">
        <f>VLOOKUP(H21,Periods[],8,FALSE)</f>
        <v>3</v>
      </c>
    </row>
    <row r="23" spans="1:15" x14ac:dyDescent="0.2">
      <c r="A23" s="168" t="s">
        <v>112</v>
      </c>
    </row>
    <row r="24" spans="1:15" x14ac:dyDescent="0.2">
      <c r="A24" s="169" t="s">
        <v>24</v>
      </c>
      <c r="B24" s="23" t="s">
        <v>28</v>
      </c>
    </row>
    <row r="25" spans="1:15" x14ac:dyDescent="0.2">
      <c r="A25" s="173" t="s">
        <v>25</v>
      </c>
      <c r="B25" s="174">
        <v>1</v>
      </c>
      <c r="F25" s="165"/>
      <c r="G25" s="165"/>
      <c r="H25" s="165"/>
      <c r="I25" s="165"/>
      <c r="J25" s="165"/>
      <c r="K25" s="165"/>
    </row>
    <row r="26" spans="1:15" x14ac:dyDescent="0.2">
      <c r="A26" s="175" t="s">
        <v>27</v>
      </c>
      <c r="B26" s="176">
        <v>0.75</v>
      </c>
    </row>
    <row r="27" spans="1:15" x14ac:dyDescent="0.2">
      <c r="A27" s="177" t="s">
        <v>26</v>
      </c>
      <c r="B27" s="178">
        <v>0.5</v>
      </c>
    </row>
    <row r="30" spans="1:15" x14ac:dyDescent="0.2">
      <c r="A30" s="121" t="s">
        <v>68</v>
      </c>
    </row>
    <row r="31" spans="1:15" x14ac:dyDescent="0.2">
      <c r="A31" s="169" t="s">
        <v>74</v>
      </c>
      <c r="B31" s="23" t="s">
        <v>75</v>
      </c>
    </row>
    <row r="32" spans="1:15" x14ac:dyDescent="0.2">
      <c r="A32" s="118" t="s">
        <v>69</v>
      </c>
      <c r="B32" s="170">
        <v>0.05</v>
      </c>
    </row>
    <row r="33" spans="1:2" x14ac:dyDescent="0.2">
      <c r="A33" s="119" t="s">
        <v>70</v>
      </c>
      <c r="B33" s="171">
        <v>0.01</v>
      </c>
    </row>
    <row r="34" spans="1:2" x14ac:dyDescent="0.2">
      <c r="A34" s="119" t="s">
        <v>71</v>
      </c>
      <c r="B34" s="171">
        <v>0.01</v>
      </c>
    </row>
    <row r="35" spans="1:2" x14ac:dyDescent="0.2">
      <c r="A35" s="119" t="s">
        <v>72</v>
      </c>
      <c r="B35" s="171">
        <v>5.0000000000000001E-3</v>
      </c>
    </row>
    <row r="36" spans="1:2" ht="15" thickBot="1" x14ac:dyDescent="0.25">
      <c r="A36" s="120" t="s">
        <v>73</v>
      </c>
      <c r="B36" s="172">
        <v>1E-3</v>
      </c>
    </row>
    <row r="37" spans="1:2" ht="15" thickBot="1" x14ac:dyDescent="0.25">
      <c r="A37" s="144" t="s">
        <v>113</v>
      </c>
      <c r="B37" s="179">
        <f>SUM(B32:B36)</f>
        <v>7.6000000000000012E-2</v>
      </c>
    </row>
    <row r="38" spans="1:2" x14ac:dyDescent="0.2">
      <c r="A38" s="180" t="s">
        <v>114</v>
      </c>
    </row>
  </sheetData>
  <mergeCells count="6">
    <mergeCell ref="O3:O4"/>
    <mergeCell ref="B3:D3"/>
    <mergeCell ref="M3:N3"/>
    <mergeCell ref="A3:A4"/>
    <mergeCell ref="E3:G3"/>
    <mergeCell ref="I3:L3"/>
  </mergeCells>
  <conditionalFormatting sqref="B6:C12 B15:C21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{B4B2D77E-B742-48A9-86A0-417A7C0E0B2C}</x14:id>
        </ext>
      </extLst>
    </cfRule>
  </conditionalFormatting>
  <pageMargins left="0.7" right="0.7" top="0.75" bottom="0.75" header="0.3" footer="0.3"/>
  <pageSetup paperSize="9" orientation="portrait" r:id="rId1"/>
  <ignoredErrors>
    <ignoredError sqref="D13:D14 G6:G12 G15:G21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4B2D77E-B742-48A9-86A0-417A7C0E0B2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B6:C12 B15:C21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Production!$P$3:$P$5</xm:f>
          </x14:formula1>
          <xm:sqref>H6:H12 H15:H21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72"/>
  <sheetViews>
    <sheetView showGridLines="0" zoomScaleNormal="100" workbookViewId="0">
      <selection activeCell="A55" sqref="A55"/>
    </sheetView>
  </sheetViews>
  <sheetFormatPr defaultRowHeight="14.25" outlineLevelRow="1" x14ac:dyDescent="0.2"/>
  <cols>
    <col min="1" max="1" width="32.125" customWidth="1"/>
    <col min="2" max="7" width="9.625" customWidth="1"/>
    <col min="8" max="8" width="3.125" customWidth="1"/>
  </cols>
  <sheetData>
    <row r="1" spans="1:7" ht="18" x14ac:dyDescent="0.25">
      <c r="A1" s="430" t="s">
        <v>444</v>
      </c>
    </row>
    <row r="2" spans="1:7" s="70" customFormat="1" ht="20.100000000000001" customHeight="1" thickBot="1" x14ac:dyDescent="0.25">
      <c r="A2" s="313" t="s">
        <v>445</v>
      </c>
      <c r="B2" s="130">
        <v>2019</v>
      </c>
      <c r="C2" s="131">
        <v>2020</v>
      </c>
      <c r="D2" s="131">
        <v>2021</v>
      </c>
      <c r="E2" s="131">
        <v>2022</v>
      </c>
      <c r="F2" s="131">
        <v>2023</v>
      </c>
      <c r="G2" s="131">
        <v>2024</v>
      </c>
    </row>
    <row r="3" spans="1:7" s="416" customFormat="1" ht="20.100000000000001" customHeight="1" thickBot="1" x14ac:dyDescent="0.25">
      <c r="A3" s="414" t="s">
        <v>34</v>
      </c>
      <c r="B3" s="415">
        <f>SUM(B4:B6)</f>
        <v>0</v>
      </c>
      <c r="C3" s="415">
        <f>SUM(C4:C6)</f>
        <v>1520.2687500000002</v>
      </c>
      <c r="D3" s="415">
        <f t="shared" ref="D3:G3" si="0">SUM(D4:D6)</f>
        <v>6730.7625000000007</v>
      </c>
      <c r="E3" s="415">
        <f t="shared" si="0"/>
        <v>6876.2924999999996</v>
      </c>
      <c r="F3" s="415">
        <f t="shared" si="0"/>
        <v>7220.1071250000005</v>
      </c>
      <c r="G3" s="415">
        <f t="shared" si="0"/>
        <v>7581.1124812500011</v>
      </c>
    </row>
    <row r="4" spans="1:7" s="70" customFormat="1" ht="20.100000000000001" hidden="1" customHeight="1" outlineLevel="1" x14ac:dyDescent="0.2">
      <c r="A4" s="424" t="s">
        <v>25</v>
      </c>
      <c r="B4" s="425">
        <f>Sales!C60</f>
        <v>0</v>
      </c>
      <c r="C4" s="425">
        <f>Sales!D60</f>
        <v>1368.2418750000002</v>
      </c>
      <c r="D4" s="425">
        <f>Sales!E60</f>
        <v>5384.6100000000006</v>
      </c>
      <c r="E4" s="425">
        <f>Sales!F60</f>
        <v>4813.4047499999997</v>
      </c>
      <c r="F4" s="425">
        <f>Sales!G60</f>
        <v>5054.0749875000001</v>
      </c>
      <c r="G4" s="425">
        <f>Sales!H60</f>
        <v>5306.7787368750005</v>
      </c>
    </row>
    <row r="5" spans="1:7" s="70" customFormat="1" ht="20.100000000000001" hidden="1" customHeight="1" outlineLevel="1" x14ac:dyDescent="0.2">
      <c r="A5" s="426" t="s">
        <v>27</v>
      </c>
      <c r="B5" s="427">
        <f>Sales!C61</f>
        <v>0</v>
      </c>
      <c r="C5" s="427">
        <f>Sales!D61</f>
        <v>152.02687500000002</v>
      </c>
      <c r="D5" s="427">
        <f>Sales!E61</f>
        <v>673.07625000000007</v>
      </c>
      <c r="E5" s="427">
        <f>Sales!F61</f>
        <v>1375.2585000000001</v>
      </c>
      <c r="F5" s="427">
        <f>Sales!G61</f>
        <v>1444.0214250000001</v>
      </c>
      <c r="G5" s="427">
        <f>Sales!H61</f>
        <v>1516.2224962500004</v>
      </c>
    </row>
    <row r="6" spans="1:7" s="70" customFormat="1" ht="20.100000000000001" hidden="1" customHeight="1" outlineLevel="1" x14ac:dyDescent="0.2">
      <c r="A6" s="428" t="s">
        <v>26</v>
      </c>
      <c r="B6" s="429">
        <f>Sales!C62</f>
        <v>0</v>
      </c>
      <c r="C6" s="429">
        <f>Sales!D62</f>
        <v>0</v>
      </c>
      <c r="D6" s="429">
        <f>Sales!E62</f>
        <v>673.07625000000007</v>
      </c>
      <c r="E6" s="429">
        <f>Sales!F62</f>
        <v>687.62925000000007</v>
      </c>
      <c r="F6" s="429">
        <f>Sales!G62</f>
        <v>722.01071250000007</v>
      </c>
      <c r="G6" s="429">
        <f>Sales!H62</f>
        <v>758.1112481250002</v>
      </c>
    </row>
    <row r="7" spans="1:7" s="416" customFormat="1" ht="20.100000000000001" customHeight="1" collapsed="1" thickBot="1" x14ac:dyDescent="0.25">
      <c r="A7" s="417" t="s">
        <v>430</v>
      </c>
      <c r="B7" s="418">
        <f ca="1">Production!C91</f>
        <v>0</v>
      </c>
      <c r="C7" s="418">
        <f ca="1">Production!D91</f>
        <v>-422.94946078506791</v>
      </c>
      <c r="D7" s="418">
        <f ca="1">Production!E91</f>
        <v>-1924.1100523012933</v>
      </c>
      <c r="E7" s="418">
        <f ca="1">Production!F91</f>
        <v>-1944.1829167172432</v>
      </c>
      <c r="F7" s="418">
        <f ca="1">Production!G91</f>
        <v>-2019.4761669192894</v>
      </c>
      <c r="G7" s="418">
        <f ca="1">Production!H91</f>
        <v>-2152.3777980291679</v>
      </c>
    </row>
    <row r="8" spans="1:7" s="416" customFormat="1" ht="20.100000000000001" customHeight="1" thickBot="1" x14ac:dyDescent="0.25">
      <c r="A8" s="414" t="s">
        <v>431</v>
      </c>
      <c r="B8" s="415">
        <f ca="1">B3+B7</f>
        <v>0</v>
      </c>
      <c r="C8" s="415">
        <f t="shared" ref="C8:G8" ca="1" si="1">C3+C7</f>
        <v>1097.3192892149323</v>
      </c>
      <c r="D8" s="415">
        <f t="shared" ca="1" si="1"/>
        <v>4806.652447698707</v>
      </c>
      <c r="E8" s="415">
        <f t="shared" ca="1" si="1"/>
        <v>4932.1095832827559</v>
      </c>
      <c r="F8" s="415">
        <f t="shared" ca="1" si="1"/>
        <v>5200.630958080711</v>
      </c>
      <c r="G8" s="415">
        <f t="shared" ca="1" si="1"/>
        <v>5428.7346832208332</v>
      </c>
    </row>
    <row r="9" spans="1:7" s="421" customFormat="1" ht="20.100000000000001" customHeight="1" x14ac:dyDescent="0.2">
      <c r="A9" s="419" t="s">
        <v>432</v>
      </c>
      <c r="B9" s="420" t="str">
        <f ca="1">IFERROR(B8/B3,"")</f>
        <v/>
      </c>
      <c r="C9" s="420">
        <f t="shared" ref="C9:G9" ca="1" si="2">IFERROR(C8/C3,"")</f>
        <v>0.72179296536545401</v>
      </c>
      <c r="D9" s="420">
        <f t="shared" ca="1" si="2"/>
        <v>0.71413193493288563</v>
      </c>
      <c r="E9" s="420">
        <f t="shared" ca="1" si="2"/>
        <v>0.71726291214091842</v>
      </c>
      <c r="F9" s="420">
        <f t="shared" ca="1" si="2"/>
        <v>0.72029830971250453</v>
      </c>
      <c r="G9" s="420">
        <f t="shared" ca="1" si="2"/>
        <v>0.71608681399299379</v>
      </c>
    </row>
    <row r="10" spans="1:7" s="416" customFormat="1" ht="20.100000000000001" customHeight="1" x14ac:dyDescent="0.2">
      <c r="A10" s="422" t="s">
        <v>434</v>
      </c>
      <c r="B10" s="423">
        <f ca="1">Production!C92-OPEX!B46</f>
        <v>0</v>
      </c>
      <c r="C10" s="423">
        <f ca="1">Production!D92-OPEX!C46</f>
        <v>-82.038050887083529</v>
      </c>
      <c r="D10" s="423">
        <f ca="1">Production!E92-OPEX!D46</f>
        <v>-378.76013417196782</v>
      </c>
      <c r="E10" s="423">
        <f ca="1">Production!F92-OPEX!E46</f>
        <v>-391.43614899405901</v>
      </c>
      <c r="F10" s="423">
        <f ca="1">Production!G92-OPEX!F46</f>
        <v>-409.20535030937879</v>
      </c>
      <c r="G10" s="423">
        <f ca="1">Production!H92-OPEX!G46</f>
        <v>-432.29171580110045</v>
      </c>
    </row>
    <row r="11" spans="1:7" s="416" customFormat="1" ht="20.100000000000001" customHeight="1" thickBot="1" x14ac:dyDescent="0.25">
      <c r="A11" s="422" t="s">
        <v>433</v>
      </c>
      <c r="B11" s="423">
        <f ca="1">-SUM(OPEX!B37,OPEX!B44:B45,OPEX!B47:B50)</f>
        <v>-262.59447666666665</v>
      </c>
      <c r="C11" s="423">
        <f ca="1">-SUM(OPEX!C37,OPEX!C44:C45,OPEX!C47:C50)</f>
        <v>-319.17993333333334</v>
      </c>
      <c r="D11" s="423">
        <f ca="1">-SUM(OPEX!D37,OPEX!D44:D45,OPEX!D47:D50)</f>
        <v>-320.12424999999996</v>
      </c>
      <c r="E11" s="423">
        <f ca="1">-SUM(OPEX!E37,OPEX!E44:E45,OPEX!E47:E50)</f>
        <v>-314.18205500000005</v>
      </c>
      <c r="F11" s="423">
        <f ca="1">-SUM(OPEX!F37,OPEX!F44:F45,OPEX!F47:F50)</f>
        <v>-314.92790874999997</v>
      </c>
      <c r="G11" s="423">
        <f ca="1">-SUM(OPEX!G37,OPEX!G44:G45,OPEX!G47:G50)</f>
        <v>-310.2643256875001</v>
      </c>
    </row>
    <row r="12" spans="1:7" s="416" customFormat="1" ht="20.100000000000001" customHeight="1" thickBot="1" x14ac:dyDescent="0.25">
      <c r="A12" s="414" t="s">
        <v>435</v>
      </c>
      <c r="B12" s="415">
        <f ca="1">SUM(B8,B10:B11)</f>
        <v>-262.59447666666665</v>
      </c>
      <c r="C12" s="415">
        <f t="shared" ref="C12:G12" ca="1" si="3">SUM(C8,C10:C11)</f>
        <v>696.10130499451543</v>
      </c>
      <c r="D12" s="415">
        <f t="shared" ca="1" si="3"/>
        <v>4107.7680635267398</v>
      </c>
      <c r="E12" s="415">
        <f t="shared" ca="1" si="3"/>
        <v>4226.4913792886964</v>
      </c>
      <c r="F12" s="415">
        <f t="shared" ca="1" si="3"/>
        <v>4476.4976990213327</v>
      </c>
      <c r="G12" s="415">
        <f t="shared" ca="1" si="3"/>
        <v>4686.1786417322328</v>
      </c>
    </row>
    <row r="13" spans="1:7" s="421" customFormat="1" ht="20.100000000000001" customHeight="1" x14ac:dyDescent="0.2">
      <c r="A13" s="419" t="s">
        <v>436</v>
      </c>
      <c r="B13" s="420" t="str">
        <f ca="1">IFERROR(B12/B3,"")</f>
        <v/>
      </c>
      <c r="C13" s="420">
        <f t="shared" ref="C13:G13" ca="1" si="4">IFERROR(C12/C3,"")</f>
        <v>0.45788042738793083</v>
      </c>
      <c r="D13" s="420">
        <f t="shared" ca="1" si="4"/>
        <v>0.6102975797358382</v>
      </c>
      <c r="E13" s="420">
        <f t="shared" ca="1" si="4"/>
        <v>0.61464682883817068</v>
      </c>
      <c r="F13" s="420">
        <f t="shared" ca="1" si="4"/>
        <v>0.62000433255639986</v>
      </c>
      <c r="G13" s="420">
        <f t="shared" ca="1" si="4"/>
        <v>0.61813865093313569</v>
      </c>
    </row>
    <row r="14" spans="1:7" s="416" customFormat="1" ht="20.100000000000001" customHeight="1" x14ac:dyDescent="0.2">
      <c r="A14" s="422" t="s">
        <v>437</v>
      </c>
      <c r="B14" s="423">
        <f>-B67*Parameters!$B$4</f>
        <v>-615</v>
      </c>
      <c r="C14" s="423">
        <f>-C67*Parameters!$B$4</f>
        <v>-810</v>
      </c>
      <c r="D14" s="423">
        <f>-D67*Parameters!$B$4</f>
        <v>-330</v>
      </c>
      <c r="E14" s="423">
        <f>-E67*Parameters!$B$4</f>
        <v>0</v>
      </c>
      <c r="F14" s="423">
        <f>-F67*Parameters!$B$4</f>
        <v>0</v>
      </c>
      <c r="G14" s="423">
        <f>-G67*Parameters!$B$4</f>
        <v>0</v>
      </c>
    </row>
    <row r="15" spans="1:7" s="416" customFormat="1" ht="20.100000000000001" customHeight="1" thickBot="1" x14ac:dyDescent="0.25">
      <c r="A15" s="422" t="s">
        <v>442</v>
      </c>
      <c r="B15" s="423">
        <f ca="1">-OPEX!B52</f>
        <v>-93.674999999999997</v>
      </c>
      <c r="C15" s="423">
        <f ca="1">-OPEX!C52</f>
        <v>-94.775000000000006</v>
      </c>
      <c r="D15" s="423">
        <f ca="1">-OPEX!D52</f>
        <v>-94.775000000000006</v>
      </c>
      <c r="E15" s="423">
        <f ca="1">-OPEX!E52</f>
        <v>-94.775000000000006</v>
      </c>
      <c r="F15" s="423">
        <f ca="1">-OPEX!F52</f>
        <v>-94.775000000000006</v>
      </c>
      <c r="G15" s="423">
        <f ca="1">-OPEX!G52</f>
        <v>-94.775000000000006</v>
      </c>
    </row>
    <row r="16" spans="1:7" s="416" customFormat="1" ht="20.100000000000001" customHeight="1" thickBot="1" x14ac:dyDescent="0.25">
      <c r="A16" s="414" t="s">
        <v>438</v>
      </c>
      <c r="B16" s="415">
        <f ca="1">SUM(B12,B14:B15)</f>
        <v>-971.26947666666661</v>
      </c>
      <c r="C16" s="415">
        <f t="shared" ref="C16:G16" ca="1" si="5">SUM(C12,C14:C15)</f>
        <v>-208.67369500548457</v>
      </c>
      <c r="D16" s="415">
        <f t="shared" ca="1" si="5"/>
        <v>3682.9930635267397</v>
      </c>
      <c r="E16" s="415">
        <f t="shared" ca="1" si="5"/>
        <v>4131.7163792886968</v>
      </c>
      <c r="F16" s="415">
        <f t="shared" ca="1" si="5"/>
        <v>4381.722699021333</v>
      </c>
      <c r="G16" s="415">
        <f t="shared" ca="1" si="5"/>
        <v>4591.4036417322332</v>
      </c>
    </row>
    <row r="17" spans="1:9" s="416" customFormat="1" ht="20.100000000000001" customHeight="1" thickBot="1" x14ac:dyDescent="0.25">
      <c r="A17" s="422" t="s">
        <v>439</v>
      </c>
      <c r="B17" s="423">
        <f ca="1">-IF(B16&lt;0,0,IF(AND(B16&gt;0,A16&lt;0),SUM($B$16:B16)*Parameters!$B$5,B16*Parameters!$B$5))</f>
        <v>0</v>
      </c>
      <c r="C17" s="423">
        <f ca="1">-IF(C16&lt;0,0,IF(AND(C16&gt;0,B16&lt;0),SUM($B$16:C16)*Parameters!$B$5,C16*Parameters!$B$5))</f>
        <v>0</v>
      </c>
      <c r="D17" s="423">
        <f ca="1">-IF(D16&lt;0,0,IF(AND(D16&gt;0,C16&lt;0),SUM($B$16:D16)*Parameters!$B$5,D16*Parameters!$B$5))</f>
        <v>-375.45748377818819</v>
      </c>
      <c r="E17" s="423">
        <f ca="1">-IF(E16&lt;0,0,IF(AND(E16&gt;0,D16&lt;0),SUM($B$16:E16)*Parameters!$B$5,E16*Parameters!$B$5))</f>
        <v>-619.75745689330449</v>
      </c>
      <c r="F17" s="423">
        <f ca="1">-IF(F16&lt;0,0,IF(AND(F16&gt;0,E16&lt;0),SUM($B$16:F16)*Parameters!$B$5,F16*Parameters!$B$5))</f>
        <v>-657.25840485319998</v>
      </c>
      <c r="G17" s="423">
        <f ca="1">-IF(G16&lt;0,0,IF(AND(G16&gt;0,F16&lt;0),SUM($B$16:G16)*Parameters!$B$5,G16*Parameters!$B$5))</f>
        <v>-688.71054625983493</v>
      </c>
      <c r="I17" s="457"/>
    </row>
    <row r="18" spans="1:9" s="416" customFormat="1" ht="20.100000000000001" customHeight="1" thickBot="1" x14ac:dyDescent="0.25">
      <c r="A18" s="414" t="s">
        <v>440</v>
      </c>
      <c r="B18" s="415">
        <f ca="1">SUM(B16:B17)</f>
        <v>-971.26947666666661</v>
      </c>
      <c r="C18" s="415">
        <f t="shared" ref="C18:G18" ca="1" si="6">SUM(C16:C17)</f>
        <v>-208.67369500548457</v>
      </c>
      <c r="D18" s="415">
        <f t="shared" ca="1" si="6"/>
        <v>3307.5355797485513</v>
      </c>
      <c r="E18" s="415">
        <f t="shared" ca="1" si="6"/>
        <v>3511.9589223953922</v>
      </c>
      <c r="F18" s="415">
        <f t="shared" ca="1" si="6"/>
        <v>3724.4642941681332</v>
      </c>
      <c r="G18" s="415">
        <f t="shared" ca="1" si="6"/>
        <v>3902.6930954723985</v>
      </c>
    </row>
    <row r="19" spans="1:9" s="421" customFormat="1" ht="20.100000000000001" customHeight="1" x14ac:dyDescent="0.2">
      <c r="A19" s="419" t="s">
        <v>441</v>
      </c>
      <c r="B19" s="420" t="str">
        <f ca="1">IFERROR(B18/B3,"")</f>
        <v/>
      </c>
      <c r="C19" s="420">
        <f t="shared" ref="C19:G19" ca="1" si="7">IFERROR(C18/C3,"")</f>
        <v>-0.13726105664244204</v>
      </c>
      <c r="D19" s="420">
        <f t="shared" ca="1" si="7"/>
        <v>0.49140577753984799</v>
      </c>
      <c r="E19" s="420">
        <f t="shared" ca="1" si="7"/>
        <v>0.51073437065037486</v>
      </c>
      <c r="F19" s="420">
        <f t="shared" ca="1" si="7"/>
        <v>0.51584612661382545</v>
      </c>
      <c r="G19" s="420">
        <f t="shared" ca="1" si="7"/>
        <v>0.51479160942734203</v>
      </c>
    </row>
    <row r="22" spans="1:9" ht="18" x14ac:dyDescent="0.25">
      <c r="A22" s="430" t="s">
        <v>446</v>
      </c>
    </row>
    <row r="23" spans="1:9" s="70" customFormat="1" ht="20.100000000000001" customHeight="1" thickBot="1" x14ac:dyDescent="0.25">
      <c r="A23" s="313" t="s">
        <v>445</v>
      </c>
      <c r="B23" s="130">
        <v>2019</v>
      </c>
      <c r="C23" s="131">
        <v>2020</v>
      </c>
      <c r="D23" s="131">
        <v>2021</v>
      </c>
      <c r="E23" s="131">
        <v>2022</v>
      </c>
      <c r="F23" s="131">
        <v>2023</v>
      </c>
      <c r="G23" s="131">
        <v>2024</v>
      </c>
    </row>
    <row r="24" spans="1:9" s="416" customFormat="1" ht="20.100000000000001" customHeight="1" thickBot="1" x14ac:dyDescent="0.25">
      <c r="A24" s="414" t="s">
        <v>447</v>
      </c>
      <c r="B24" s="415">
        <f ca="1">SUM(B25:B32)</f>
        <v>-1972.6868099042053</v>
      </c>
      <c r="C24" s="415">
        <f t="shared" ref="C24:G24" ca="1" si="8">SUM(C25:C32)</f>
        <v>-1361.3784801290035</v>
      </c>
      <c r="D24" s="415">
        <f t="shared" ca="1" si="8"/>
        <v>3473.769089456795</v>
      </c>
      <c r="E24" s="415">
        <f t="shared" ca="1" si="8"/>
        <v>3905.7686924006889</v>
      </c>
      <c r="F24" s="415">
        <f t="shared" ca="1" si="8"/>
        <v>4098.5177923438496</v>
      </c>
      <c r="G24" s="415">
        <f t="shared" ca="1" si="8"/>
        <v>5172.3395469877778</v>
      </c>
    </row>
    <row r="25" spans="1:9" s="416" customFormat="1" ht="20.100000000000001" hidden="1" customHeight="1" outlineLevel="1" x14ac:dyDescent="0.2">
      <c r="A25" s="422" t="s">
        <v>453</v>
      </c>
      <c r="B25" s="423">
        <f>Calc2!B7</f>
        <v>0</v>
      </c>
      <c r="C25" s="423">
        <f>Calc2!C7</f>
        <v>1432.8012328767124</v>
      </c>
      <c r="D25" s="423">
        <f>Calc2!D7</f>
        <v>6430.9806678082196</v>
      </c>
      <c r="E25" s="423">
        <f>Calc2!E7</f>
        <v>6867.9195410958901</v>
      </c>
      <c r="F25" s="423">
        <f>Calc2!F7</f>
        <v>7200.3260095890419</v>
      </c>
      <c r="G25" s="423">
        <f>Calc2!G7</f>
        <v>7560.342310068494</v>
      </c>
    </row>
    <row r="26" spans="1:9" s="416" customFormat="1" ht="20.100000000000001" hidden="1" customHeight="1" outlineLevel="1" x14ac:dyDescent="0.2">
      <c r="A26" s="422" t="s">
        <v>454</v>
      </c>
      <c r="B26" s="423">
        <f ca="1">-Calc2!B11</f>
        <v>-454.7562027014082</v>
      </c>
      <c r="C26" s="423">
        <f ca="1">-Calc2!C11</f>
        <v>-709.89558386818669</v>
      </c>
      <c r="D26" s="423">
        <f ca="1">-Calc2!D11</f>
        <v>-757.88293897882954</v>
      </c>
      <c r="E26" s="423">
        <f ca="1">-Calc2!E11</f>
        <v>-795.77708592777117</v>
      </c>
      <c r="F26" s="423">
        <f ca="1">-Calc2!F11</f>
        <v>-835.56594022415948</v>
      </c>
      <c r="G26" s="423">
        <f ca="1">-Calc2!G11</f>
        <v>-483.50344502586461</v>
      </c>
    </row>
    <row r="27" spans="1:9" s="416" customFormat="1" ht="20.100000000000001" hidden="1" customHeight="1" outlineLevel="1" x14ac:dyDescent="0.2">
      <c r="A27" s="422" t="s">
        <v>456</v>
      </c>
      <c r="B27" s="423">
        <f ca="1">-SUM(OPEX!B31,OPEX!B33)</f>
        <v>-434.84848484848487</v>
      </c>
      <c r="C27" s="423">
        <f ca="1">-SUM(OPEX!C31,OPEX!C33)</f>
        <v>-652.27272727272737</v>
      </c>
      <c r="D27" s="423">
        <f ca="1">-SUM(OPEX!D31,OPEX!D33)</f>
        <v>-684.88636363636374</v>
      </c>
      <c r="E27" s="423">
        <f ca="1">-SUM(OPEX!E31,OPEX!E33)</f>
        <v>-719.13068181818198</v>
      </c>
      <c r="F27" s="423">
        <f ca="1">-SUM(OPEX!F31,OPEX!F33)</f>
        <v>-755.08721590909101</v>
      </c>
      <c r="G27" s="423">
        <f ca="1">-SUM(OPEX!G31,OPEX!G33)</f>
        <v>-416.24182776988641</v>
      </c>
    </row>
    <row r="28" spans="1:9" s="416" customFormat="1" ht="20.100000000000001" hidden="1" customHeight="1" outlineLevel="1" x14ac:dyDescent="0.2">
      <c r="A28" s="422" t="s">
        <v>455</v>
      </c>
      <c r="B28" s="423">
        <f>-Staff!D43/1000</f>
        <v>-201.24</v>
      </c>
      <c r="C28" s="423">
        <f>-Staff!E43/1000</f>
        <v>-273.33600000000001</v>
      </c>
      <c r="D28" s="423">
        <f>-Staff!F43/1000</f>
        <v>-289.29599999999999</v>
      </c>
      <c r="E28" s="423">
        <f>-Staff!G43/1000</f>
        <v>-303.76080000000007</v>
      </c>
      <c r="F28" s="423">
        <f>-Staff!H43/1000</f>
        <v>-318.94883999999996</v>
      </c>
      <c r="G28" s="423">
        <f>-Staff!I43/1000</f>
        <v>-334.89628200000004</v>
      </c>
    </row>
    <row r="29" spans="1:9" s="416" customFormat="1" ht="20.100000000000001" hidden="1" customHeight="1" outlineLevel="1" x14ac:dyDescent="0.2">
      <c r="A29" s="422" t="s">
        <v>369</v>
      </c>
      <c r="B29" s="423">
        <f>-OPEX!B46</f>
        <v>0</v>
      </c>
      <c r="C29" s="423">
        <f>-OPEX!C46</f>
        <v>-47.25</v>
      </c>
      <c r="D29" s="423">
        <f>-OPEX!D46</f>
        <v>-220.5</v>
      </c>
      <c r="E29" s="423">
        <f>-OPEX!E46</f>
        <v>-231.52500000000003</v>
      </c>
      <c r="F29" s="423">
        <f>-OPEX!F46</f>
        <v>-243.10124999999999</v>
      </c>
      <c r="G29" s="423">
        <f>-OPEX!G46</f>
        <v>-255.25631250000004</v>
      </c>
    </row>
    <row r="30" spans="1:9" s="416" customFormat="1" ht="20.100000000000001" hidden="1" customHeight="1" outlineLevel="1" x14ac:dyDescent="0.2">
      <c r="A30" s="422" t="s">
        <v>457</v>
      </c>
      <c r="B30" s="423">
        <f ca="1">-SUM(OPEX!B29:B30,OPEX!B32,OPEX!B44:B45,OPEX!B47:B50)</f>
        <v>-266.84212235431238</v>
      </c>
      <c r="C30" s="423">
        <f ca="1">-SUM(OPEX!C29:C30,OPEX!C32,OPEX!C44:C45,OPEX!C47:C50)</f>
        <v>-301.42540186480187</v>
      </c>
      <c r="D30" s="423">
        <f ca="1">-SUM(OPEX!D29:D30,OPEX!D32,OPEX!D44:D45,OPEX!D47:D50)</f>
        <v>-299.18879195804197</v>
      </c>
      <c r="E30" s="423">
        <f ca="1">-SUM(OPEX!E29:E30,OPEX!E32,OPEX!E44:E45,OPEX!E47:E50)</f>
        <v>-292.19982405594408</v>
      </c>
      <c r="F30" s="423">
        <f ca="1">-SUM(OPEX!F29:F30,OPEX!F32,OPEX!F44:F45,OPEX!F47:F50)</f>
        <v>-291.84656625874123</v>
      </c>
      <c r="G30" s="423">
        <f ca="1">-SUM(OPEX!G29:G30,OPEX!G32,OPEX!G44:G45,OPEX!G47:G50)</f>
        <v>-209.39434952513119</v>
      </c>
    </row>
    <row r="31" spans="1:9" s="416" customFormat="1" ht="20.100000000000001" hidden="1" customHeight="1" outlineLevel="1" x14ac:dyDescent="0.2">
      <c r="A31" s="422" t="s">
        <v>458</v>
      </c>
      <c r="B31" s="423">
        <f>B14</f>
        <v>-615</v>
      </c>
      <c r="C31" s="423">
        <f t="shared" ref="C31:G31" si="9">C14</f>
        <v>-810</v>
      </c>
      <c r="D31" s="423">
        <f t="shared" si="9"/>
        <v>-330</v>
      </c>
      <c r="E31" s="423">
        <f t="shared" si="9"/>
        <v>0</v>
      </c>
      <c r="F31" s="423">
        <f t="shared" si="9"/>
        <v>0</v>
      </c>
      <c r="G31" s="423">
        <f t="shared" si="9"/>
        <v>0</v>
      </c>
    </row>
    <row r="32" spans="1:9" s="416" customFormat="1" ht="20.100000000000001" hidden="1" customHeight="1" outlineLevel="1" thickBot="1" x14ac:dyDescent="0.25">
      <c r="A32" s="422" t="s">
        <v>443</v>
      </c>
      <c r="B32" s="423">
        <f ca="1">B17</f>
        <v>0</v>
      </c>
      <c r="C32" s="423">
        <f t="shared" ref="C32:G32" ca="1" si="10">C17</f>
        <v>0</v>
      </c>
      <c r="D32" s="423">
        <f t="shared" ca="1" si="10"/>
        <v>-375.45748377818819</v>
      </c>
      <c r="E32" s="423">
        <f t="shared" ca="1" si="10"/>
        <v>-619.75745689330449</v>
      </c>
      <c r="F32" s="423">
        <f t="shared" ca="1" si="10"/>
        <v>-657.25840485319998</v>
      </c>
      <c r="G32" s="423">
        <f t="shared" ca="1" si="10"/>
        <v>-688.71054625983493</v>
      </c>
    </row>
    <row r="33" spans="1:9" s="416" customFormat="1" ht="20.100000000000001" customHeight="1" collapsed="1" thickBot="1" x14ac:dyDescent="0.25">
      <c r="A33" s="414" t="s">
        <v>448</v>
      </c>
      <c r="B33" s="415">
        <f>SUM(B34:B43)</f>
        <v>-3577.7754999999997</v>
      </c>
      <c r="C33" s="415">
        <f t="shared" ref="C33:G33" si="11">SUM(C34:C43)</f>
        <v>-146</v>
      </c>
      <c r="D33" s="415">
        <f t="shared" si="11"/>
        <v>-243.57599999999999</v>
      </c>
      <c r="E33" s="415">
        <f t="shared" si="11"/>
        <v>-10.34</v>
      </c>
      <c r="F33" s="415">
        <f t="shared" si="11"/>
        <v>-243.57599999999999</v>
      </c>
      <c r="G33" s="415">
        <f t="shared" si="11"/>
        <v>0</v>
      </c>
    </row>
    <row r="34" spans="1:9" s="416" customFormat="1" ht="20.100000000000001" hidden="1" customHeight="1" outlineLevel="1" x14ac:dyDescent="0.2">
      <c r="A34" s="422" t="s">
        <v>304</v>
      </c>
      <c r="B34" s="423">
        <f>-CAPEX!T58/1000</f>
        <v>-1240.2</v>
      </c>
      <c r="C34" s="423">
        <f>-CAPEX!U58/1000</f>
        <v>0</v>
      </c>
      <c r="D34" s="423">
        <f>-CAPEX!V58/1000</f>
        <v>0</v>
      </c>
      <c r="E34" s="423">
        <f>-CAPEX!W58/1000</f>
        <v>0</v>
      </c>
      <c r="F34" s="423">
        <f>-CAPEX!X58/1000</f>
        <v>0</v>
      </c>
      <c r="G34" s="423">
        <f>-CAPEX!Y58/1000</f>
        <v>0</v>
      </c>
    </row>
    <row r="35" spans="1:9" s="416" customFormat="1" ht="20.100000000000001" hidden="1" customHeight="1" outlineLevel="1" x14ac:dyDescent="0.2">
      <c r="A35" s="422" t="s">
        <v>340</v>
      </c>
      <c r="B35" s="423">
        <f>-CAPEX!T91/1000</f>
        <v>-936.75</v>
      </c>
      <c r="C35" s="423">
        <f>-CAPEX!U91/1000</f>
        <v>-11</v>
      </c>
      <c r="D35" s="423">
        <f>-CAPEX!V91/1000</f>
        <v>0</v>
      </c>
      <c r="E35" s="423">
        <f>-CAPEX!W91/1000</f>
        <v>0</v>
      </c>
      <c r="F35" s="423">
        <f>-CAPEX!X91/1000</f>
        <v>0</v>
      </c>
      <c r="G35" s="423">
        <f>-CAPEX!Y91/1000</f>
        <v>0</v>
      </c>
    </row>
    <row r="36" spans="1:9" s="416" customFormat="1" ht="20.100000000000001" hidden="1" customHeight="1" outlineLevel="1" x14ac:dyDescent="0.2">
      <c r="A36" s="422" t="s">
        <v>271</v>
      </c>
      <c r="B36" s="423">
        <f>-CAPEX!T13/1000</f>
        <v>-325.58199999999999</v>
      </c>
      <c r="C36" s="423">
        <f>-CAPEX!U13/1000</f>
        <v>0</v>
      </c>
      <c r="D36" s="423">
        <f>-CAPEX!V13/1000</f>
        <v>-243.57599999999999</v>
      </c>
      <c r="E36" s="423">
        <f>-CAPEX!W13/1000</f>
        <v>0</v>
      </c>
      <c r="F36" s="423">
        <f>-CAPEX!X13/1000</f>
        <v>-243.57599999999999</v>
      </c>
      <c r="G36" s="423">
        <f>-CAPEX!Y13/1000</f>
        <v>0</v>
      </c>
    </row>
    <row r="37" spans="1:9" s="416" customFormat="1" ht="20.100000000000001" hidden="1" customHeight="1" outlineLevel="1" x14ac:dyDescent="0.2">
      <c r="A37" s="422" t="s">
        <v>330</v>
      </c>
      <c r="B37" s="423">
        <f>-CAPEX!T83/1000</f>
        <v>-440.68799999999999</v>
      </c>
      <c r="C37" s="423">
        <f>-CAPEX!U83/1000</f>
        <v>0</v>
      </c>
      <c r="D37" s="423">
        <f>-CAPEX!V83/1000</f>
        <v>0</v>
      </c>
      <c r="E37" s="423">
        <f>-CAPEX!W83/1000</f>
        <v>0</v>
      </c>
      <c r="F37" s="423">
        <f>-CAPEX!X83/1000</f>
        <v>0</v>
      </c>
      <c r="G37" s="423">
        <f>-CAPEX!Y83/1000</f>
        <v>0</v>
      </c>
    </row>
    <row r="38" spans="1:9" s="416" customFormat="1" ht="20.100000000000001" hidden="1" customHeight="1" outlineLevel="1" x14ac:dyDescent="0.2">
      <c r="A38" s="422" t="s">
        <v>298</v>
      </c>
      <c r="B38" s="423">
        <f>-CAPEX!T52/1000</f>
        <v>-310.85000000000002</v>
      </c>
      <c r="C38" s="423">
        <f>-CAPEX!U52/1000</f>
        <v>0</v>
      </c>
      <c r="D38" s="423">
        <f>-CAPEX!V52/1000</f>
        <v>0</v>
      </c>
      <c r="E38" s="423">
        <f>-CAPEX!W52/1000</f>
        <v>0</v>
      </c>
      <c r="F38" s="423">
        <f>-CAPEX!X52/1000</f>
        <v>0</v>
      </c>
      <c r="G38" s="423">
        <f>-CAPEX!Y52/1000</f>
        <v>0</v>
      </c>
    </row>
    <row r="39" spans="1:9" s="416" customFormat="1" ht="20.100000000000001" hidden="1" customHeight="1" outlineLevel="1" x14ac:dyDescent="0.2">
      <c r="A39" s="422" t="s">
        <v>234</v>
      </c>
      <c r="B39" s="423">
        <f>-CAPEX!T4/1000</f>
        <v>-196.19</v>
      </c>
      <c r="C39" s="423">
        <f>-CAPEX!U4/1000</f>
        <v>0</v>
      </c>
      <c r="D39" s="423">
        <f>-CAPEX!V4/1000</f>
        <v>0</v>
      </c>
      <c r="E39" s="423">
        <f>-CAPEX!W4/1000</f>
        <v>-4.04</v>
      </c>
      <c r="F39" s="423">
        <f>-CAPEX!X4/1000</f>
        <v>0</v>
      </c>
      <c r="G39" s="423">
        <f>-CAPEX!Y4/1000</f>
        <v>0</v>
      </c>
    </row>
    <row r="40" spans="1:9" s="416" customFormat="1" ht="20.100000000000001" hidden="1" customHeight="1" outlineLevel="1" x14ac:dyDescent="0.2">
      <c r="A40" s="422" t="s">
        <v>325</v>
      </c>
      <c r="B40" s="423">
        <f>-CAPEX!T79/1000</f>
        <v>0</v>
      </c>
      <c r="C40" s="423">
        <f>-CAPEX!U79/1000</f>
        <v>-135</v>
      </c>
      <c r="D40" s="423">
        <f>-CAPEX!V79/1000</f>
        <v>0</v>
      </c>
      <c r="E40" s="423">
        <f>-CAPEX!W79/1000</f>
        <v>0</v>
      </c>
      <c r="F40" s="423">
        <f>-CAPEX!X79/1000</f>
        <v>0</v>
      </c>
      <c r="G40" s="423">
        <f>-CAPEX!Y79/1000</f>
        <v>0</v>
      </c>
    </row>
    <row r="41" spans="1:9" s="416" customFormat="1" ht="20.100000000000001" hidden="1" customHeight="1" outlineLevel="1" x14ac:dyDescent="0.2">
      <c r="A41" s="422" t="s">
        <v>292</v>
      </c>
      <c r="B41" s="423">
        <f>-CAPEX!T46/1000</f>
        <v>-75.47</v>
      </c>
      <c r="C41" s="423">
        <f>-CAPEX!U46/1000</f>
        <v>0</v>
      </c>
      <c r="D41" s="423">
        <f>-CAPEX!V46/1000</f>
        <v>0</v>
      </c>
      <c r="E41" s="423">
        <f>-CAPEX!W46/1000</f>
        <v>0</v>
      </c>
      <c r="F41" s="423">
        <f>-CAPEX!X46/1000</f>
        <v>0</v>
      </c>
      <c r="G41" s="423">
        <f>-CAPEX!Y46/1000</f>
        <v>0</v>
      </c>
    </row>
    <row r="42" spans="1:9" s="416" customFormat="1" ht="20.100000000000001" hidden="1" customHeight="1" outlineLevel="1" x14ac:dyDescent="0.2">
      <c r="A42" s="422" t="s">
        <v>272</v>
      </c>
      <c r="B42" s="423">
        <f>-CAPEX!T30/1000</f>
        <v>-41.205500000000001</v>
      </c>
      <c r="C42" s="423">
        <f>-CAPEX!U30/1000</f>
        <v>0</v>
      </c>
      <c r="D42" s="423">
        <f>-CAPEX!V30/1000</f>
        <v>0</v>
      </c>
      <c r="E42" s="423">
        <f>-CAPEX!W30/1000</f>
        <v>-6.3</v>
      </c>
      <c r="F42" s="423">
        <f>-CAPEX!X30/1000</f>
        <v>0</v>
      </c>
      <c r="G42" s="423">
        <f>-CAPEX!Y30/1000</f>
        <v>0</v>
      </c>
    </row>
    <row r="43" spans="1:9" s="416" customFormat="1" ht="20.100000000000001" hidden="1" customHeight="1" outlineLevel="1" thickBot="1" x14ac:dyDescent="0.25">
      <c r="A43" s="422" t="s">
        <v>326</v>
      </c>
      <c r="B43" s="423">
        <f>-CAPEX!T63/1000</f>
        <v>-10.84</v>
      </c>
      <c r="C43" s="423">
        <f>-CAPEX!U63/1000</f>
        <v>0</v>
      </c>
      <c r="D43" s="423">
        <f>-CAPEX!V63/1000</f>
        <v>0</v>
      </c>
      <c r="E43" s="423">
        <f>-CAPEX!W63/1000</f>
        <v>0</v>
      </c>
      <c r="F43" s="423">
        <f>-CAPEX!X63/1000</f>
        <v>0</v>
      </c>
      <c r="G43" s="423">
        <f>-CAPEX!Y63/1000</f>
        <v>0</v>
      </c>
    </row>
    <row r="44" spans="1:9" s="416" customFormat="1" ht="20.100000000000001" customHeight="1" collapsed="1" thickBot="1" x14ac:dyDescent="0.25">
      <c r="A44" s="414" t="s">
        <v>449</v>
      </c>
      <c r="B44" s="415">
        <f>SUM(B45:B48)</f>
        <v>5600</v>
      </c>
      <c r="C44" s="415">
        <f t="shared" ref="C44:G44" si="12">SUM(C45:C48)</f>
        <v>1500</v>
      </c>
      <c r="D44" s="415">
        <f t="shared" si="12"/>
        <v>-3200</v>
      </c>
      <c r="E44" s="415">
        <f t="shared" si="12"/>
        <v>-3900</v>
      </c>
      <c r="F44" s="415">
        <f t="shared" si="12"/>
        <v>0</v>
      </c>
      <c r="G44" s="415">
        <f t="shared" si="12"/>
        <v>0</v>
      </c>
    </row>
    <row r="45" spans="1:9" s="416" customFormat="1" ht="20.100000000000001" hidden="1" customHeight="1" outlineLevel="1" x14ac:dyDescent="0.2">
      <c r="A45" s="422" t="s">
        <v>459</v>
      </c>
      <c r="B45" s="431">
        <v>1500</v>
      </c>
      <c r="C45" s="431">
        <v>200</v>
      </c>
      <c r="D45" s="431"/>
      <c r="E45" s="431"/>
      <c r="F45" s="431"/>
      <c r="G45" s="431"/>
    </row>
    <row r="46" spans="1:9" s="416" customFormat="1" ht="20.100000000000001" hidden="1" customHeight="1" outlineLevel="1" x14ac:dyDescent="0.2">
      <c r="A46" s="422" t="s">
        <v>462</v>
      </c>
      <c r="B46" s="431"/>
      <c r="C46" s="431"/>
      <c r="D46" s="431"/>
      <c r="E46" s="431">
        <v>-1700</v>
      </c>
      <c r="F46" s="431"/>
      <c r="G46" s="431"/>
    </row>
    <row r="47" spans="1:9" s="416" customFormat="1" ht="20.100000000000001" hidden="1" customHeight="1" outlineLevel="1" x14ac:dyDescent="0.2">
      <c r="A47" s="422" t="s">
        <v>460</v>
      </c>
      <c r="B47" s="431">
        <v>4100</v>
      </c>
      <c r="C47" s="431">
        <v>1300</v>
      </c>
      <c r="D47" s="431"/>
      <c r="E47" s="431"/>
      <c r="F47" s="431"/>
      <c r="G47" s="431"/>
      <c r="I47" s="464" t="s">
        <v>479</v>
      </c>
    </row>
    <row r="48" spans="1:9" s="416" customFormat="1" ht="20.100000000000001" hidden="1" customHeight="1" outlineLevel="1" thickBot="1" x14ac:dyDescent="0.25">
      <c r="A48" s="422" t="s">
        <v>461</v>
      </c>
      <c r="B48" s="431"/>
      <c r="C48" s="431"/>
      <c r="D48" s="431">
        <v>-3200</v>
      </c>
      <c r="E48" s="431">
        <v>-2200</v>
      </c>
      <c r="F48" s="431"/>
      <c r="G48" s="431"/>
      <c r="I48" s="463">
        <f>SUM(B47:G48)</f>
        <v>0</v>
      </c>
    </row>
    <row r="49" spans="1:8" s="121" customFormat="1" ht="20.100000000000001" customHeight="1" collapsed="1" thickBot="1" x14ac:dyDescent="0.25">
      <c r="A49" s="440" t="s">
        <v>450</v>
      </c>
      <c r="B49" s="441">
        <f ca="1">SUM(B24,B33,B44)</f>
        <v>49.53769009579446</v>
      </c>
      <c r="C49" s="441">
        <f t="shared" ref="C49:G49" ca="1" si="13">SUM(C24,C33,C44)</f>
        <v>-7.378480129003492</v>
      </c>
      <c r="D49" s="441">
        <f t="shared" ca="1" si="13"/>
        <v>30.193089456794951</v>
      </c>
      <c r="E49" s="441">
        <f t="shared" ca="1" si="13"/>
        <v>-4.5713075993112398</v>
      </c>
      <c r="F49" s="441">
        <f t="shared" ca="1" si="13"/>
        <v>3854.9417923438496</v>
      </c>
      <c r="G49" s="441">
        <f t="shared" ca="1" si="13"/>
        <v>5172.3395469877778</v>
      </c>
    </row>
    <row r="50" spans="1:8" s="416" customFormat="1" ht="20.100000000000001" customHeight="1" x14ac:dyDescent="0.2">
      <c r="A50" s="422" t="s">
        <v>451</v>
      </c>
      <c r="B50" s="423">
        <v>0</v>
      </c>
      <c r="C50" s="423">
        <f ca="1">B51</f>
        <v>49.53769009579446</v>
      </c>
      <c r="D50" s="423">
        <f t="shared" ref="D50:G50" ca="1" si="14">C51</f>
        <v>42.159209966790968</v>
      </c>
      <c r="E50" s="423">
        <f t="shared" ca="1" si="14"/>
        <v>72.352299423585919</v>
      </c>
      <c r="F50" s="423">
        <f t="shared" ca="1" si="14"/>
        <v>67.780991824274679</v>
      </c>
      <c r="G50" s="423">
        <f t="shared" ca="1" si="14"/>
        <v>3922.7227841681242</v>
      </c>
    </row>
    <row r="51" spans="1:8" s="416" customFormat="1" ht="20.100000000000001" customHeight="1" x14ac:dyDescent="0.2">
      <c r="A51" s="422" t="s">
        <v>452</v>
      </c>
      <c r="B51" s="423">
        <f ca="1">B49+B50</f>
        <v>49.53769009579446</v>
      </c>
      <c r="C51" s="423">
        <f t="shared" ref="C51:G51" ca="1" si="15">C49+C50</f>
        <v>42.159209966790968</v>
      </c>
      <c r="D51" s="423">
        <f t="shared" ca="1" si="15"/>
        <v>72.352299423585919</v>
      </c>
      <c r="E51" s="423">
        <f t="shared" ca="1" si="15"/>
        <v>67.780991824274679</v>
      </c>
      <c r="F51" s="423">
        <f t="shared" ca="1" si="15"/>
        <v>3922.7227841681242</v>
      </c>
      <c r="G51" s="423">
        <f t="shared" ca="1" si="15"/>
        <v>9095.0623311559029</v>
      </c>
    </row>
    <row r="54" spans="1:8" ht="18" x14ac:dyDescent="0.25">
      <c r="A54" s="430" t="s">
        <v>470</v>
      </c>
    </row>
    <row r="55" spans="1:8" s="70" customFormat="1" ht="20.100000000000001" customHeight="1" thickBot="1" x14ac:dyDescent="0.25">
      <c r="A55" s="313" t="s">
        <v>445</v>
      </c>
      <c r="B55" s="130">
        <v>2019</v>
      </c>
      <c r="C55" s="131">
        <v>2020</v>
      </c>
      <c r="D55" s="131">
        <v>2021</v>
      </c>
      <c r="E55" s="131">
        <v>2022</v>
      </c>
      <c r="F55" s="131">
        <v>2023</v>
      </c>
      <c r="G55" s="131">
        <v>2024</v>
      </c>
    </row>
    <row r="56" spans="1:8" s="121" customFormat="1" ht="20.100000000000001" customHeight="1" collapsed="1" thickBot="1" x14ac:dyDescent="0.25">
      <c r="A56" s="440" t="s">
        <v>471</v>
      </c>
      <c r="B56" s="441">
        <f ca="1">SUM(B57:B60)</f>
        <v>4656.491803149408</v>
      </c>
      <c r="C56" s="441">
        <f t="shared" ref="C56:G56" ca="1" si="16">SUM(C57:C60)</f>
        <v>5961.6987480519601</v>
      </c>
      <c r="D56" s="441">
        <f t="shared" ca="1" si="16"/>
        <v>6071.3164237867168</v>
      </c>
      <c r="E56" s="441">
        <f t="shared" ca="1" si="16"/>
        <v>5685.4615469676246</v>
      </c>
      <c r="F56" s="441">
        <f t="shared" ca="1" si="16"/>
        <v>9412.2213519605484</v>
      </c>
      <c r="G56" s="441">
        <f t="shared" ca="1" si="16"/>
        <v>13293.282127297818</v>
      </c>
    </row>
    <row r="57" spans="1:8" s="416" customFormat="1" ht="20.100000000000001" customHeight="1" x14ac:dyDescent="0.2">
      <c r="A57" s="422" t="s">
        <v>472</v>
      </c>
      <c r="B57" s="423">
        <f ca="1">B51</f>
        <v>49.53769009579446</v>
      </c>
      <c r="C57" s="423">
        <f t="shared" ref="C57:G57" ca="1" si="17">C51</f>
        <v>42.159209966790968</v>
      </c>
      <c r="D57" s="423">
        <f t="shared" ca="1" si="17"/>
        <v>72.352299423585919</v>
      </c>
      <c r="E57" s="423">
        <f t="shared" ca="1" si="17"/>
        <v>67.780991824274679</v>
      </c>
      <c r="F57" s="423">
        <f t="shared" ca="1" si="17"/>
        <v>3922.7227841681242</v>
      </c>
      <c r="G57" s="423">
        <f t="shared" ca="1" si="17"/>
        <v>9095.0623311559029</v>
      </c>
    </row>
    <row r="58" spans="1:8" s="416" customFormat="1" ht="20.100000000000001" customHeight="1" x14ac:dyDescent="0.2">
      <c r="A58" s="422" t="s">
        <v>473</v>
      </c>
      <c r="B58" s="423">
        <f>Calc2!B5</f>
        <v>0</v>
      </c>
      <c r="C58" s="423">
        <f>Calc2!C5</f>
        <v>87.467517123287692</v>
      </c>
      <c r="D58" s="423">
        <f>Calc2!D5</f>
        <v>387.24934931506857</v>
      </c>
      <c r="E58" s="423">
        <f>Calc2!E5</f>
        <v>395.62230821917808</v>
      </c>
      <c r="F58" s="423">
        <f>Calc2!F5</f>
        <v>415.40342363013707</v>
      </c>
      <c r="G58" s="423">
        <f>Calc2!G5</f>
        <v>436.17359481164391</v>
      </c>
    </row>
    <row r="59" spans="1:8" s="416" customFormat="1" ht="20.100000000000001" customHeight="1" x14ac:dyDescent="0.2">
      <c r="A59" s="422" t="s">
        <v>490</v>
      </c>
      <c r="B59" s="423">
        <f ca="1">Production!C93</f>
        <v>1468.0921963869466</v>
      </c>
      <c r="C59" s="423">
        <f ca="1">Production!D93</f>
        <v>3000.7236876285488</v>
      </c>
      <c r="D59" s="423">
        <f ca="1">Production!E93</f>
        <v>3071.4960250480617</v>
      </c>
      <c r="E59" s="423">
        <f ca="1">Production!F93</f>
        <v>3103.5387469241723</v>
      </c>
      <c r="F59" s="423">
        <f ca="1">Production!G93</f>
        <v>3223.7308941622878</v>
      </c>
      <c r="G59" s="423">
        <f ca="1">Production!H93</f>
        <v>2329.413201330271</v>
      </c>
      <c r="H59" s="460"/>
    </row>
    <row r="60" spans="1:8" s="416" customFormat="1" ht="20.100000000000001" customHeight="1" x14ac:dyDescent="0.2">
      <c r="A60" s="422" t="s">
        <v>474</v>
      </c>
      <c r="B60" s="423">
        <f ca="1">(SUM(CAPEX!$T$103:T103)-SUM(CAPEX!$AD$103:AD103))/1000</f>
        <v>3138.8619166666667</v>
      </c>
      <c r="C60" s="423">
        <f ca="1">(SUM(CAPEX!$T$103:U103)-SUM(CAPEX!$AD$103:AE103))/1000</f>
        <v>2831.3483333333334</v>
      </c>
      <c r="D60" s="423">
        <f ca="1">(SUM(CAPEX!$T$103:V103)-SUM(CAPEX!$AD$103:AF103))/1000</f>
        <v>2540.21875</v>
      </c>
      <c r="E60" s="423">
        <f ca="1">(SUM(CAPEX!$T$103:W103)-SUM(CAPEX!$AD$103:AG103))/1000</f>
        <v>2118.5194999999999</v>
      </c>
      <c r="F60" s="423">
        <f ca="1">(SUM(CAPEX!$T$103:X103)-SUM(CAPEX!$AD$103:AH103))/1000</f>
        <v>1850.3642500000001</v>
      </c>
      <c r="G60" s="423">
        <f ca="1">(SUM(CAPEX!$T$103:Y103)-SUM(CAPEX!$AD$103:AI103))/1000</f>
        <v>1432.633</v>
      </c>
      <c r="H60" s="461">
        <f ca="1">(SUM(CAPEX!$T$103:Z103)-SUM(CAPEX!$AD$103:AJ103))/1000</f>
        <v>1016.00175</v>
      </c>
    </row>
    <row r="61" spans="1:8" ht="15" thickBot="1" x14ac:dyDescent="0.25"/>
    <row r="62" spans="1:8" s="121" customFormat="1" ht="20.100000000000001" customHeight="1" collapsed="1" thickBot="1" x14ac:dyDescent="0.25">
      <c r="A62" s="440" t="s">
        <v>475</v>
      </c>
      <c r="B62" s="441">
        <f ca="1">SUM(B63:B64)</f>
        <v>528.73052333333339</v>
      </c>
      <c r="C62" s="441">
        <f t="shared" ref="C62:G62" ca="1" si="18">SUM(C63:C64)</f>
        <v>520.05682832784873</v>
      </c>
      <c r="D62" s="441">
        <f t="shared" ca="1" si="18"/>
        <v>3827.5924080763998</v>
      </c>
      <c r="E62" s="441">
        <f t="shared" ca="1" si="18"/>
        <v>5639.5513304717915</v>
      </c>
      <c r="F62" s="441">
        <f t="shared" ca="1" si="18"/>
        <v>9364.0156246399256</v>
      </c>
      <c r="G62" s="441">
        <f t="shared" ca="1" si="18"/>
        <v>13266.708720112325</v>
      </c>
    </row>
    <row r="63" spans="1:8" s="416" customFormat="1" ht="20.100000000000001" customHeight="1" x14ac:dyDescent="0.2">
      <c r="A63" s="422" t="s">
        <v>480</v>
      </c>
      <c r="B63" s="423">
        <f>B45</f>
        <v>1500</v>
      </c>
      <c r="C63" s="423">
        <f>B63+C45</f>
        <v>1700</v>
      </c>
      <c r="D63" s="423">
        <f t="shared" ref="D63:G63" si="19">C63+D45</f>
        <v>1700</v>
      </c>
      <c r="E63" s="423">
        <f t="shared" si="19"/>
        <v>1700</v>
      </c>
      <c r="F63" s="423">
        <f t="shared" si="19"/>
        <v>1700</v>
      </c>
      <c r="G63" s="423">
        <f t="shared" si="19"/>
        <v>1700</v>
      </c>
    </row>
    <row r="64" spans="1:8" s="416" customFormat="1" ht="20.100000000000001" customHeight="1" x14ac:dyDescent="0.2">
      <c r="A64" s="422" t="s">
        <v>476</v>
      </c>
      <c r="B64" s="423">
        <f ca="1">B18+B46</f>
        <v>-971.26947666666661</v>
      </c>
      <c r="C64" s="423">
        <f ca="1">B64+SUM(C18,C46)</f>
        <v>-1179.9431716721513</v>
      </c>
      <c r="D64" s="423">
        <f ca="1">C64+SUM(D18,D46)</f>
        <v>2127.5924080763998</v>
      </c>
      <c r="E64" s="423">
        <f t="shared" ref="E64:G64" ca="1" si="20">D64+SUM(E18,E46)</f>
        <v>3939.551330471792</v>
      </c>
      <c r="F64" s="423">
        <f t="shared" ca="1" si="20"/>
        <v>7664.0156246399256</v>
      </c>
      <c r="G64" s="423">
        <f t="shared" ca="1" si="20"/>
        <v>11566.708720112325</v>
      </c>
    </row>
    <row r="65" spans="1:7" ht="15" thickBot="1" x14ac:dyDescent="0.25"/>
    <row r="66" spans="1:7" s="121" customFormat="1" ht="20.100000000000001" customHeight="1" collapsed="1" thickBot="1" x14ac:dyDescent="0.25">
      <c r="A66" s="440" t="s">
        <v>477</v>
      </c>
      <c r="B66" s="441">
        <f ca="1">SUM(B67:B68)</f>
        <v>4127.7612798160744</v>
      </c>
      <c r="C66" s="441">
        <f t="shared" ref="C66:G66" ca="1" si="21">SUM(C67:C68)</f>
        <v>5441.6419197241112</v>
      </c>
      <c r="D66" s="441">
        <f t="shared" ca="1" si="21"/>
        <v>2243.724015710317</v>
      </c>
      <c r="E66" s="441">
        <f t="shared" ca="1" si="21"/>
        <v>45.910216495832955</v>
      </c>
      <c r="F66" s="441">
        <f t="shared" ca="1" si="21"/>
        <v>48.20572732062459</v>
      </c>
      <c r="G66" s="441">
        <f t="shared" ca="1" si="21"/>
        <v>26.573407185494307</v>
      </c>
    </row>
    <row r="67" spans="1:7" s="416" customFormat="1" ht="20.100000000000001" customHeight="1" x14ac:dyDescent="0.2">
      <c r="A67" s="422" t="s">
        <v>463</v>
      </c>
      <c r="B67" s="423">
        <f>SUM(B47:B48)</f>
        <v>4100</v>
      </c>
      <c r="C67" s="423">
        <f>SUM($B47:C48)</f>
        <v>5400</v>
      </c>
      <c r="D67" s="423">
        <f>SUM($B47:D48)</f>
        <v>2200</v>
      </c>
      <c r="E67" s="423">
        <f>SUM($B47:E48)</f>
        <v>0</v>
      </c>
      <c r="F67" s="423">
        <f>SUM($B47:F48)</f>
        <v>0</v>
      </c>
      <c r="G67" s="423">
        <f>SUM($B47:G48)</f>
        <v>0</v>
      </c>
    </row>
    <row r="68" spans="1:7" s="416" customFormat="1" ht="20.100000000000001" customHeight="1" x14ac:dyDescent="0.2">
      <c r="A68" s="422" t="s">
        <v>478</v>
      </c>
      <c r="B68" s="423">
        <f ca="1">Calc2!B9</f>
        <v>27.761279816074342</v>
      </c>
      <c r="C68" s="423">
        <f ca="1">Calc2!C9</f>
        <v>41.641919724111517</v>
      </c>
      <c r="D68" s="423">
        <f ca="1">Calc2!D9</f>
        <v>43.72401571031709</v>
      </c>
      <c r="E68" s="423">
        <f ca="1">Calc2!E9</f>
        <v>45.910216495832955</v>
      </c>
      <c r="F68" s="423">
        <f ca="1">Calc2!F9</f>
        <v>48.20572732062459</v>
      </c>
      <c r="G68" s="423">
        <f ca="1">Calc2!G9</f>
        <v>26.573407185494307</v>
      </c>
    </row>
    <row r="72" spans="1:7" x14ac:dyDescent="0.2">
      <c r="A72" s="442" t="s">
        <v>479</v>
      </c>
      <c r="B72" s="443">
        <f ca="1">ROUND(B56-B62-B66,5)</f>
        <v>0</v>
      </c>
      <c r="C72" s="443">
        <f t="shared" ref="C72:G72" ca="1" si="22">ROUND(C56-C62-C66,5)</f>
        <v>0</v>
      </c>
      <c r="D72" s="443">
        <f t="shared" ca="1" si="22"/>
        <v>0</v>
      </c>
      <c r="E72" s="443">
        <f t="shared" ca="1" si="22"/>
        <v>0</v>
      </c>
      <c r="F72" s="443">
        <f t="shared" ca="1" si="22"/>
        <v>0</v>
      </c>
      <c r="G72" s="443">
        <f t="shared" ca="1" si="22"/>
        <v>0</v>
      </c>
    </row>
  </sheetData>
  <sortState xmlns:xlrd2="http://schemas.microsoft.com/office/spreadsheetml/2017/richdata2" ref="A34:I43">
    <sortCondition ref="H34:H43"/>
  </sortState>
  <conditionalFormatting sqref="B51:G51">
    <cfRule type="cellIs" dxfId="17" priority="18" operator="lessThan">
      <formula>0</formula>
    </cfRule>
  </conditionalFormatting>
  <conditionalFormatting sqref="B50:G50">
    <cfRule type="cellIs" dxfId="16" priority="17" operator="lessThan">
      <formula>0</formula>
    </cfRule>
  </conditionalFormatting>
  <conditionalFormatting sqref="B57:G60 H60">
    <cfRule type="cellIs" dxfId="15" priority="16" operator="lessThan">
      <formula>0</formula>
    </cfRule>
  </conditionalFormatting>
  <conditionalFormatting sqref="B63:G64">
    <cfRule type="cellIs" dxfId="14" priority="15" operator="lessThan">
      <formula>0</formula>
    </cfRule>
  </conditionalFormatting>
  <conditionalFormatting sqref="B67:G68">
    <cfRule type="cellIs" dxfId="13" priority="14" operator="lessThan">
      <formula>0</formula>
    </cfRule>
  </conditionalFormatting>
  <conditionalFormatting sqref="B72:G72">
    <cfRule type="cellIs" dxfId="12" priority="11" operator="greaterThan">
      <formula>0</formula>
    </cfRule>
    <cfRule type="cellIs" dxfId="11" priority="12" operator="lessThan">
      <formula>0</formula>
    </cfRule>
    <cfRule type="cellIs" dxfId="10" priority="13" operator="equal">
      <formula>0</formula>
    </cfRule>
  </conditionalFormatting>
  <conditionalFormatting sqref="B24:G24">
    <cfRule type="cellIs" dxfId="9" priority="10" operator="lessThan">
      <formula>0</formula>
    </cfRule>
  </conditionalFormatting>
  <conditionalFormatting sqref="B33:G33">
    <cfRule type="cellIs" dxfId="8" priority="9" operator="lessThan">
      <formula>0</formula>
    </cfRule>
  </conditionalFormatting>
  <conditionalFormatting sqref="B44:G44">
    <cfRule type="cellIs" dxfId="7" priority="8" operator="lessThan">
      <formula>0</formula>
    </cfRule>
  </conditionalFormatting>
  <conditionalFormatting sqref="B49:G49">
    <cfRule type="cellIs" dxfId="6" priority="7" operator="lessThan">
      <formula>0</formula>
    </cfRule>
  </conditionalFormatting>
  <conditionalFormatting sqref="B18:G18">
    <cfRule type="cellIs" dxfId="5" priority="6" operator="lessThan">
      <formula>0</formula>
    </cfRule>
  </conditionalFormatting>
  <conditionalFormatting sqref="B16:G16">
    <cfRule type="cellIs" dxfId="4" priority="5" operator="lessThan">
      <formula>0</formula>
    </cfRule>
  </conditionalFormatting>
  <conditionalFormatting sqref="B12:G12">
    <cfRule type="cellIs" dxfId="3" priority="4" operator="lessThan">
      <formula>0</formula>
    </cfRule>
  </conditionalFormatting>
  <conditionalFormatting sqref="I48">
    <cfRule type="cellIs" dxfId="2" priority="1" operator="greaterThan">
      <formula>0</formula>
    </cfRule>
    <cfRule type="cellIs" dxfId="1" priority="2" operator="lessThan">
      <formula>0</formula>
    </cfRule>
    <cfRule type="cellIs" dxfId="0" priority="3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 tint="-0.34998626667073579"/>
  </sheetPr>
  <dimension ref="A1:P86"/>
  <sheetViews>
    <sheetView showGridLines="0" workbookViewId="0">
      <selection activeCell="X40" sqref="X40"/>
    </sheetView>
  </sheetViews>
  <sheetFormatPr defaultRowHeight="14.25" x14ac:dyDescent="0.2"/>
  <cols>
    <col min="1" max="1" width="22.125" bestFit="1" customWidth="1"/>
    <col min="10" max="11" width="9" style="371"/>
    <col min="12" max="16" width="10.75" customWidth="1"/>
  </cols>
  <sheetData>
    <row r="1" spans="1:16" ht="18.75" thickBot="1" x14ac:dyDescent="0.3">
      <c r="A1" s="430" t="s">
        <v>463</v>
      </c>
      <c r="J1" s="97" t="s">
        <v>469</v>
      </c>
      <c r="K1" s="435">
        <f>Parameters!$B$4</f>
        <v>0.15</v>
      </c>
    </row>
    <row r="2" spans="1:16" s="70" customFormat="1" ht="26.25" thickBot="1" x14ac:dyDescent="0.25">
      <c r="A2" s="313" t="s">
        <v>445</v>
      </c>
      <c r="B2" s="130">
        <v>2019</v>
      </c>
      <c r="C2" s="131">
        <v>2020</v>
      </c>
      <c r="D2" s="131">
        <v>2021</v>
      </c>
      <c r="E2" s="131">
        <v>2022</v>
      </c>
      <c r="F2" s="131">
        <v>2023</v>
      </c>
      <c r="G2" s="131">
        <v>2024</v>
      </c>
      <c r="H2" s="131">
        <v>2025</v>
      </c>
      <c r="J2" s="432" t="s">
        <v>467</v>
      </c>
      <c r="K2" s="432" t="s">
        <v>468</v>
      </c>
      <c r="L2" s="432" t="s">
        <v>451</v>
      </c>
      <c r="M2" s="433" t="s">
        <v>464</v>
      </c>
      <c r="N2" s="434" t="s">
        <v>465</v>
      </c>
      <c r="O2" s="434" t="s">
        <v>466</v>
      </c>
      <c r="P2" s="432" t="s">
        <v>452</v>
      </c>
    </row>
    <row r="3" spans="1:16" s="416" customFormat="1" ht="14.25" customHeight="1" thickBot="1" x14ac:dyDescent="0.25">
      <c r="A3" s="414" t="s">
        <v>451</v>
      </c>
      <c r="B3" s="415"/>
      <c r="C3" s="415"/>
      <c r="D3" s="415"/>
      <c r="E3" s="415"/>
      <c r="F3" s="415"/>
      <c r="G3" s="415"/>
      <c r="H3" s="415"/>
      <c r="J3" s="436">
        <v>2019</v>
      </c>
      <c r="K3" s="436">
        <v>1</v>
      </c>
      <c r="L3" s="437"/>
      <c r="M3" s="437"/>
      <c r="N3" s="437"/>
      <c r="O3" s="437"/>
      <c r="P3" s="437"/>
    </row>
    <row r="4" spans="1:16" s="416" customFormat="1" ht="14.25" customHeight="1" x14ac:dyDescent="0.2">
      <c r="A4" s="422" t="s">
        <v>464</v>
      </c>
      <c r="B4" s="423"/>
      <c r="C4" s="423"/>
      <c r="D4" s="423"/>
      <c r="E4" s="423"/>
      <c r="F4" s="423"/>
      <c r="G4" s="423"/>
      <c r="H4" s="423"/>
      <c r="J4" s="438">
        <v>2019</v>
      </c>
      <c r="K4" s="438">
        <v>2</v>
      </c>
      <c r="L4" s="439"/>
      <c r="M4" s="439"/>
      <c r="N4" s="439"/>
      <c r="O4" s="439"/>
      <c r="P4" s="439"/>
    </row>
    <row r="5" spans="1:16" s="70" customFormat="1" ht="14.25" customHeight="1" x14ac:dyDescent="0.2">
      <c r="A5" s="426" t="s">
        <v>465</v>
      </c>
      <c r="B5" s="427"/>
      <c r="C5" s="427"/>
      <c r="D5" s="427"/>
      <c r="E5" s="427"/>
      <c r="F5" s="427"/>
      <c r="G5" s="427"/>
      <c r="H5" s="427"/>
      <c r="J5" s="438">
        <v>2019</v>
      </c>
      <c r="K5" s="438">
        <v>3</v>
      </c>
      <c r="L5" s="74"/>
      <c r="M5" s="74"/>
      <c r="N5" s="74"/>
      <c r="O5" s="74"/>
      <c r="P5" s="74"/>
    </row>
    <row r="6" spans="1:16" s="70" customFormat="1" ht="14.25" customHeight="1" thickBot="1" x14ac:dyDescent="0.25">
      <c r="A6" s="426" t="s">
        <v>466</v>
      </c>
      <c r="B6" s="427"/>
      <c r="C6" s="427"/>
      <c r="D6" s="427"/>
      <c r="E6" s="427"/>
      <c r="F6" s="427"/>
      <c r="G6" s="427"/>
      <c r="H6" s="427"/>
      <c r="J6" s="438">
        <v>2019</v>
      </c>
      <c r="K6" s="438">
        <v>4</v>
      </c>
      <c r="L6" s="74"/>
      <c r="M6" s="74"/>
      <c r="N6" s="74"/>
      <c r="O6" s="74"/>
      <c r="P6" s="74"/>
    </row>
    <row r="7" spans="1:16" s="416" customFormat="1" ht="14.25" customHeight="1" thickBot="1" x14ac:dyDescent="0.25">
      <c r="A7" s="414" t="s">
        <v>452</v>
      </c>
      <c r="B7" s="415"/>
      <c r="C7" s="415"/>
      <c r="D7" s="415"/>
      <c r="E7" s="415"/>
      <c r="F7" s="415"/>
      <c r="G7" s="415"/>
      <c r="H7" s="415"/>
      <c r="J7" s="438">
        <v>2019</v>
      </c>
      <c r="K7" s="438">
        <v>5</v>
      </c>
      <c r="L7" s="439"/>
      <c r="M7" s="439"/>
      <c r="N7" s="439"/>
      <c r="O7" s="439"/>
      <c r="P7" s="439"/>
    </row>
    <row r="8" spans="1:16" x14ac:dyDescent="0.2">
      <c r="J8" s="438">
        <v>2019</v>
      </c>
      <c r="K8" s="438">
        <v>6</v>
      </c>
      <c r="L8" s="5"/>
      <c r="M8" s="5"/>
      <c r="N8" s="5"/>
      <c r="O8" s="5"/>
      <c r="P8" s="5"/>
    </row>
    <row r="9" spans="1:16" x14ac:dyDescent="0.2">
      <c r="J9" s="438">
        <v>2019</v>
      </c>
      <c r="K9" s="438">
        <v>7</v>
      </c>
      <c r="L9" s="5"/>
      <c r="M9" s="5"/>
      <c r="N9" s="5"/>
      <c r="O9" s="5"/>
      <c r="P9" s="5"/>
    </row>
    <row r="10" spans="1:16" ht="15" thickBot="1" x14ac:dyDescent="0.25">
      <c r="A10" s="313" t="s">
        <v>445</v>
      </c>
      <c r="B10" s="130">
        <v>2019</v>
      </c>
      <c r="C10" s="131">
        <v>2020</v>
      </c>
      <c r="D10" s="131">
        <v>2021</v>
      </c>
      <c r="E10" s="131">
        <v>2022</v>
      </c>
      <c r="F10" s="131">
        <v>2023</v>
      </c>
      <c r="G10" s="131">
        <v>2024</v>
      </c>
      <c r="H10" s="131">
        <v>2025</v>
      </c>
      <c r="J10" s="438">
        <v>2019</v>
      </c>
      <c r="K10" s="438">
        <v>8</v>
      </c>
      <c r="L10" s="5"/>
      <c r="M10" s="5"/>
      <c r="N10" s="5"/>
      <c r="O10" s="5"/>
      <c r="P10" s="5"/>
    </row>
    <row r="11" spans="1:16" ht="14.25" customHeight="1" thickBot="1" x14ac:dyDescent="0.25">
      <c r="A11" s="414" t="s">
        <v>451</v>
      </c>
      <c r="B11" s="415"/>
      <c r="C11" s="415"/>
      <c r="D11" s="415"/>
      <c r="E11" s="415"/>
      <c r="F11" s="415"/>
      <c r="G11" s="415"/>
      <c r="H11" s="415"/>
      <c r="J11" s="438">
        <v>2019</v>
      </c>
      <c r="K11" s="438">
        <v>9</v>
      </c>
      <c r="L11" s="5"/>
      <c r="M11" s="5"/>
      <c r="N11" s="5"/>
      <c r="O11" s="5"/>
      <c r="P11" s="5"/>
    </row>
    <row r="12" spans="1:16" x14ac:dyDescent="0.2">
      <c r="A12" s="422" t="s">
        <v>464</v>
      </c>
      <c r="B12" s="423"/>
      <c r="C12" s="423"/>
      <c r="D12" s="423"/>
      <c r="E12" s="423"/>
      <c r="F12" s="423"/>
      <c r="G12" s="423"/>
      <c r="H12" s="423"/>
      <c r="J12" s="438">
        <v>2019</v>
      </c>
      <c r="K12" s="438">
        <v>10</v>
      </c>
      <c r="L12" s="5"/>
      <c r="M12" s="5"/>
      <c r="N12" s="5"/>
      <c r="O12" s="5"/>
      <c r="P12" s="5"/>
    </row>
    <row r="13" spans="1:16" x14ac:dyDescent="0.2">
      <c r="A13" s="426" t="s">
        <v>465</v>
      </c>
      <c r="B13" s="427"/>
      <c r="C13" s="427"/>
      <c r="D13" s="427"/>
      <c r="E13" s="427"/>
      <c r="F13" s="427"/>
      <c r="G13" s="427"/>
      <c r="H13" s="427"/>
      <c r="J13" s="438">
        <v>2019</v>
      </c>
      <c r="K13" s="438">
        <v>11</v>
      </c>
      <c r="L13" s="5"/>
      <c r="M13" s="5"/>
      <c r="N13" s="5"/>
      <c r="O13" s="5"/>
      <c r="P13" s="5"/>
    </row>
    <row r="14" spans="1:16" ht="15" thickBot="1" x14ac:dyDescent="0.25">
      <c r="A14" s="426" t="s">
        <v>466</v>
      </c>
      <c r="B14" s="427"/>
      <c r="C14" s="427"/>
      <c r="D14" s="427"/>
      <c r="E14" s="427"/>
      <c r="F14" s="427"/>
      <c r="G14" s="427"/>
      <c r="H14" s="427"/>
      <c r="J14" s="438">
        <v>2019</v>
      </c>
      <c r="K14" s="438">
        <v>12</v>
      </c>
      <c r="L14" s="5"/>
      <c r="M14" s="5"/>
      <c r="N14" s="5"/>
      <c r="O14" s="5"/>
      <c r="P14" s="5"/>
    </row>
    <row r="15" spans="1:16" ht="15" thickBot="1" x14ac:dyDescent="0.25">
      <c r="A15" s="414" t="s">
        <v>452</v>
      </c>
      <c r="B15" s="415"/>
      <c r="C15" s="415"/>
      <c r="D15" s="415"/>
      <c r="E15" s="415"/>
      <c r="F15" s="415"/>
      <c r="G15" s="415"/>
      <c r="H15" s="415"/>
      <c r="J15" s="438">
        <v>2020</v>
      </c>
      <c r="K15" s="438">
        <v>1</v>
      </c>
      <c r="L15" s="5"/>
      <c r="M15" s="5"/>
      <c r="N15" s="5"/>
      <c r="O15" s="5"/>
      <c r="P15" s="5"/>
    </row>
    <row r="16" spans="1:16" x14ac:dyDescent="0.2">
      <c r="J16" s="438">
        <v>2020</v>
      </c>
      <c r="K16" s="438">
        <v>2</v>
      </c>
      <c r="L16" s="5"/>
      <c r="M16" s="5"/>
      <c r="N16" s="5"/>
      <c r="O16" s="5"/>
      <c r="P16" s="5"/>
    </row>
    <row r="17" spans="10:16" x14ac:dyDescent="0.2">
      <c r="J17" s="438">
        <v>2020</v>
      </c>
      <c r="K17" s="438">
        <v>3</v>
      </c>
      <c r="L17" s="5"/>
      <c r="M17" s="5"/>
      <c r="N17" s="5"/>
      <c r="O17" s="5"/>
      <c r="P17" s="5"/>
    </row>
    <row r="18" spans="10:16" x14ac:dyDescent="0.2">
      <c r="J18" s="438">
        <v>2020</v>
      </c>
      <c r="K18" s="438">
        <v>4</v>
      </c>
      <c r="L18" s="5"/>
      <c r="M18" s="5"/>
      <c r="N18" s="5"/>
      <c r="O18" s="5"/>
      <c r="P18" s="5"/>
    </row>
    <row r="19" spans="10:16" x14ac:dyDescent="0.2">
      <c r="J19" s="438">
        <v>2020</v>
      </c>
      <c r="K19" s="438">
        <v>5</v>
      </c>
      <c r="L19" s="5"/>
      <c r="M19" s="5"/>
      <c r="N19" s="5"/>
      <c r="O19" s="5"/>
      <c r="P19" s="5"/>
    </row>
    <row r="20" spans="10:16" x14ac:dyDescent="0.2">
      <c r="J20" s="438">
        <v>2020</v>
      </c>
      <c r="K20" s="438">
        <v>6</v>
      </c>
      <c r="L20" s="5"/>
      <c r="M20" s="5"/>
      <c r="N20" s="5"/>
      <c r="O20" s="5"/>
      <c r="P20" s="5"/>
    </row>
    <row r="21" spans="10:16" x14ac:dyDescent="0.2">
      <c r="J21" s="438">
        <v>2020</v>
      </c>
      <c r="K21" s="438">
        <v>7</v>
      </c>
      <c r="L21" s="5"/>
      <c r="M21" s="5"/>
      <c r="N21" s="5"/>
      <c r="O21" s="5"/>
      <c r="P21" s="5"/>
    </row>
    <row r="22" spans="10:16" x14ac:dyDescent="0.2">
      <c r="J22" s="438">
        <v>2020</v>
      </c>
      <c r="K22" s="438">
        <v>8</v>
      </c>
      <c r="L22" s="5"/>
      <c r="M22" s="5"/>
      <c r="N22" s="5"/>
      <c r="O22" s="5"/>
      <c r="P22" s="5"/>
    </row>
    <row r="23" spans="10:16" x14ac:dyDescent="0.2">
      <c r="J23" s="438">
        <v>2020</v>
      </c>
      <c r="K23" s="438">
        <v>9</v>
      </c>
      <c r="L23" s="5"/>
      <c r="M23" s="5"/>
      <c r="N23" s="5"/>
      <c r="O23" s="5"/>
      <c r="P23" s="5"/>
    </row>
    <row r="24" spans="10:16" x14ac:dyDescent="0.2">
      <c r="J24" s="438">
        <v>2020</v>
      </c>
      <c r="K24" s="438">
        <v>10</v>
      </c>
      <c r="L24" s="5"/>
      <c r="M24" s="5"/>
      <c r="N24" s="5"/>
      <c r="O24" s="5"/>
      <c r="P24" s="5"/>
    </row>
    <row r="25" spans="10:16" x14ac:dyDescent="0.2">
      <c r="J25" s="438">
        <v>2020</v>
      </c>
      <c r="K25" s="438">
        <v>11</v>
      </c>
      <c r="L25" s="5"/>
      <c r="M25" s="5"/>
      <c r="N25" s="5"/>
      <c r="O25" s="5"/>
      <c r="P25" s="5"/>
    </row>
    <row r="26" spans="10:16" x14ac:dyDescent="0.2">
      <c r="J26" s="438">
        <v>2020</v>
      </c>
      <c r="K26" s="438">
        <v>12</v>
      </c>
      <c r="L26" s="5"/>
      <c r="M26" s="5"/>
      <c r="N26" s="5"/>
      <c r="O26" s="5"/>
      <c r="P26" s="5"/>
    </row>
    <row r="27" spans="10:16" x14ac:dyDescent="0.2">
      <c r="J27" s="438">
        <v>2021</v>
      </c>
      <c r="K27" s="438">
        <v>1</v>
      </c>
      <c r="L27" s="5"/>
      <c r="M27" s="5"/>
      <c r="N27" s="5"/>
      <c r="O27" s="5"/>
      <c r="P27" s="5"/>
    </row>
    <row r="28" spans="10:16" x14ac:dyDescent="0.2">
      <c r="J28" s="438">
        <v>2021</v>
      </c>
      <c r="K28" s="438">
        <v>2</v>
      </c>
      <c r="L28" s="5"/>
      <c r="M28" s="5"/>
      <c r="N28" s="5"/>
      <c r="O28" s="5"/>
      <c r="P28" s="5"/>
    </row>
    <row r="29" spans="10:16" x14ac:dyDescent="0.2">
      <c r="J29" s="438">
        <v>2021</v>
      </c>
      <c r="K29" s="438">
        <v>3</v>
      </c>
      <c r="L29" s="5"/>
      <c r="M29" s="5"/>
      <c r="N29" s="5"/>
      <c r="O29" s="5"/>
      <c r="P29" s="5"/>
    </row>
    <row r="30" spans="10:16" x14ac:dyDescent="0.2">
      <c r="J30" s="438">
        <v>2021</v>
      </c>
      <c r="K30" s="438">
        <v>4</v>
      </c>
      <c r="L30" s="5"/>
      <c r="M30" s="5"/>
      <c r="N30" s="5"/>
      <c r="O30" s="5"/>
      <c r="P30" s="5"/>
    </row>
    <row r="31" spans="10:16" x14ac:dyDescent="0.2">
      <c r="J31" s="438">
        <v>2021</v>
      </c>
      <c r="K31" s="438">
        <v>5</v>
      </c>
      <c r="L31" s="5"/>
      <c r="M31" s="5"/>
      <c r="N31" s="5"/>
      <c r="O31" s="5"/>
      <c r="P31" s="5"/>
    </row>
    <row r="32" spans="10:16" x14ac:dyDescent="0.2">
      <c r="J32" s="438">
        <v>2021</v>
      </c>
      <c r="K32" s="438">
        <v>6</v>
      </c>
      <c r="L32" s="5"/>
      <c r="M32" s="5"/>
      <c r="N32" s="5"/>
      <c r="O32" s="5"/>
      <c r="P32" s="5"/>
    </row>
    <row r="33" spans="10:16" x14ac:dyDescent="0.2">
      <c r="J33" s="438">
        <v>2021</v>
      </c>
      <c r="K33" s="438">
        <v>7</v>
      </c>
      <c r="L33" s="5"/>
      <c r="M33" s="5"/>
      <c r="N33" s="5"/>
      <c r="O33" s="5"/>
      <c r="P33" s="5"/>
    </row>
    <row r="34" spans="10:16" x14ac:dyDescent="0.2">
      <c r="J34" s="438">
        <v>2021</v>
      </c>
      <c r="K34" s="438">
        <v>8</v>
      </c>
      <c r="L34" s="5"/>
      <c r="M34" s="5"/>
      <c r="N34" s="5"/>
      <c r="O34" s="5"/>
      <c r="P34" s="5"/>
    </row>
    <row r="35" spans="10:16" x14ac:dyDescent="0.2">
      <c r="J35" s="438">
        <v>2021</v>
      </c>
      <c r="K35" s="438">
        <v>9</v>
      </c>
      <c r="L35" s="5"/>
      <c r="M35" s="5"/>
      <c r="N35" s="5"/>
      <c r="O35" s="5"/>
      <c r="P35" s="5"/>
    </row>
    <row r="36" spans="10:16" x14ac:dyDescent="0.2">
      <c r="J36" s="438">
        <v>2021</v>
      </c>
      <c r="K36" s="438">
        <v>10</v>
      </c>
      <c r="L36" s="5"/>
      <c r="M36" s="5"/>
      <c r="N36" s="5"/>
      <c r="O36" s="5"/>
      <c r="P36" s="5"/>
    </row>
    <row r="37" spans="10:16" x14ac:dyDescent="0.2">
      <c r="J37" s="438">
        <v>2021</v>
      </c>
      <c r="K37" s="438">
        <v>11</v>
      </c>
      <c r="L37" s="5"/>
      <c r="M37" s="5"/>
      <c r="N37" s="5"/>
      <c r="O37" s="5"/>
      <c r="P37" s="5"/>
    </row>
    <row r="38" spans="10:16" x14ac:dyDescent="0.2">
      <c r="J38" s="438">
        <v>2021</v>
      </c>
      <c r="K38" s="438">
        <v>12</v>
      </c>
      <c r="L38" s="5"/>
      <c r="M38" s="5"/>
      <c r="N38" s="5"/>
      <c r="O38" s="5"/>
      <c r="P38" s="5"/>
    </row>
    <row r="39" spans="10:16" x14ac:dyDescent="0.2">
      <c r="J39" s="438">
        <v>2022</v>
      </c>
      <c r="K39" s="438">
        <v>1</v>
      </c>
      <c r="L39" s="5"/>
      <c r="M39" s="5"/>
      <c r="N39" s="5"/>
      <c r="O39" s="5"/>
      <c r="P39" s="5"/>
    </row>
    <row r="40" spans="10:16" x14ac:dyDescent="0.2">
      <c r="J40" s="438">
        <v>2022</v>
      </c>
      <c r="K40" s="438">
        <v>2</v>
      </c>
      <c r="L40" s="5"/>
      <c r="M40" s="5"/>
      <c r="N40" s="5"/>
      <c r="O40" s="5"/>
      <c r="P40" s="5"/>
    </row>
    <row r="41" spans="10:16" x14ac:dyDescent="0.2">
      <c r="J41" s="438">
        <v>2022</v>
      </c>
      <c r="K41" s="438">
        <v>3</v>
      </c>
      <c r="L41" s="5"/>
      <c r="M41" s="5"/>
      <c r="N41" s="5"/>
      <c r="O41" s="5"/>
      <c r="P41" s="5"/>
    </row>
    <row r="42" spans="10:16" x14ac:dyDescent="0.2">
      <c r="J42" s="438">
        <v>2022</v>
      </c>
      <c r="K42" s="438">
        <v>4</v>
      </c>
      <c r="L42" s="5"/>
      <c r="M42" s="5"/>
      <c r="N42" s="5"/>
      <c r="O42" s="5"/>
      <c r="P42" s="5"/>
    </row>
    <row r="43" spans="10:16" x14ac:dyDescent="0.2">
      <c r="J43" s="438">
        <v>2022</v>
      </c>
      <c r="K43" s="438">
        <v>5</v>
      </c>
      <c r="L43" s="5"/>
      <c r="M43" s="5"/>
      <c r="N43" s="5"/>
      <c r="O43" s="5"/>
      <c r="P43" s="5"/>
    </row>
    <row r="44" spans="10:16" x14ac:dyDescent="0.2">
      <c r="J44" s="438">
        <v>2022</v>
      </c>
      <c r="K44" s="438">
        <v>6</v>
      </c>
      <c r="L44" s="5"/>
      <c r="M44" s="5"/>
      <c r="N44" s="5"/>
      <c r="O44" s="5"/>
      <c r="P44" s="5"/>
    </row>
    <row r="45" spans="10:16" x14ac:dyDescent="0.2">
      <c r="J45" s="438">
        <v>2022</v>
      </c>
      <c r="K45" s="438">
        <v>7</v>
      </c>
      <c r="L45" s="5"/>
      <c r="M45" s="5"/>
      <c r="N45" s="5"/>
      <c r="O45" s="5"/>
      <c r="P45" s="5"/>
    </row>
    <row r="46" spans="10:16" x14ac:dyDescent="0.2">
      <c r="J46" s="438">
        <v>2022</v>
      </c>
      <c r="K46" s="438">
        <v>8</v>
      </c>
      <c r="L46" s="5"/>
      <c r="M46" s="5"/>
      <c r="N46" s="5"/>
      <c r="O46" s="5"/>
      <c r="P46" s="5"/>
    </row>
    <row r="47" spans="10:16" x14ac:dyDescent="0.2">
      <c r="J47" s="438">
        <v>2022</v>
      </c>
      <c r="K47" s="438">
        <v>9</v>
      </c>
      <c r="L47" s="5"/>
      <c r="M47" s="5"/>
      <c r="N47" s="5"/>
      <c r="O47" s="5"/>
      <c r="P47" s="5"/>
    </row>
    <row r="48" spans="10:16" x14ac:dyDescent="0.2">
      <c r="J48" s="438">
        <v>2022</v>
      </c>
      <c r="K48" s="438">
        <v>10</v>
      </c>
      <c r="L48" s="5"/>
      <c r="M48" s="5"/>
      <c r="N48" s="5"/>
      <c r="O48" s="5"/>
      <c r="P48" s="5"/>
    </row>
    <row r="49" spans="10:16" x14ac:dyDescent="0.2">
      <c r="J49" s="438">
        <v>2022</v>
      </c>
      <c r="K49" s="438">
        <v>11</v>
      </c>
      <c r="L49" s="5"/>
      <c r="M49" s="5"/>
      <c r="N49" s="5"/>
      <c r="O49" s="5"/>
      <c r="P49" s="5"/>
    </row>
    <row r="50" spans="10:16" x14ac:dyDescent="0.2">
      <c r="J50" s="438">
        <v>2022</v>
      </c>
      <c r="K50" s="438">
        <v>12</v>
      </c>
      <c r="L50" s="5"/>
      <c r="M50" s="5"/>
      <c r="N50" s="5"/>
      <c r="O50" s="5"/>
      <c r="P50" s="5"/>
    </row>
    <row r="51" spans="10:16" x14ac:dyDescent="0.2">
      <c r="J51" s="438">
        <v>2023</v>
      </c>
      <c r="K51" s="438">
        <v>1</v>
      </c>
      <c r="L51" s="5"/>
      <c r="M51" s="5"/>
      <c r="N51" s="5"/>
      <c r="O51" s="5"/>
      <c r="P51" s="5"/>
    </row>
    <row r="52" spans="10:16" x14ac:dyDescent="0.2">
      <c r="J52" s="438">
        <v>2023</v>
      </c>
      <c r="K52" s="438">
        <v>2</v>
      </c>
      <c r="L52" s="5"/>
      <c r="M52" s="5"/>
      <c r="N52" s="5"/>
      <c r="O52" s="5"/>
      <c r="P52" s="5"/>
    </row>
    <row r="53" spans="10:16" x14ac:dyDescent="0.2">
      <c r="J53" s="438">
        <v>2023</v>
      </c>
      <c r="K53" s="438">
        <v>3</v>
      </c>
      <c r="L53" s="5"/>
      <c r="M53" s="5"/>
      <c r="N53" s="5"/>
      <c r="O53" s="5"/>
      <c r="P53" s="5"/>
    </row>
    <row r="54" spans="10:16" x14ac:dyDescent="0.2">
      <c r="J54" s="438">
        <v>2023</v>
      </c>
      <c r="K54" s="438">
        <v>4</v>
      </c>
      <c r="L54" s="5"/>
      <c r="M54" s="5"/>
      <c r="N54" s="5"/>
      <c r="O54" s="5"/>
      <c r="P54" s="5"/>
    </row>
    <row r="55" spans="10:16" x14ac:dyDescent="0.2">
      <c r="J55" s="438">
        <v>2023</v>
      </c>
      <c r="K55" s="438">
        <v>5</v>
      </c>
      <c r="L55" s="5"/>
      <c r="M55" s="5"/>
      <c r="N55" s="5"/>
      <c r="O55" s="5"/>
      <c r="P55" s="5"/>
    </row>
    <row r="56" spans="10:16" x14ac:dyDescent="0.2">
      <c r="J56" s="438">
        <v>2023</v>
      </c>
      <c r="K56" s="438">
        <v>6</v>
      </c>
      <c r="L56" s="5"/>
      <c r="M56" s="5"/>
      <c r="N56" s="5"/>
      <c r="O56" s="5"/>
      <c r="P56" s="5"/>
    </row>
    <row r="57" spans="10:16" x14ac:dyDescent="0.2">
      <c r="J57" s="438">
        <v>2023</v>
      </c>
      <c r="K57" s="438">
        <v>7</v>
      </c>
      <c r="L57" s="5"/>
      <c r="M57" s="5"/>
      <c r="N57" s="5"/>
      <c r="O57" s="5"/>
      <c r="P57" s="5"/>
    </row>
    <row r="58" spans="10:16" x14ac:dyDescent="0.2">
      <c r="J58" s="438">
        <v>2023</v>
      </c>
      <c r="K58" s="438">
        <v>8</v>
      </c>
      <c r="L58" s="5"/>
      <c r="M58" s="5"/>
      <c r="N58" s="5"/>
      <c r="O58" s="5"/>
      <c r="P58" s="5"/>
    </row>
    <row r="59" spans="10:16" x14ac:dyDescent="0.2">
      <c r="J59" s="438">
        <v>2023</v>
      </c>
      <c r="K59" s="438">
        <v>9</v>
      </c>
      <c r="L59" s="5"/>
      <c r="M59" s="5"/>
      <c r="N59" s="5"/>
      <c r="O59" s="5"/>
      <c r="P59" s="5"/>
    </row>
    <row r="60" spans="10:16" x14ac:dyDescent="0.2">
      <c r="J60" s="438">
        <v>2023</v>
      </c>
      <c r="K60" s="438">
        <v>10</v>
      </c>
      <c r="L60" s="5"/>
      <c r="M60" s="5"/>
      <c r="N60" s="5"/>
      <c r="O60" s="5"/>
      <c r="P60" s="5"/>
    </row>
    <row r="61" spans="10:16" x14ac:dyDescent="0.2">
      <c r="J61" s="438">
        <v>2023</v>
      </c>
      <c r="K61" s="438">
        <v>11</v>
      </c>
      <c r="L61" s="5"/>
      <c r="M61" s="5"/>
      <c r="N61" s="5"/>
      <c r="O61" s="5"/>
      <c r="P61" s="5"/>
    </row>
    <row r="62" spans="10:16" x14ac:dyDescent="0.2">
      <c r="J62" s="438">
        <v>2023</v>
      </c>
      <c r="K62" s="438">
        <v>12</v>
      </c>
      <c r="L62" s="5"/>
      <c r="M62" s="5"/>
      <c r="N62" s="5"/>
      <c r="O62" s="5"/>
      <c r="P62" s="5"/>
    </row>
    <row r="63" spans="10:16" x14ac:dyDescent="0.2">
      <c r="J63" s="438">
        <v>2024</v>
      </c>
      <c r="K63" s="438">
        <v>1</v>
      </c>
      <c r="L63" s="5"/>
      <c r="M63" s="5"/>
      <c r="N63" s="5"/>
      <c r="O63" s="5"/>
      <c r="P63" s="5"/>
    </row>
    <row r="64" spans="10:16" x14ac:dyDescent="0.2">
      <c r="J64" s="438">
        <v>2024</v>
      </c>
      <c r="K64" s="438">
        <v>2</v>
      </c>
      <c r="L64" s="5"/>
      <c r="M64" s="5"/>
      <c r="N64" s="5"/>
      <c r="O64" s="5"/>
      <c r="P64" s="5"/>
    </row>
    <row r="65" spans="10:16" x14ac:dyDescent="0.2">
      <c r="J65" s="438">
        <v>2024</v>
      </c>
      <c r="K65" s="438">
        <v>3</v>
      </c>
      <c r="L65" s="5"/>
      <c r="M65" s="5"/>
      <c r="N65" s="5"/>
      <c r="O65" s="5"/>
      <c r="P65" s="5"/>
    </row>
    <row r="66" spans="10:16" x14ac:dyDescent="0.2">
      <c r="J66" s="438">
        <v>2024</v>
      </c>
      <c r="K66" s="438">
        <v>4</v>
      </c>
      <c r="L66" s="5"/>
      <c r="M66" s="5"/>
      <c r="N66" s="5"/>
      <c r="O66" s="5"/>
      <c r="P66" s="5"/>
    </row>
    <row r="67" spans="10:16" x14ac:dyDescent="0.2">
      <c r="J67" s="438">
        <v>2024</v>
      </c>
      <c r="K67" s="438">
        <v>5</v>
      </c>
      <c r="L67" s="5"/>
      <c r="M67" s="5"/>
      <c r="N67" s="5"/>
      <c r="O67" s="5"/>
      <c r="P67" s="5"/>
    </row>
    <row r="68" spans="10:16" x14ac:dyDescent="0.2">
      <c r="J68" s="438">
        <v>2024</v>
      </c>
      <c r="K68" s="438">
        <v>6</v>
      </c>
      <c r="L68" s="5"/>
      <c r="M68" s="5"/>
      <c r="N68" s="5"/>
      <c r="O68" s="5"/>
      <c r="P68" s="5"/>
    </row>
    <row r="69" spans="10:16" x14ac:dyDescent="0.2">
      <c r="J69" s="438">
        <v>2024</v>
      </c>
      <c r="K69" s="438">
        <v>7</v>
      </c>
      <c r="L69" s="5"/>
      <c r="M69" s="5"/>
      <c r="N69" s="5"/>
      <c r="O69" s="5"/>
      <c r="P69" s="5"/>
    </row>
    <row r="70" spans="10:16" x14ac:dyDescent="0.2">
      <c r="J70" s="438">
        <v>2024</v>
      </c>
      <c r="K70" s="438">
        <v>8</v>
      </c>
      <c r="L70" s="5"/>
      <c r="M70" s="5"/>
      <c r="N70" s="5"/>
      <c r="O70" s="5"/>
      <c r="P70" s="5"/>
    </row>
    <row r="71" spans="10:16" x14ac:dyDescent="0.2">
      <c r="J71" s="438">
        <v>2024</v>
      </c>
      <c r="K71" s="438">
        <v>9</v>
      </c>
      <c r="L71" s="5"/>
      <c r="M71" s="5"/>
      <c r="N71" s="5"/>
      <c r="O71" s="5"/>
      <c r="P71" s="5"/>
    </row>
    <row r="72" spans="10:16" x14ac:dyDescent="0.2">
      <c r="J72" s="438">
        <v>2024</v>
      </c>
      <c r="K72" s="438">
        <v>10</v>
      </c>
      <c r="L72" s="5"/>
      <c r="M72" s="5"/>
      <c r="N72" s="5"/>
      <c r="O72" s="5"/>
      <c r="P72" s="5"/>
    </row>
    <row r="73" spans="10:16" x14ac:dyDescent="0.2">
      <c r="J73" s="438">
        <v>2024</v>
      </c>
      <c r="K73" s="438">
        <v>11</v>
      </c>
      <c r="L73" s="5"/>
      <c r="M73" s="5"/>
      <c r="N73" s="5"/>
      <c r="O73" s="5"/>
      <c r="P73" s="5"/>
    </row>
    <row r="74" spans="10:16" x14ac:dyDescent="0.2">
      <c r="J74" s="438">
        <v>2024</v>
      </c>
      <c r="K74" s="438">
        <v>12</v>
      </c>
      <c r="L74" s="5"/>
      <c r="M74" s="5"/>
      <c r="N74" s="5"/>
      <c r="O74" s="5"/>
      <c r="P74" s="5"/>
    </row>
    <row r="75" spans="10:16" x14ac:dyDescent="0.2">
      <c r="J75" s="438">
        <v>2025</v>
      </c>
      <c r="K75" s="438">
        <v>1</v>
      </c>
      <c r="L75" s="5"/>
      <c r="M75" s="5"/>
      <c r="N75" s="5"/>
      <c r="O75" s="5"/>
      <c r="P75" s="5"/>
    </row>
    <row r="76" spans="10:16" x14ac:dyDescent="0.2">
      <c r="J76" s="438">
        <v>2025</v>
      </c>
      <c r="K76" s="438">
        <v>2</v>
      </c>
      <c r="L76" s="5"/>
      <c r="M76" s="5"/>
      <c r="N76" s="5"/>
      <c r="O76" s="5"/>
      <c r="P76" s="5"/>
    </row>
    <row r="77" spans="10:16" x14ac:dyDescent="0.2">
      <c r="J77" s="438">
        <v>2025</v>
      </c>
      <c r="K77" s="438">
        <v>3</v>
      </c>
      <c r="L77" s="5"/>
      <c r="M77" s="5"/>
      <c r="N77" s="5"/>
      <c r="O77" s="5"/>
      <c r="P77" s="5"/>
    </row>
    <row r="78" spans="10:16" x14ac:dyDescent="0.2">
      <c r="J78" s="438">
        <v>2025</v>
      </c>
      <c r="K78" s="438">
        <v>4</v>
      </c>
      <c r="L78" s="5"/>
      <c r="M78" s="5"/>
      <c r="N78" s="5"/>
      <c r="O78" s="5"/>
      <c r="P78" s="5"/>
    </row>
    <row r="79" spans="10:16" x14ac:dyDescent="0.2">
      <c r="J79" s="438">
        <v>2025</v>
      </c>
      <c r="K79" s="438">
        <v>5</v>
      </c>
      <c r="L79" s="5"/>
      <c r="M79" s="5"/>
      <c r="N79" s="5"/>
      <c r="O79" s="5"/>
      <c r="P79" s="5"/>
    </row>
    <row r="80" spans="10:16" x14ac:dyDescent="0.2">
      <c r="J80" s="438">
        <v>2025</v>
      </c>
      <c r="K80" s="438">
        <v>6</v>
      </c>
      <c r="L80" s="5"/>
      <c r="M80" s="5"/>
      <c r="N80" s="5"/>
      <c r="O80" s="5"/>
      <c r="P80" s="5"/>
    </row>
    <row r="81" spans="10:16" x14ac:dyDescent="0.2">
      <c r="J81" s="438">
        <v>2025</v>
      </c>
      <c r="K81" s="438">
        <v>7</v>
      </c>
      <c r="L81" s="5"/>
      <c r="M81" s="5"/>
      <c r="N81" s="5"/>
      <c r="O81" s="5"/>
      <c r="P81" s="5"/>
    </row>
    <row r="82" spans="10:16" x14ac:dyDescent="0.2">
      <c r="J82" s="438">
        <v>2025</v>
      </c>
      <c r="K82" s="438">
        <v>8</v>
      </c>
      <c r="L82" s="5"/>
      <c r="M82" s="5"/>
      <c r="N82" s="5"/>
      <c r="O82" s="5"/>
      <c r="P82" s="5"/>
    </row>
    <row r="83" spans="10:16" x14ac:dyDescent="0.2">
      <c r="J83" s="438">
        <v>2025</v>
      </c>
      <c r="K83" s="438">
        <v>9</v>
      </c>
      <c r="L83" s="5"/>
      <c r="M83" s="5"/>
      <c r="N83" s="5"/>
      <c r="O83" s="5"/>
      <c r="P83" s="5"/>
    </row>
    <row r="84" spans="10:16" x14ac:dyDescent="0.2">
      <c r="J84" s="438">
        <v>2025</v>
      </c>
      <c r="K84" s="438">
        <v>10</v>
      </c>
      <c r="L84" s="5"/>
      <c r="M84" s="5"/>
      <c r="N84" s="5"/>
      <c r="O84" s="5"/>
      <c r="P84" s="5"/>
    </row>
    <row r="85" spans="10:16" x14ac:dyDescent="0.2">
      <c r="J85" s="438">
        <v>2025</v>
      </c>
      <c r="K85" s="438">
        <v>11</v>
      </c>
      <c r="L85" s="5"/>
      <c r="M85" s="5"/>
      <c r="N85" s="5"/>
      <c r="O85" s="5"/>
      <c r="P85" s="5"/>
    </row>
    <row r="86" spans="10:16" x14ac:dyDescent="0.2">
      <c r="J86" s="438">
        <v>2025</v>
      </c>
      <c r="K86" s="438">
        <v>12</v>
      </c>
      <c r="L86" s="5"/>
      <c r="M86" s="5"/>
      <c r="N86" s="5"/>
      <c r="O86" s="5"/>
      <c r="P86" s="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 tint="-0.34998626667073579"/>
  </sheetPr>
  <dimension ref="A1:T100"/>
  <sheetViews>
    <sheetView workbookViewId="0">
      <selection activeCell="X40" sqref="X40"/>
    </sheetView>
  </sheetViews>
  <sheetFormatPr defaultRowHeight="14.25" x14ac:dyDescent="0.2"/>
  <cols>
    <col min="1" max="1" width="3.25" style="66" customWidth="1"/>
    <col min="2" max="2" width="20.375" style="66" bestFit="1" customWidth="1"/>
    <col min="3" max="3" width="6.75" style="66" bestFit="1" customWidth="1"/>
    <col min="4" max="4" width="8.875" style="66" customWidth="1"/>
    <col min="5" max="5" width="9" style="66"/>
    <col min="6" max="6" width="3.25" customWidth="1"/>
    <col min="7" max="7" width="5.375" style="194" bestFit="1" customWidth="1"/>
    <col min="8" max="8" width="9.75" style="66" bestFit="1" customWidth="1"/>
    <col min="9" max="9" width="11.375" style="66" bestFit="1" customWidth="1"/>
    <col min="10" max="10" width="11" style="66" bestFit="1" customWidth="1"/>
    <col min="11" max="11" width="5.875" style="66" bestFit="1" customWidth="1"/>
    <col min="12" max="12" width="3.25" customWidth="1"/>
    <col min="13" max="13" width="5.875" style="66" bestFit="1" customWidth="1"/>
    <col min="14" max="14" width="11" style="66" bestFit="1" customWidth="1"/>
    <col min="15" max="15" width="10.875" style="66" bestFit="1" customWidth="1"/>
    <col min="16" max="16" width="4.375" style="66" customWidth="1"/>
    <col min="17" max="17" width="9.75" style="66" bestFit="1" customWidth="1"/>
    <col min="18" max="18" width="11.125" style="66" customWidth="1"/>
    <col min="20" max="20" width="3.375" customWidth="1"/>
  </cols>
  <sheetData>
    <row r="1" spans="1:20" x14ac:dyDescent="0.2">
      <c r="F1" s="66"/>
      <c r="G1" s="66"/>
      <c r="L1" s="66"/>
      <c r="S1" s="66"/>
      <c r="T1" s="66"/>
    </row>
    <row r="2" spans="1:20" x14ac:dyDescent="0.2">
      <c r="A2" s="247"/>
      <c r="B2" s="261" t="s">
        <v>249</v>
      </c>
      <c r="C2" s="248"/>
      <c r="D2" s="248"/>
      <c r="E2" s="248"/>
      <c r="F2" s="34"/>
      <c r="G2" s="263" t="s">
        <v>248</v>
      </c>
      <c r="H2" s="248"/>
      <c r="I2" s="248"/>
      <c r="J2" s="248"/>
      <c r="K2" s="248"/>
      <c r="L2" s="34"/>
      <c r="M2" s="263" t="s">
        <v>273</v>
      </c>
      <c r="N2" s="248"/>
      <c r="O2" s="248"/>
      <c r="P2" s="248"/>
      <c r="Q2" s="248"/>
      <c r="R2" s="248"/>
      <c r="S2" s="248"/>
      <c r="T2" s="262"/>
    </row>
    <row r="3" spans="1:20" x14ac:dyDescent="0.2">
      <c r="A3" s="209"/>
      <c r="B3" s="244"/>
      <c r="C3" s="245" t="s">
        <v>245</v>
      </c>
      <c r="D3" s="245" t="s">
        <v>244</v>
      </c>
      <c r="E3" s="244" t="s">
        <v>247</v>
      </c>
      <c r="F3" s="35"/>
      <c r="G3" s="245" t="s">
        <v>116</v>
      </c>
      <c r="H3" s="245" t="s">
        <v>242</v>
      </c>
      <c r="I3" s="245" t="s">
        <v>243</v>
      </c>
      <c r="J3" s="245" t="s">
        <v>246</v>
      </c>
      <c r="K3" s="244"/>
      <c r="L3" s="35"/>
      <c r="M3" s="246"/>
      <c r="N3" s="246" t="s">
        <v>246</v>
      </c>
      <c r="O3" s="246" t="s">
        <v>242</v>
      </c>
      <c r="P3" s="245" t="s">
        <v>116</v>
      </c>
      <c r="Q3" s="245" t="s">
        <v>242</v>
      </c>
      <c r="R3" s="245" t="s">
        <v>243</v>
      </c>
      <c r="S3" s="244"/>
      <c r="T3" s="249"/>
    </row>
    <row r="4" spans="1:20" x14ac:dyDescent="0.2">
      <c r="A4" s="209"/>
      <c r="B4" s="238" t="s">
        <v>211</v>
      </c>
      <c r="C4" s="239">
        <v>2500</v>
      </c>
      <c r="D4" s="213">
        <v>9454.2000000000007</v>
      </c>
      <c r="E4" s="240">
        <f>D4/C4</f>
        <v>3.7816800000000002</v>
      </c>
      <c r="F4" s="35"/>
      <c r="G4" s="241">
        <v>0</v>
      </c>
      <c r="H4" s="242">
        <f>C4*G4</f>
        <v>0</v>
      </c>
      <c r="I4" s="213">
        <f>G4*D4</f>
        <v>0</v>
      </c>
      <c r="J4" s="238"/>
      <c r="K4" s="238"/>
      <c r="L4" s="35"/>
      <c r="M4" s="243"/>
      <c r="N4" s="243"/>
      <c r="O4" s="243"/>
      <c r="P4" s="241">
        <v>11</v>
      </c>
      <c r="Q4" s="242">
        <f>C4*P4</f>
        <v>27500</v>
      </c>
      <c r="R4" s="213">
        <f>P4*D4</f>
        <v>103996.20000000001</v>
      </c>
      <c r="S4" s="201"/>
      <c r="T4" s="249"/>
    </row>
    <row r="5" spans="1:20" x14ac:dyDescent="0.2">
      <c r="A5" s="209"/>
      <c r="B5" s="188" t="s">
        <v>211</v>
      </c>
      <c r="C5" s="203">
        <v>2000</v>
      </c>
      <c r="D5" s="205">
        <v>8400</v>
      </c>
      <c r="E5" s="189">
        <f>D5/C5</f>
        <v>4.2</v>
      </c>
      <c r="F5" s="35"/>
      <c r="G5" s="211">
        <v>6</v>
      </c>
      <c r="H5" s="190">
        <f>C5*G5</f>
        <v>12000</v>
      </c>
      <c r="I5" s="205">
        <f>G5*D5</f>
        <v>50400</v>
      </c>
      <c r="J5" s="188"/>
      <c r="K5" s="188"/>
      <c r="L5" s="35"/>
      <c r="M5" s="215"/>
      <c r="N5" s="215"/>
      <c r="O5" s="215"/>
      <c r="P5" s="211">
        <v>10</v>
      </c>
      <c r="Q5" s="190">
        <f>C5*P5</f>
        <v>20000</v>
      </c>
      <c r="R5" s="205">
        <f>P5*D5</f>
        <v>84000</v>
      </c>
      <c r="S5" s="201"/>
      <c r="T5" s="249"/>
    </row>
    <row r="6" spans="1:20" x14ac:dyDescent="0.2">
      <c r="A6" s="209"/>
      <c r="B6" s="188" t="s">
        <v>211</v>
      </c>
      <c r="C6" s="203">
        <v>1700</v>
      </c>
      <c r="D6" s="205">
        <v>7140</v>
      </c>
      <c r="E6" s="189">
        <f>D6/C6</f>
        <v>4.2</v>
      </c>
      <c r="F6" s="35"/>
      <c r="G6" s="211">
        <v>8</v>
      </c>
      <c r="H6" s="190">
        <f>C6*G6</f>
        <v>13600</v>
      </c>
      <c r="I6" s="205">
        <f>G6*D6</f>
        <v>57120</v>
      </c>
      <c r="J6" s="188"/>
      <c r="K6" s="188"/>
      <c r="L6" s="35"/>
      <c r="M6" s="215"/>
      <c r="N6" s="215"/>
      <c r="O6" s="215"/>
      <c r="P6" s="211">
        <v>10</v>
      </c>
      <c r="Q6" s="190">
        <f>C6*P6</f>
        <v>17000</v>
      </c>
      <c r="R6" s="205">
        <f>P6*D6</f>
        <v>71400</v>
      </c>
      <c r="S6" s="201"/>
      <c r="T6" s="249"/>
    </row>
    <row r="7" spans="1:20" x14ac:dyDescent="0.2">
      <c r="A7" s="209"/>
      <c r="B7" s="188" t="s">
        <v>211</v>
      </c>
      <c r="C7" s="203">
        <v>1000</v>
      </c>
      <c r="D7" s="205">
        <v>6510</v>
      </c>
      <c r="E7" s="189">
        <f>D7/C7</f>
        <v>6.51</v>
      </c>
      <c r="F7" s="35"/>
      <c r="G7" s="211">
        <v>6</v>
      </c>
      <c r="H7" s="190">
        <f>C7*G7</f>
        <v>6000</v>
      </c>
      <c r="I7" s="205">
        <f>G7*D7</f>
        <v>39060</v>
      </c>
      <c r="J7" s="188"/>
      <c r="K7" s="188"/>
      <c r="L7" s="35"/>
      <c r="M7" s="215"/>
      <c r="N7" s="215"/>
      <c r="O7" s="215"/>
      <c r="P7" s="211">
        <v>0</v>
      </c>
      <c r="Q7" s="190">
        <f>C7*P7</f>
        <v>0</v>
      </c>
      <c r="R7" s="205">
        <f>P7*D7</f>
        <v>0</v>
      </c>
      <c r="S7" s="201"/>
      <c r="T7" s="249"/>
    </row>
    <row r="8" spans="1:20" x14ac:dyDescent="0.2">
      <c r="A8" s="209"/>
      <c r="B8" s="191" t="s">
        <v>211</v>
      </c>
      <c r="C8" s="191">
        <v>450</v>
      </c>
      <c r="D8" s="216">
        <v>1890</v>
      </c>
      <c r="E8" s="192">
        <f>D8/C8</f>
        <v>4.2</v>
      </c>
      <c r="F8" s="35"/>
      <c r="G8" s="217">
        <v>0</v>
      </c>
      <c r="H8" s="193">
        <f>C8*G8</f>
        <v>0</v>
      </c>
      <c r="I8" s="216">
        <f>G8*D8</f>
        <v>0</v>
      </c>
      <c r="J8" s="191"/>
      <c r="K8" s="191"/>
      <c r="L8" s="35"/>
      <c r="M8" s="218"/>
      <c r="N8" s="218"/>
      <c r="O8" s="218"/>
      <c r="P8" s="217">
        <v>0</v>
      </c>
      <c r="Q8" s="193">
        <f>C8*P8</f>
        <v>0</v>
      </c>
      <c r="R8" s="216">
        <f>P8*D8</f>
        <v>0</v>
      </c>
      <c r="S8" s="201"/>
      <c r="T8" s="249"/>
    </row>
    <row r="9" spans="1:20" x14ac:dyDescent="0.2">
      <c r="A9" s="209"/>
      <c r="B9" s="222" t="s">
        <v>211</v>
      </c>
      <c r="C9" s="222"/>
      <c r="D9" s="223"/>
      <c r="E9" s="250"/>
      <c r="F9" s="35"/>
      <c r="G9" s="224">
        <f>SUM(G4:G8)</f>
        <v>20</v>
      </c>
      <c r="H9" s="225">
        <f>SUM(H4:H8)</f>
        <v>31600</v>
      </c>
      <c r="I9" s="223">
        <f>SUM(I4:I8)</f>
        <v>146580</v>
      </c>
      <c r="J9" s="226">
        <f>H9*Parameters!$B$8</f>
        <v>119619.0123744</v>
      </c>
      <c r="K9" s="251">
        <f>J9/$J$17</f>
        <v>0.78940794404196868</v>
      </c>
      <c r="L9" s="35"/>
      <c r="M9" s="227">
        <v>0.8</v>
      </c>
      <c r="N9" s="228">
        <f>$N$17*M9</f>
        <v>244800</v>
      </c>
      <c r="O9" s="228">
        <f>N9/Parameters!$B$8</f>
        <v>64669.318417274735</v>
      </c>
      <c r="P9" s="224">
        <f>SUM(P4:P8)</f>
        <v>31</v>
      </c>
      <c r="Q9" s="225">
        <f>SUM(Q4:Q8)</f>
        <v>64500</v>
      </c>
      <c r="R9" s="223">
        <f>SUM(R4:R8)</f>
        <v>259396.2</v>
      </c>
      <c r="S9" s="229">
        <f>Q9/$Q$17</f>
        <v>0.79688658265381762</v>
      </c>
      <c r="T9" s="249"/>
    </row>
    <row r="10" spans="1:20" x14ac:dyDescent="0.2">
      <c r="A10" s="209"/>
      <c r="B10" s="185" t="s">
        <v>212</v>
      </c>
      <c r="C10" s="202">
        <v>1000</v>
      </c>
      <c r="D10" s="204">
        <v>3669.75</v>
      </c>
      <c r="E10" s="186">
        <f>D10/C10</f>
        <v>3.6697500000000001</v>
      </c>
      <c r="F10" s="35"/>
      <c r="G10" s="210">
        <v>5</v>
      </c>
      <c r="H10" s="187">
        <f>C10*G10</f>
        <v>5000</v>
      </c>
      <c r="I10" s="204">
        <f>G10*D10</f>
        <v>18348.75</v>
      </c>
      <c r="J10" s="185"/>
      <c r="K10" s="198"/>
      <c r="L10" s="35"/>
      <c r="M10" s="214"/>
      <c r="N10" s="214"/>
      <c r="O10" s="214"/>
      <c r="P10" s="210">
        <v>0</v>
      </c>
      <c r="Q10" s="187">
        <f>C10*P10</f>
        <v>0</v>
      </c>
      <c r="R10" s="204">
        <f>P10*D10</f>
        <v>0</v>
      </c>
      <c r="S10" s="252"/>
      <c r="T10" s="249"/>
    </row>
    <row r="11" spans="1:20" x14ac:dyDescent="0.2">
      <c r="A11" s="209"/>
      <c r="B11" s="188" t="s">
        <v>212</v>
      </c>
      <c r="C11" s="188">
        <v>840</v>
      </c>
      <c r="D11" s="205">
        <v>2478</v>
      </c>
      <c r="E11" s="189">
        <f>D11/C11</f>
        <v>2.95</v>
      </c>
      <c r="F11" s="35"/>
      <c r="G11" s="211">
        <v>2</v>
      </c>
      <c r="H11" s="190">
        <f>C11*G11</f>
        <v>1680</v>
      </c>
      <c r="I11" s="205">
        <f>G11*D11</f>
        <v>4956</v>
      </c>
      <c r="J11" s="188"/>
      <c r="K11" s="199"/>
      <c r="L11" s="35"/>
      <c r="M11" s="215"/>
      <c r="N11" s="215"/>
      <c r="O11" s="215"/>
      <c r="P11" s="211">
        <v>0</v>
      </c>
      <c r="Q11" s="190">
        <f>C11*P11</f>
        <v>0</v>
      </c>
      <c r="R11" s="205">
        <f>P11*D11</f>
        <v>0</v>
      </c>
      <c r="S11" s="252"/>
      <c r="T11" s="249"/>
    </row>
    <row r="12" spans="1:20" x14ac:dyDescent="0.2">
      <c r="A12" s="209"/>
      <c r="B12" s="188" t="s">
        <v>212</v>
      </c>
      <c r="C12" s="188">
        <v>520</v>
      </c>
      <c r="D12" s="205">
        <v>1134</v>
      </c>
      <c r="E12" s="189">
        <f>D12/C12</f>
        <v>2.1807692307692306</v>
      </c>
      <c r="F12" s="35"/>
      <c r="G12" s="211">
        <v>0</v>
      </c>
      <c r="H12" s="190">
        <f>C12*G12</f>
        <v>0</v>
      </c>
      <c r="I12" s="205">
        <f>G12*D12</f>
        <v>0</v>
      </c>
      <c r="J12" s="188"/>
      <c r="K12" s="199"/>
      <c r="L12" s="35"/>
      <c r="M12" s="215"/>
      <c r="N12" s="215"/>
      <c r="O12" s="215"/>
      <c r="P12" s="211">
        <v>12</v>
      </c>
      <c r="Q12" s="190">
        <f>C12*P12</f>
        <v>6240</v>
      </c>
      <c r="R12" s="205">
        <f>P12*D12</f>
        <v>13608</v>
      </c>
      <c r="S12" s="252"/>
      <c r="T12" s="249"/>
    </row>
    <row r="13" spans="1:20" x14ac:dyDescent="0.2">
      <c r="A13" s="209"/>
      <c r="B13" s="188" t="s">
        <v>212</v>
      </c>
      <c r="C13" s="188">
        <v>450</v>
      </c>
      <c r="D13" s="205">
        <v>840</v>
      </c>
      <c r="E13" s="189">
        <f>D13/C13</f>
        <v>1.8666666666666667</v>
      </c>
      <c r="F13" s="35"/>
      <c r="G13" s="211">
        <v>0</v>
      </c>
      <c r="H13" s="190">
        <f>C13*G13</f>
        <v>0</v>
      </c>
      <c r="I13" s="205">
        <f>G13*D13</f>
        <v>0</v>
      </c>
      <c r="J13" s="188"/>
      <c r="K13" s="199"/>
      <c r="L13" s="35"/>
      <c r="M13" s="215"/>
      <c r="N13" s="215"/>
      <c r="O13" s="215"/>
      <c r="P13" s="211">
        <v>10</v>
      </c>
      <c r="Q13" s="190">
        <f>C13*P13</f>
        <v>4500</v>
      </c>
      <c r="R13" s="205">
        <f>P13*D13</f>
        <v>8400</v>
      </c>
      <c r="S13" s="252"/>
      <c r="T13" s="249"/>
    </row>
    <row r="14" spans="1:20" x14ac:dyDescent="0.2">
      <c r="A14" s="209"/>
      <c r="B14" s="207" t="s">
        <v>212</v>
      </c>
      <c r="C14" s="207">
        <v>250</v>
      </c>
      <c r="D14" s="206">
        <v>630</v>
      </c>
      <c r="E14" s="219">
        <f>D14/C14</f>
        <v>2.52</v>
      </c>
      <c r="F14" s="35"/>
      <c r="G14" s="212">
        <v>0</v>
      </c>
      <c r="H14" s="208">
        <f>C14*G14</f>
        <v>0</v>
      </c>
      <c r="I14" s="206">
        <f>G14*D14</f>
        <v>0</v>
      </c>
      <c r="J14" s="207"/>
      <c r="K14" s="220"/>
      <c r="L14" s="35"/>
      <c r="M14" s="221"/>
      <c r="N14" s="221"/>
      <c r="O14" s="221"/>
      <c r="P14" s="212">
        <v>6</v>
      </c>
      <c r="Q14" s="208">
        <f>C14*P14</f>
        <v>1500</v>
      </c>
      <c r="R14" s="206">
        <f>P14*D14</f>
        <v>3780</v>
      </c>
      <c r="S14" s="252"/>
      <c r="T14" s="249"/>
    </row>
    <row r="15" spans="1:20" x14ac:dyDescent="0.2">
      <c r="A15" s="209"/>
      <c r="B15" s="230" t="s">
        <v>212</v>
      </c>
      <c r="C15" s="230"/>
      <c r="D15" s="231"/>
      <c r="E15" s="182"/>
      <c r="F15" s="35"/>
      <c r="G15" s="232">
        <f>SUM(G10:G14)</f>
        <v>7</v>
      </c>
      <c r="H15" s="233">
        <f>SUM(H10:H14)</f>
        <v>6680</v>
      </c>
      <c r="I15" s="231">
        <f>SUM(I10:I14)</f>
        <v>23304.75</v>
      </c>
      <c r="J15" s="234">
        <f>H15*Parameters!$B$8</f>
        <v>25286.550717120001</v>
      </c>
      <c r="K15" s="235">
        <f>J15/$J$17</f>
        <v>0.16687484386709969</v>
      </c>
      <c r="L15" s="35"/>
      <c r="M15" s="236">
        <v>0.15</v>
      </c>
      <c r="N15" s="237">
        <f>$N$17*M15</f>
        <v>45900</v>
      </c>
      <c r="O15" s="237">
        <f>N15/Parameters!$B$8</f>
        <v>12125.497203239012</v>
      </c>
      <c r="P15" s="232">
        <f>SUM(P10:P14)</f>
        <v>28</v>
      </c>
      <c r="Q15" s="233">
        <f>SUM(Q10:Q14)</f>
        <v>12240</v>
      </c>
      <c r="R15" s="231">
        <f>SUM(R10:R14)</f>
        <v>25788</v>
      </c>
      <c r="S15" s="229">
        <f>Q15/$Q$17</f>
        <v>0.15122312824314307</v>
      </c>
      <c r="T15" s="249"/>
    </row>
    <row r="16" spans="1:20" x14ac:dyDescent="0.2">
      <c r="A16" s="209"/>
      <c r="B16" s="230" t="s">
        <v>213</v>
      </c>
      <c r="C16" s="230">
        <v>350</v>
      </c>
      <c r="D16" s="231">
        <v>1569.75</v>
      </c>
      <c r="E16" s="182"/>
      <c r="F16" s="35"/>
      <c r="G16" s="232">
        <v>5</v>
      </c>
      <c r="H16" s="233">
        <f>C16*G16</f>
        <v>1750</v>
      </c>
      <c r="I16" s="231">
        <f>G16*D16</f>
        <v>7848.75</v>
      </c>
      <c r="J16" s="234">
        <f>H16*Parameters!$B$8</f>
        <v>6624.4706219999998</v>
      </c>
      <c r="K16" s="235">
        <f>J16/$J$17</f>
        <v>4.3717212090931802E-2</v>
      </c>
      <c r="L16" s="35"/>
      <c r="M16" s="236">
        <v>0.05</v>
      </c>
      <c r="N16" s="237">
        <f>$N$17*M16</f>
        <v>15300</v>
      </c>
      <c r="O16" s="237">
        <f>N16/Parameters!$B$8</f>
        <v>4041.8324010796709</v>
      </c>
      <c r="P16" s="232">
        <f>ROUNDUP(O16/C16,0)</f>
        <v>12</v>
      </c>
      <c r="Q16" s="233">
        <f>C16*P16</f>
        <v>4200</v>
      </c>
      <c r="R16" s="231">
        <f>P16*D16</f>
        <v>18837</v>
      </c>
      <c r="S16" s="229">
        <f>Q16/$Q$17</f>
        <v>5.1890289103039292E-2</v>
      </c>
      <c r="T16" s="249"/>
    </row>
    <row r="17" spans="1:20" x14ac:dyDescent="0.2">
      <c r="A17" s="209"/>
      <c r="B17" s="230" t="s">
        <v>102</v>
      </c>
      <c r="C17" s="230"/>
      <c r="D17" s="231"/>
      <c r="E17" s="182"/>
      <c r="F17" s="35"/>
      <c r="G17" s="232">
        <f>SUM(G15:G16,G9)</f>
        <v>32</v>
      </c>
      <c r="H17" s="233">
        <f>SUM(H15:H16,H9)</f>
        <v>40030</v>
      </c>
      <c r="I17" s="231">
        <f>SUM(I15:I16,I9)</f>
        <v>177733.5</v>
      </c>
      <c r="J17" s="234">
        <f>J9+J15+J16</f>
        <v>151530.03371351998</v>
      </c>
      <c r="K17" s="235"/>
      <c r="L17" s="35"/>
      <c r="M17" s="236"/>
      <c r="N17" s="237">
        <f>CAPEX!I3*12*0.75*M18*2</f>
        <v>306000</v>
      </c>
      <c r="O17" s="237">
        <f>SUM(O15:O16,O9)</f>
        <v>80836.648021593413</v>
      </c>
      <c r="P17" s="232">
        <f>SUM(P15:P16,P9)</f>
        <v>71</v>
      </c>
      <c r="Q17" s="233">
        <f>SUM(Q15:Q16,Q9)</f>
        <v>80940</v>
      </c>
      <c r="R17" s="231">
        <f>SUM(R15:R16,R9)</f>
        <v>304021.2</v>
      </c>
      <c r="S17" s="229"/>
      <c r="T17" s="249"/>
    </row>
    <row r="18" spans="1:20" x14ac:dyDescent="0.2">
      <c r="A18" s="253"/>
      <c r="B18" s="254"/>
      <c r="C18" s="254"/>
      <c r="D18" s="254"/>
      <c r="E18" s="254"/>
      <c r="F18" s="255"/>
      <c r="G18" s="257"/>
      <c r="H18" s="254"/>
      <c r="I18" s="254"/>
      <c r="J18" s="254"/>
      <c r="K18" s="258">
        <f>J17/(CAPEX!I3*12*0.75)</f>
        <v>0.84183352063066652</v>
      </c>
      <c r="L18" s="255"/>
      <c r="M18" s="259">
        <v>0.85</v>
      </c>
      <c r="N18" s="260"/>
      <c r="O18" s="260"/>
      <c r="P18" s="254"/>
      <c r="Q18" s="254"/>
      <c r="R18" s="254"/>
      <c r="S18" s="254"/>
      <c r="T18" s="256"/>
    </row>
    <row r="19" spans="1:20" x14ac:dyDescent="0.2">
      <c r="F19" s="66"/>
      <c r="G19" s="66"/>
      <c r="L19" s="66"/>
      <c r="S19" s="66"/>
      <c r="T19" s="66"/>
    </row>
    <row r="20" spans="1:20" x14ac:dyDescent="0.2">
      <c r="F20" s="66"/>
      <c r="G20" s="66"/>
      <c r="L20" s="66"/>
      <c r="S20" s="66"/>
      <c r="T20" s="66"/>
    </row>
    <row r="21" spans="1:20" x14ac:dyDescent="0.2">
      <c r="F21" s="66"/>
      <c r="G21" s="66"/>
      <c r="L21" s="66"/>
      <c r="S21" s="66"/>
      <c r="T21" s="66"/>
    </row>
    <row r="22" spans="1:20" x14ac:dyDescent="0.2">
      <c r="G22" s="66"/>
      <c r="S22" s="66"/>
      <c r="T22" s="66"/>
    </row>
    <row r="23" spans="1:20" x14ac:dyDescent="0.2">
      <c r="S23" s="66"/>
      <c r="T23" s="66"/>
    </row>
    <row r="24" spans="1:20" x14ac:dyDescent="0.2">
      <c r="S24" s="66"/>
      <c r="T24" s="66"/>
    </row>
    <row r="25" spans="1:20" x14ac:dyDescent="0.2">
      <c r="S25" s="66"/>
      <c r="T25" s="66"/>
    </row>
    <row r="26" spans="1:20" x14ac:dyDescent="0.2">
      <c r="S26" s="66"/>
      <c r="T26" s="66"/>
    </row>
    <row r="27" spans="1:20" x14ac:dyDescent="0.2">
      <c r="S27" s="66"/>
      <c r="T27" s="66"/>
    </row>
    <row r="28" spans="1:20" x14ac:dyDescent="0.2">
      <c r="S28" s="66"/>
      <c r="T28" s="66"/>
    </row>
    <row r="29" spans="1:20" x14ac:dyDescent="0.2">
      <c r="S29" s="66"/>
      <c r="T29" s="66"/>
    </row>
    <row r="30" spans="1:20" x14ac:dyDescent="0.2">
      <c r="S30" s="66"/>
      <c r="T30" s="66"/>
    </row>
    <row r="31" spans="1:20" x14ac:dyDescent="0.2">
      <c r="S31" s="66"/>
      <c r="T31" s="66"/>
    </row>
    <row r="32" spans="1:20" x14ac:dyDescent="0.2">
      <c r="S32" s="66"/>
      <c r="T32" s="66"/>
    </row>
    <row r="33" spans="19:20" x14ac:dyDescent="0.2">
      <c r="S33" s="66"/>
      <c r="T33" s="66"/>
    </row>
    <row r="34" spans="19:20" x14ac:dyDescent="0.2">
      <c r="S34" s="66"/>
      <c r="T34" s="66"/>
    </row>
    <row r="35" spans="19:20" x14ac:dyDescent="0.2">
      <c r="S35" s="66"/>
      <c r="T35" s="66"/>
    </row>
    <row r="36" spans="19:20" x14ac:dyDescent="0.2">
      <c r="S36" s="66"/>
      <c r="T36" s="66"/>
    </row>
    <row r="37" spans="19:20" x14ac:dyDescent="0.2">
      <c r="S37" s="66"/>
      <c r="T37" s="66"/>
    </row>
    <row r="38" spans="19:20" x14ac:dyDescent="0.2">
      <c r="S38" s="66"/>
      <c r="T38" s="66"/>
    </row>
    <row r="39" spans="19:20" x14ac:dyDescent="0.2">
      <c r="S39" s="66"/>
      <c r="T39" s="66"/>
    </row>
    <row r="40" spans="19:20" x14ac:dyDescent="0.2">
      <c r="S40" s="66"/>
      <c r="T40" s="66"/>
    </row>
    <row r="41" spans="19:20" x14ac:dyDescent="0.2">
      <c r="S41" s="66"/>
      <c r="T41" s="66"/>
    </row>
    <row r="42" spans="19:20" x14ac:dyDescent="0.2">
      <c r="S42" s="66"/>
      <c r="T42" s="66"/>
    </row>
    <row r="43" spans="19:20" x14ac:dyDescent="0.2">
      <c r="S43" s="66"/>
      <c r="T43" s="66"/>
    </row>
    <row r="44" spans="19:20" x14ac:dyDescent="0.2">
      <c r="S44" s="66"/>
      <c r="T44" s="66"/>
    </row>
    <row r="45" spans="19:20" x14ac:dyDescent="0.2">
      <c r="S45" s="66"/>
      <c r="T45" s="66"/>
    </row>
    <row r="46" spans="19:20" x14ac:dyDescent="0.2">
      <c r="S46" s="66"/>
      <c r="T46" s="66"/>
    </row>
    <row r="47" spans="19:20" x14ac:dyDescent="0.2">
      <c r="S47" s="66"/>
      <c r="T47" s="66"/>
    </row>
    <row r="48" spans="19:20" x14ac:dyDescent="0.2">
      <c r="S48" s="66"/>
      <c r="T48" s="66"/>
    </row>
    <row r="49" spans="19:20" x14ac:dyDescent="0.2">
      <c r="S49" s="66"/>
      <c r="T49" s="66"/>
    </row>
    <row r="50" spans="19:20" x14ac:dyDescent="0.2">
      <c r="S50" s="66"/>
      <c r="T50" s="66"/>
    </row>
    <row r="51" spans="19:20" x14ac:dyDescent="0.2">
      <c r="S51" s="66"/>
      <c r="T51" s="66"/>
    </row>
    <row r="52" spans="19:20" x14ac:dyDescent="0.2">
      <c r="S52" s="66"/>
      <c r="T52" s="66"/>
    </row>
    <row r="53" spans="19:20" x14ac:dyDescent="0.2">
      <c r="S53" s="66"/>
      <c r="T53" s="66"/>
    </row>
    <row r="54" spans="19:20" x14ac:dyDescent="0.2">
      <c r="S54" s="66"/>
      <c r="T54" s="66"/>
    </row>
    <row r="55" spans="19:20" x14ac:dyDescent="0.2">
      <c r="S55" s="66"/>
      <c r="T55" s="66"/>
    </row>
    <row r="56" spans="19:20" x14ac:dyDescent="0.2">
      <c r="S56" s="66"/>
      <c r="T56" s="66"/>
    </row>
    <row r="57" spans="19:20" x14ac:dyDescent="0.2">
      <c r="S57" s="66"/>
      <c r="T57" s="66"/>
    </row>
    <row r="58" spans="19:20" x14ac:dyDescent="0.2">
      <c r="S58" s="66"/>
      <c r="T58" s="66"/>
    </row>
    <row r="59" spans="19:20" x14ac:dyDescent="0.2">
      <c r="S59" s="66"/>
      <c r="T59" s="66"/>
    </row>
    <row r="60" spans="19:20" x14ac:dyDescent="0.2">
      <c r="S60" s="66"/>
      <c r="T60" s="66"/>
    </row>
    <row r="61" spans="19:20" x14ac:dyDescent="0.2">
      <c r="S61" s="66"/>
      <c r="T61" s="66"/>
    </row>
    <row r="62" spans="19:20" x14ac:dyDescent="0.2">
      <c r="S62" s="66"/>
      <c r="T62" s="66"/>
    </row>
    <row r="63" spans="19:20" x14ac:dyDescent="0.2">
      <c r="S63" s="66"/>
      <c r="T63" s="66"/>
    </row>
    <row r="64" spans="19:20" x14ac:dyDescent="0.2">
      <c r="S64" s="66"/>
      <c r="T64" s="66"/>
    </row>
    <row r="65" spans="19:20" x14ac:dyDescent="0.2">
      <c r="S65" s="66"/>
      <c r="T65" s="66"/>
    </row>
    <row r="66" spans="19:20" x14ac:dyDescent="0.2">
      <c r="S66" s="66"/>
      <c r="T66" s="66"/>
    </row>
    <row r="67" spans="19:20" x14ac:dyDescent="0.2">
      <c r="S67" s="66"/>
      <c r="T67" s="66"/>
    </row>
    <row r="68" spans="19:20" x14ac:dyDescent="0.2">
      <c r="S68" s="66"/>
      <c r="T68" s="66"/>
    </row>
    <row r="69" spans="19:20" x14ac:dyDescent="0.2">
      <c r="S69" s="66"/>
      <c r="T69" s="66"/>
    </row>
    <row r="70" spans="19:20" x14ac:dyDescent="0.2">
      <c r="S70" s="66"/>
      <c r="T70" s="66"/>
    </row>
    <row r="71" spans="19:20" x14ac:dyDescent="0.2">
      <c r="S71" s="66"/>
      <c r="T71" s="66"/>
    </row>
    <row r="72" spans="19:20" x14ac:dyDescent="0.2">
      <c r="S72" s="66"/>
      <c r="T72" s="66"/>
    </row>
    <row r="73" spans="19:20" x14ac:dyDescent="0.2">
      <c r="S73" s="66"/>
      <c r="T73" s="66"/>
    </row>
    <row r="74" spans="19:20" x14ac:dyDescent="0.2">
      <c r="S74" s="66"/>
      <c r="T74" s="66"/>
    </row>
    <row r="75" spans="19:20" x14ac:dyDescent="0.2">
      <c r="S75" s="66"/>
      <c r="T75" s="66"/>
    </row>
    <row r="76" spans="19:20" x14ac:dyDescent="0.2">
      <c r="S76" s="66"/>
      <c r="T76" s="66"/>
    </row>
    <row r="77" spans="19:20" x14ac:dyDescent="0.2">
      <c r="S77" s="66"/>
      <c r="T77" s="66"/>
    </row>
    <row r="78" spans="19:20" x14ac:dyDescent="0.2">
      <c r="S78" s="66"/>
      <c r="T78" s="66"/>
    </row>
    <row r="79" spans="19:20" x14ac:dyDescent="0.2">
      <c r="S79" s="66"/>
      <c r="T79" s="66"/>
    </row>
    <row r="80" spans="19:20" x14ac:dyDescent="0.2">
      <c r="S80" s="66"/>
      <c r="T80" s="66"/>
    </row>
    <row r="81" spans="19:20" x14ac:dyDescent="0.2">
      <c r="S81" s="66"/>
      <c r="T81" s="66"/>
    </row>
    <row r="82" spans="19:20" x14ac:dyDescent="0.2">
      <c r="S82" s="66"/>
      <c r="T82" s="66"/>
    </row>
    <row r="83" spans="19:20" x14ac:dyDescent="0.2">
      <c r="S83" s="66"/>
      <c r="T83" s="66"/>
    </row>
    <row r="84" spans="19:20" x14ac:dyDescent="0.2">
      <c r="S84" s="66"/>
      <c r="T84" s="66"/>
    </row>
    <row r="85" spans="19:20" x14ac:dyDescent="0.2">
      <c r="S85" s="66"/>
      <c r="T85" s="66"/>
    </row>
    <row r="86" spans="19:20" x14ac:dyDescent="0.2">
      <c r="S86" s="66"/>
      <c r="T86" s="66"/>
    </row>
    <row r="87" spans="19:20" x14ac:dyDescent="0.2">
      <c r="S87" s="66"/>
      <c r="T87" s="66"/>
    </row>
    <row r="88" spans="19:20" x14ac:dyDescent="0.2">
      <c r="S88" s="66"/>
      <c r="T88" s="66"/>
    </row>
    <row r="89" spans="19:20" x14ac:dyDescent="0.2">
      <c r="S89" s="66"/>
      <c r="T89" s="66"/>
    </row>
    <row r="90" spans="19:20" x14ac:dyDescent="0.2">
      <c r="S90" s="66"/>
      <c r="T90" s="66"/>
    </row>
    <row r="91" spans="19:20" x14ac:dyDescent="0.2">
      <c r="S91" s="66"/>
      <c r="T91" s="66"/>
    </row>
    <row r="92" spans="19:20" x14ac:dyDescent="0.2">
      <c r="S92" s="66"/>
      <c r="T92" s="66"/>
    </row>
    <row r="93" spans="19:20" x14ac:dyDescent="0.2">
      <c r="S93" s="66"/>
      <c r="T93" s="66"/>
    </row>
    <row r="94" spans="19:20" x14ac:dyDescent="0.2">
      <c r="S94" s="66"/>
      <c r="T94" s="66"/>
    </row>
    <row r="95" spans="19:20" x14ac:dyDescent="0.2">
      <c r="S95" s="66"/>
      <c r="T95" s="66"/>
    </row>
    <row r="96" spans="19:20" x14ac:dyDescent="0.2">
      <c r="S96" s="66"/>
      <c r="T96" s="66"/>
    </row>
    <row r="97" spans="19:20" x14ac:dyDescent="0.2">
      <c r="S97" s="66"/>
      <c r="T97" s="66"/>
    </row>
    <row r="98" spans="19:20" x14ac:dyDescent="0.2">
      <c r="S98" s="66"/>
      <c r="T98" s="66"/>
    </row>
    <row r="99" spans="19:20" x14ac:dyDescent="0.2">
      <c r="S99" s="66"/>
      <c r="T99" s="66"/>
    </row>
    <row r="100" spans="19:20" x14ac:dyDescent="0.2">
      <c r="S100" s="66"/>
      <c r="T100" s="66"/>
    </row>
  </sheetData>
  <conditionalFormatting sqref="E4:E8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{795A0E32-FA3C-47F4-BBD0-5D4142846191}</x14:id>
        </ext>
      </extLst>
    </cfRule>
  </conditionalFormatting>
  <conditionalFormatting sqref="E10:E14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{22A9F32D-D095-41E9-8769-F0A655C5B6C6}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95A0E32-FA3C-47F4-BBD0-5D414284619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E4:E8</xm:sqref>
        </x14:conditionalFormatting>
        <x14:conditionalFormatting xmlns:xm="http://schemas.microsoft.com/office/excel/2006/main">
          <x14:cfRule type="dataBar" id="{22A9F32D-D095-41E9-8769-F0A655C5B6C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E10:E14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34998626667073579"/>
  </sheetPr>
  <dimension ref="A3:J11"/>
  <sheetViews>
    <sheetView workbookViewId="0">
      <selection activeCell="X40" sqref="X40"/>
    </sheetView>
  </sheetViews>
  <sheetFormatPr defaultRowHeight="14.25" x14ac:dyDescent="0.2"/>
  <cols>
    <col min="1" max="1" width="27.125" bestFit="1" customWidth="1"/>
    <col min="9" max="9" width="3.125" customWidth="1"/>
  </cols>
  <sheetData>
    <row r="3" spans="1:10" s="70" customFormat="1" ht="20.100000000000001" customHeight="1" x14ac:dyDescent="0.2">
      <c r="A3" s="313" t="s">
        <v>445</v>
      </c>
      <c r="B3" s="130">
        <v>2019</v>
      </c>
      <c r="C3" s="131">
        <v>2020</v>
      </c>
      <c r="D3" s="131">
        <v>2021</v>
      </c>
      <c r="E3" s="131">
        <v>2022</v>
      </c>
      <c r="F3" s="131">
        <v>2023</v>
      </c>
      <c r="G3" s="131">
        <v>2024</v>
      </c>
      <c r="H3" s="131">
        <v>2025</v>
      </c>
      <c r="J3" s="70" t="s">
        <v>488</v>
      </c>
    </row>
    <row r="4" spans="1:10" s="70" customFormat="1" ht="20.100000000000001" customHeight="1" x14ac:dyDescent="0.2">
      <c r="A4" s="444" t="s">
        <v>481</v>
      </c>
      <c r="B4" s="445">
        <f>Sales!C63</f>
        <v>0</v>
      </c>
      <c r="C4" s="445">
        <f>Sales!D63</f>
        <v>1520.2687500000002</v>
      </c>
      <c r="D4" s="445">
        <f>Sales!E63</f>
        <v>6730.7625000000007</v>
      </c>
      <c r="E4" s="445">
        <f>Sales!F63</f>
        <v>6876.2924999999996</v>
      </c>
      <c r="F4" s="445">
        <f>Sales!G63</f>
        <v>7220.1071250000005</v>
      </c>
      <c r="G4" s="445">
        <f>Sales!H63</f>
        <v>7581.1124812500011</v>
      </c>
      <c r="H4" s="445">
        <f>Sales!I63</f>
        <v>7960.1681053125012</v>
      </c>
    </row>
    <row r="5" spans="1:10" s="70" customFormat="1" ht="20.100000000000001" customHeight="1" x14ac:dyDescent="0.2">
      <c r="A5" s="446" t="s">
        <v>473</v>
      </c>
      <c r="B5" s="447">
        <f>B4/$J$5</f>
        <v>0</v>
      </c>
      <c r="C5" s="447">
        <f t="shared" ref="C5:H5" si="0">C4/$J$5</f>
        <v>87.467517123287692</v>
      </c>
      <c r="D5" s="447">
        <f t="shared" si="0"/>
        <v>387.24934931506857</v>
      </c>
      <c r="E5" s="447">
        <f t="shared" si="0"/>
        <v>395.62230821917808</v>
      </c>
      <c r="F5" s="447">
        <f t="shared" si="0"/>
        <v>415.40342363013707</v>
      </c>
      <c r="G5" s="447">
        <f t="shared" si="0"/>
        <v>436.17359481164391</v>
      </c>
      <c r="H5" s="447">
        <f t="shared" si="0"/>
        <v>457.98227455222616</v>
      </c>
      <c r="J5" s="456">
        <f>365/Parameters!F8</f>
        <v>17.38095238095238</v>
      </c>
    </row>
    <row r="6" spans="1:10" s="70" customFormat="1" ht="20.100000000000001" customHeight="1" x14ac:dyDescent="0.2">
      <c r="A6" s="446" t="s">
        <v>482</v>
      </c>
      <c r="B6" s="447">
        <f>B5-$B$5</f>
        <v>0</v>
      </c>
      <c r="C6" s="447">
        <f>C5-B5</f>
        <v>87.467517123287692</v>
      </c>
      <c r="D6" s="447">
        <f t="shared" ref="D6:H6" si="1">D5-C5</f>
        <v>299.78183219178089</v>
      </c>
      <c r="E6" s="447">
        <f t="shared" si="1"/>
        <v>8.3729589041095096</v>
      </c>
      <c r="F6" s="447">
        <f t="shared" si="1"/>
        <v>19.781115410958989</v>
      </c>
      <c r="G6" s="447">
        <f t="shared" si="1"/>
        <v>20.770171181506839</v>
      </c>
      <c r="H6" s="447">
        <f t="shared" si="1"/>
        <v>21.808679740582249</v>
      </c>
      <c r="J6" s="97"/>
    </row>
    <row r="7" spans="1:10" s="70" customFormat="1" ht="20.100000000000001" customHeight="1" thickBot="1" x14ac:dyDescent="0.25">
      <c r="A7" s="448" t="s">
        <v>483</v>
      </c>
      <c r="B7" s="449">
        <f>B4-B6</f>
        <v>0</v>
      </c>
      <c r="C7" s="449">
        <f t="shared" ref="C7:H7" si="2">C4-C6</f>
        <v>1432.8012328767124</v>
      </c>
      <c r="D7" s="449">
        <f t="shared" si="2"/>
        <v>6430.9806678082196</v>
      </c>
      <c r="E7" s="449">
        <f t="shared" si="2"/>
        <v>6867.9195410958901</v>
      </c>
      <c r="F7" s="449">
        <f t="shared" si="2"/>
        <v>7200.3260095890419</v>
      </c>
      <c r="G7" s="449">
        <f t="shared" si="2"/>
        <v>7560.342310068494</v>
      </c>
      <c r="H7" s="449">
        <f t="shared" si="2"/>
        <v>7938.359425571919</v>
      </c>
      <c r="J7" s="97"/>
    </row>
    <row r="8" spans="1:10" s="70" customFormat="1" ht="20.100000000000001" customHeight="1" x14ac:dyDescent="0.2">
      <c r="A8" s="450" t="s">
        <v>489</v>
      </c>
      <c r="B8" s="451">
        <f ca="1">Production!C75</f>
        <v>482.51748251748256</v>
      </c>
      <c r="C8" s="451">
        <f ca="1">Production!D75</f>
        <v>723.7762237762239</v>
      </c>
      <c r="D8" s="451">
        <f ca="1">Production!E75</f>
        <v>759.9650349650351</v>
      </c>
      <c r="E8" s="451">
        <f ca="1">Production!F75</f>
        <v>797.96328671328706</v>
      </c>
      <c r="F8" s="451">
        <f ca="1">Production!G75</f>
        <v>837.86145104895115</v>
      </c>
      <c r="G8" s="451">
        <f ca="1">Production!H75</f>
        <v>461.87112489073434</v>
      </c>
      <c r="H8" s="451">
        <f ca="1">Production!I75</f>
        <v>0</v>
      </c>
      <c r="J8" s="97"/>
    </row>
    <row r="9" spans="1:10" s="70" customFormat="1" ht="20.100000000000001" customHeight="1" x14ac:dyDescent="0.2">
      <c r="A9" s="452" t="s">
        <v>478</v>
      </c>
      <c r="B9" s="453">
        <f ca="1">B8/$J$9</f>
        <v>27.761279816074342</v>
      </c>
      <c r="C9" s="453">
        <f t="shared" ref="C9:H9" ca="1" si="3">C8/$J$9</f>
        <v>41.641919724111517</v>
      </c>
      <c r="D9" s="453">
        <f t="shared" ca="1" si="3"/>
        <v>43.72401571031709</v>
      </c>
      <c r="E9" s="453">
        <f t="shared" ca="1" si="3"/>
        <v>45.910216495832955</v>
      </c>
      <c r="F9" s="453">
        <f t="shared" ca="1" si="3"/>
        <v>48.20572732062459</v>
      </c>
      <c r="G9" s="453">
        <f t="shared" ca="1" si="3"/>
        <v>26.573407185494307</v>
      </c>
      <c r="H9" s="453">
        <f t="shared" ca="1" si="3"/>
        <v>0</v>
      </c>
      <c r="J9" s="456">
        <f>365/Parameters!F9</f>
        <v>17.38095238095238</v>
      </c>
    </row>
    <row r="10" spans="1:10" s="70" customFormat="1" ht="20.100000000000001" customHeight="1" x14ac:dyDescent="0.2">
      <c r="A10" s="452" t="s">
        <v>482</v>
      </c>
      <c r="B10" s="453">
        <f ca="1">B9</f>
        <v>27.761279816074342</v>
      </c>
      <c r="C10" s="453">
        <f ca="1">C9-B9</f>
        <v>13.880639908037175</v>
      </c>
      <c r="D10" s="453">
        <f t="shared" ref="D10:H10" ca="1" si="4">D9-C9</f>
        <v>2.082095986205573</v>
      </c>
      <c r="E10" s="453">
        <f t="shared" ca="1" si="4"/>
        <v>2.1862007855158652</v>
      </c>
      <c r="F10" s="453">
        <f t="shared" ca="1" si="4"/>
        <v>2.2955108247916343</v>
      </c>
      <c r="G10" s="453">
        <f t="shared" ca="1" si="4"/>
        <v>-21.632320135130282</v>
      </c>
      <c r="H10" s="453">
        <f t="shared" ca="1" si="4"/>
        <v>-26.573407185494307</v>
      </c>
    </row>
    <row r="11" spans="1:10" s="70" customFormat="1" ht="20.100000000000001" customHeight="1" x14ac:dyDescent="0.2">
      <c r="A11" s="454" t="s">
        <v>454</v>
      </c>
      <c r="B11" s="455">
        <f ca="1">B8-B10</f>
        <v>454.7562027014082</v>
      </c>
      <c r="C11" s="455">
        <f t="shared" ref="C11:H11" ca="1" si="5">C8-C10</f>
        <v>709.89558386818669</v>
      </c>
      <c r="D11" s="455">
        <f t="shared" ca="1" si="5"/>
        <v>757.88293897882954</v>
      </c>
      <c r="E11" s="455">
        <f t="shared" ca="1" si="5"/>
        <v>795.77708592777117</v>
      </c>
      <c r="F11" s="455">
        <f t="shared" ca="1" si="5"/>
        <v>835.56594022415948</v>
      </c>
      <c r="G11" s="455">
        <f t="shared" ca="1" si="5"/>
        <v>483.50344502586461</v>
      </c>
      <c r="H11" s="455">
        <f t="shared" ca="1" si="5"/>
        <v>26.573407185494307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34998626667073579"/>
  </sheetPr>
  <dimension ref="A1:CI34"/>
  <sheetViews>
    <sheetView showGridLines="0" tabSelected="1" zoomScale="85" zoomScaleNormal="85" workbookViewId="0">
      <pane xSplit="3" ySplit="4" topLeftCell="D5" activePane="bottomRight" state="frozen"/>
      <selection activeCell="X40" sqref="X40"/>
      <selection pane="topRight" activeCell="X40" sqref="X40"/>
      <selection pane="bottomLeft" activeCell="X40" sqref="X40"/>
      <selection pane="bottomRight" activeCell="U12" sqref="U12"/>
    </sheetView>
  </sheetViews>
  <sheetFormatPr defaultRowHeight="14.25" x14ac:dyDescent="0.2"/>
  <cols>
    <col min="1" max="1" width="18.125" bestFit="1" customWidth="1"/>
    <col min="2" max="2" width="7.375" bestFit="1" customWidth="1"/>
    <col min="3" max="3" width="3.125" bestFit="1" customWidth="1"/>
    <col min="4" max="87" width="3.625" customWidth="1"/>
  </cols>
  <sheetData>
    <row r="1" spans="1:87" s="388" customFormat="1" ht="18.75" customHeight="1" x14ac:dyDescent="0.2">
      <c r="D1" s="489">
        <v>2019</v>
      </c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90"/>
      <c r="P1" s="491">
        <v>2020</v>
      </c>
      <c r="Q1" s="492"/>
      <c r="R1" s="492"/>
      <c r="S1" s="492"/>
      <c r="T1" s="492"/>
      <c r="U1" s="492"/>
      <c r="V1" s="492"/>
      <c r="W1" s="492"/>
      <c r="X1" s="492"/>
      <c r="Y1" s="492"/>
      <c r="Z1" s="492"/>
      <c r="AA1" s="493"/>
      <c r="AB1" s="488">
        <v>2021</v>
      </c>
      <c r="AC1" s="489"/>
      <c r="AD1" s="489"/>
      <c r="AE1" s="489"/>
      <c r="AF1" s="489"/>
      <c r="AG1" s="489"/>
      <c r="AH1" s="489"/>
      <c r="AI1" s="489"/>
      <c r="AJ1" s="489"/>
      <c r="AK1" s="489"/>
      <c r="AL1" s="489"/>
      <c r="AM1" s="490"/>
      <c r="AN1" s="491">
        <v>2022</v>
      </c>
      <c r="AO1" s="492"/>
      <c r="AP1" s="492"/>
      <c r="AQ1" s="492"/>
      <c r="AR1" s="492"/>
      <c r="AS1" s="492"/>
      <c r="AT1" s="492"/>
      <c r="AU1" s="492"/>
      <c r="AV1" s="492"/>
      <c r="AW1" s="492"/>
      <c r="AX1" s="492"/>
      <c r="AY1" s="493"/>
      <c r="AZ1" s="488">
        <v>2023</v>
      </c>
      <c r="BA1" s="489"/>
      <c r="BB1" s="489"/>
      <c r="BC1" s="489"/>
      <c r="BD1" s="489"/>
      <c r="BE1" s="489"/>
      <c r="BF1" s="489"/>
      <c r="BG1" s="489"/>
      <c r="BH1" s="489"/>
      <c r="BI1" s="489"/>
      <c r="BJ1" s="489"/>
      <c r="BK1" s="490"/>
      <c r="BL1" s="491">
        <v>2024</v>
      </c>
      <c r="BM1" s="492"/>
      <c r="BN1" s="492"/>
      <c r="BO1" s="492"/>
      <c r="BP1" s="492"/>
      <c r="BQ1" s="492"/>
      <c r="BR1" s="492"/>
      <c r="BS1" s="492"/>
      <c r="BT1" s="492"/>
      <c r="BU1" s="492"/>
      <c r="BV1" s="492"/>
      <c r="BW1" s="493"/>
      <c r="BX1" s="488">
        <v>2025</v>
      </c>
      <c r="BY1" s="489"/>
      <c r="BZ1" s="489"/>
      <c r="CA1" s="489"/>
      <c r="CB1" s="489"/>
      <c r="CC1" s="489"/>
      <c r="CD1" s="489"/>
      <c r="CE1" s="489"/>
      <c r="CF1" s="489"/>
      <c r="CG1" s="489"/>
      <c r="CH1" s="489"/>
      <c r="CI1" s="490"/>
    </row>
    <row r="2" spans="1:87" s="388" customFormat="1" ht="18.75" customHeight="1" x14ac:dyDescent="0.2">
      <c r="D2" s="389">
        <v>1</v>
      </c>
      <c r="E2" s="389">
        <v>1</v>
      </c>
      <c r="F2" s="389">
        <v>1</v>
      </c>
      <c r="G2" s="389">
        <v>1</v>
      </c>
      <c r="H2" s="389">
        <v>1</v>
      </c>
      <c r="I2" s="389">
        <v>1</v>
      </c>
      <c r="J2" s="389">
        <v>1</v>
      </c>
      <c r="K2" s="389">
        <v>1</v>
      </c>
      <c r="L2" s="389">
        <v>1</v>
      </c>
      <c r="M2" s="389">
        <v>1</v>
      </c>
      <c r="N2" s="389">
        <v>1</v>
      </c>
      <c r="O2" s="391">
        <v>1</v>
      </c>
      <c r="P2" s="392">
        <v>1</v>
      </c>
      <c r="Q2" s="390">
        <v>1</v>
      </c>
      <c r="R2" s="390">
        <v>1</v>
      </c>
      <c r="S2" s="390">
        <v>1</v>
      </c>
      <c r="T2" s="390">
        <v>1</v>
      </c>
      <c r="U2" s="390">
        <v>1</v>
      </c>
      <c r="V2" s="390">
        <v>1</v>
      </c>
      <c r="W2" s="390">
        <v>1</v>
      </c>
      <c r="X2" s="390">
        <v>1</v>
      </c>
      <c r="Y2" s="390">
        <v>1</v>
      </c>
      <c r="Z2" s="390">
        <v>1</v>
      </c>
      <c r="AA2" s="393">
        <v>1</v>
      </c>
      <c r="AB2" s="394">
        <v>1</v>
      </c>
      <c r="AC2" s="389">
        <v>1</v>
      </c>
      <c r="AD2" s="389">
        <v>1</v>
      </c>
      <c r="AE2" s="389">
        <v>1</v>
      </c>
      <c r="AF2" s="389">
        <v>1</v>
      </c>
      <c r="AG2" s="389">
        <v>1</v>
      </c>
      <c r="AH2" s="389">
        <v>1</v>
      </c>
      <c r="AI2" s="389">
        <v>1</v>
      </c>
      <c r="AJ2" s="389">
        <v>1</v>
      </c>
      <c r="AK2" s="389">
        <v>1</v>
      </c>
      <c r="AL2" s="389">
        <v>1</v>
      </c>
      <c r="AM2" s="391">
        <v>1</v>
      </c>
      <c r="AN2" s="392">
        <v>1</v>
      </c>
      <c r="AO2" s="390">
        <v>1</v>
      </c>
      <c r="AP2" s="390">
        <v>1</v>
      </c>
      <c r="AQ2" s="390">
        <v>1</v>
      </c>
      <c r="AR2" s="390">
        <v>1</v>
      </c>
      <c r="AS2" s="390">
        <v>1</v>
      </c>
      <c r="AT2" s="390">
        <v>1</v>
      </c>
      <c r="AU2" s="390">
        <v>1</v>
      </c>
      <c r="AV2" s="390">
        <v>1</v>
      </c>
      <c r="AW2" s="390">
        <v>1</v>
      </c>
      <c r="AX2" s="390">
        <v>1</v>
      </c>
      <c r="AY2" s="390">
        <v>1</v>
      </c>
      <c r="AZ2" s="394">
        <v>1</v>
      </c>
      <c r="BA2" s="389">
        <v>1</v>
      </c>
      <c r="BB2" s="389">
        <v>1</v>
      </c>
      <c r="BC2" s="389">
        <v>1</v>
      </c>
      <c r="BD2" s="389">
        <v>1</v>
      </c>
      <c r="BE2" s="389">
        <v>1</v>
      </c>
      <c r="BF2" s="389">
        <v>1</v>
      </c>
      <c r="BG2" s="389">
        <v>1</v>
      </c>
      <c r="BH2" s="389">
        <v>1</v>
      </c>
      <c r="BI2" s="389">
        <v>1</v>
      </c>
      <c r="BJ2" s="389">
        <v>1</v>
      </c>
      <c r="BK2" s="391">
        <v>1</v>
      </c>
      <c r="BL2" s="392">
        <v>1</v>
      </c>
      <c r="BM2" s="390">
        <v>1</v>
      </c>
      <c r="BN2" s="390">
        <v>1</v>
      </c>
      <c r="BO2" s="390">
        <v>1</v>
      </c>
      <c r="BP2" s="390">
        <v>1</v>
      </c>
      <c r="BQ2" s="390">
        <v>1</v>
      </c>
      <c r="BR2" s="390">
        <v>1</v>
      </c>
      <c r="BS2" s="390">
        <v>1</v>
      </c>
      <c r="BT2" s="390">
        <v>1</v>
      </c>
      <c r="BU2" s="390">
        <v>1</v>
      </c>
      <c r="BV2" s="390">
        <v>1</v>
      </c>
      <c r="BW2" s="390">
        <v>1</v>
      </c>
      <c r="BX2" s="394">
        <v>1</v>
      </c>
      <c r="BY2" s="389">
        <v>1</v>
      </c>
      <c r="BZ2" s="389">
        <v>1</v>
      </c>
      <c r="CA2" s="389">
        <v>1</v>
      </c>
      <c r="CB2" s="389">
        <v>1</v>
      </c>
      <c r="CC2" s="389">
        <v>1</v>
      </c>
      <c r="CD2" s="389">
        <v>1</v>
      </c>
      <c r="CE2" s="389">
        <v>1</v>
      </c>
      <c r="CF2" s="389">
        <v>1</v>
      </c>
      <c r="CG2" s="389">
        <v>1</v>
      </c>
      <c r="CH2" s="389">
        <v>1</v>
      </c>
      <c r="CI2" s="391">
        <v>1</v>
      </c>
    </row>
    <row r="3" spans="1:87" s="388" customFormat="1" ht="18.75" customHeight="1" x14ac:dyDescent="0.2">
      <c r="D3" s="384">
        <v>1</v>
      </c>
      <c r="E3" s="385">
        <v>2</v>
      </c>
      <c r="F3" s="385">
        <v>3</v>
      </c>
      <c r="G3" s="385">
        <v>4</v>
      </c>
      <c r="H3" s="385">
        <v>5</v>
      </c>
      <c r="I3" s="385">
        <v>6</v>
      </c>
      <c r="J3" s="385">
        <v>7</v>
      </c>
      <c r="K3" s="385">
        <v>8</v>
      </c>
      <c r="L3" s="385">
        <v>9</v>
      </c>
      <c r="M3" s="385">
        <v>10</v>
      </c>
      <c r="N3" s="385">
        <v>11</v>
      </c>
      <c r="O3" s="385">
        <v>12</v>
      </c>
      <c r="P3" s="386">
        <v>1</v>
      </c>
      <c r="Q3" s="386">
        <v>2</v>
      </c>
      <c r="R3" s="386">
        <v>3</v>
      </c>
      <c r="S3" s="386">
        <v>4</v>
      </c>
      <c r="T3" s="386">
        <v>5</v>
      </c>
      <c r="U3" s="386">
        <v>6</v>
      </c>
      <c r="V3" s="386">
        <v>7</v>
      </c>
      <c r="W3" s="386">
        <v>8</v>
      </c>
      <c r="X3" s="386">
        <v>9</v>
      </c>
      <c r="Y3" s="386">
        <v>10</v>
      </c>
      <c r="Z3" s="386">
        <v>11</v>
      </c>
      <c r="AA3" s="387">
        <v>12</v>
      </c>
      <c r="AB3" s="384">
        <v>1</v>
      </c>
      <c r="AC3" s="385">
        <v>2</v>
      </c>
      <c r="AD3" s="385">
        <v>3</v>
      </c>
      <c r="AE3" s="385">
        <v>4</v>
      </c>
      <c r="AF3" s="385">
        <v>5</v>
      </c>
      <c r="AG3" s="385">
        <v>6</v>
      </c>
      <c r="AH3" s="385">
        <v>7</v>
      </c>
      <c r="AI3" s="385">
        <v>8</v>
      </c>
      <c r="AJ3" s="385">
        <v>9</v>
      </c>
      <c r="AK3" s="385">
        <v>10</v>
      </c>
      <c r="AL3" s="385">
        <v>11</v>
      </c>
      <c r="AM3" s="385">
        <v>12</v>
      </c>
      <c r="AN3" s="386">
        <v>1</v>
      </c>
      <c r="AO3" s="386">
        <v>2</v>
      </c>
      <c r="AP3" s="386">
        <v>3</v>
      </c>
      <c r="AQ3" s="386">
        <v>4</v>
      </c>
      <c r="AR3" s="386">
        <v>5</v>
      </c>
      <c r="AS3" s="386">
        <v>6</v>
      </c>
      <c r="AT3" s="386">
        <v>7</v>
      </c>
      <c r="AU3" s="386">
        <v>8</v>
      </c>
      <c r="AV3" s="386">
        <v>9</v>
      </c>
      <c r="AW3" s="386">
        <v>10</v>
      </c>
      <c r="AX3" s="386">
        <v>11</v>
      </c>
      <c r="AY3" s="387">
        <v>12</v>
      </c>
      <c r="AZ3" s="384">
        <v>1</v>
      </c>
      <c r="BA3" s="385">
        <v>2</v>
      </c>
      <c r="BB3" s="385">
        <v>3</v>
      </c>
      <c r="BC3" s="385">
        <v>4</v>
      </c>
      <c r="BD3" s="385">
        <v>5</v>
      </c>
      <c r="BE3" s="385">
        <v>6</v>
      </c>
      <c r="BF3" s="385">
        <v>7</v>
      </c>
      <c r="BG3" s="385">
        <v>8</v>
      </c>
      <c r="BH3" s="385">
        <v>9</v>
      </c>
      <c r="BI3" s="385">
        <v>10</v>
      </c>
      <c r="BJ3" s="385">
        <v>11</v>
      </c>
      <c r="BK3" s="385">
        <v>12</v>
      </c>
      <c r="BL3" s="386">
        <v>1</v>
      </c>
      <c r="BM3" s="386">
        <v>2</v>
      </c>
      <c r="BN3" s="386">
        <v>3</v>
      </c>
      <c r="BO3" s="386">
        <v>4</v>
      </c>
      <c r="BP3" s="386">
        <v>5</v>
      </c>
      <c r="BQ3" s="386">
        <v>6</v>
      </c>
      <c r="BR3" s="386">
        <v>7</v>
      </c>
      <c r="BS3" s="386">
        <v>8</v>
      </c>
      <c r="BT3" s="386">
        <v>9</v>
      </c>
      <c r="BU3" s="386">
        <v>10</v>
      </c>
      <c r="BV3" s="386">
        <v>11</v>
      </c>
      <c r="BW3" s="387">
        <v>12</v>
      </c>
      <c r="BX3" s="384">
        <v>1</v>
      </c>
      <c r="BY3" s="385">
        <v>2</v>
      </c>
      <c r="BZ3" s="385">
        <v>3</v>
      </c>
      <c r="CA3" s="385">
        <v>4</v>
      </c>
      <c r="CB3" s="385">
        <v>5</v>
      </c>
      <c r="CC3" s="385">
        <v>6</v>
      </c>
      <c r="CD3" s="385">
        <v>7</v>
      </c>
      <c r="CE3" s="385">
        <v>8</v>
      </c>
      <c r="CF3" s="385">
        <v>9</v>
      </c>
      <c r="CG3" s="385">
        <v>10</v>
      </c>
      <c r="CH3" s="385">
        <v>11</v>
      </c>
      <c r="CI3" s="385">
        <v>12</v>
      </c>
    </row>
    <row r="4" spans="1:87" x14ac:dyDescent="0.2">
      <c r="A4" s="71" t="s">
        <v>7</v>
      </c>
      <c r="B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</row>
    <row r="5" spans="1:87" x14ac:dyDescent="0.2">
      <c r="A5" s="395" t="s">
        <v>3</v>
      </c>
      <c r="B5" s="395" t="str">
        <f>'Product Mix'!H6</f>
        <v>12 мес.</v>
      </c>
      <c r="C5" s="15">
        <f>LEFT(B5,2)*1</f>
        <v>12</v>
      </c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</row>
    <row r="6" spans="1:87" x14ac:dyDescent="0.2">
      <c r="A6" s="398" t="str">
        <f t="shared" ref="A6:B6" si="0">A5</f>
        <v>Pinot Noir</v>
      </c>
      <c r="B6" s="398" t="str">
        <f t="shared" si="0"/>
        <v>12 мес.</v>
      </c>
      <c r="C6" s="11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</row>
    <row r="7" spans="1:87" x14ac:dyDescent="0.2">
      <c r="A7" s="395" t="s">
        <v>4</v>
      </c>
      <c r="B7" s="395" t="str">
        <f>'Product Mix'!H7</f>
        <v>21 мес.</v>
      </c>
      <c r="C7" s="15">
        <f t="shared" ref="C7:C17" si="1">LEFT(B7,2)*1</f>
        <v>21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</row>
    <row r="8" spans="1:87" x14ac:dyDescent="0.2">
      <c r="A8" s="398" t="str">
        <f t="shared" ref="A8:B8" si="2">A7</f>
        <v>Cabernet Franc</v>
      </c>
      <c r="B8" s="398" t="str">
        <f t="shared" si="2"/>
        <v>21 мес.</v>
      </c>
      <c r="C8" s="11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</row>
    <row r="9" spans="1:87" x14ac:dyDescent="0.2">
      <c r="A9" s="395" t="s">
        <v>5</v>
      </c>
      <c r="B9" s="395" t="str">
        <f>'Product Mix'!H8</f>
        <v>21 мес.</v>
      </c>
      <c r="C9" s="15">
        <f t="shared" si="1"/>
        <v>21</v>
      </c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</row>
    <row r="10" spans="1:87" x14ac:dyDescent="0.2">
      <c r="A10" s="398" t="str">
        <f t="shared" ref="A10:B10" si="3">A9</f>
        <v xml:space="preserve">Cabernet Sauvignon </v>
      </c>
      <c r="B10" s="398" t="str">
        <f t="shared" si="3"/>
        <v>21 мес.</v>
      </c>
      <c r="C10" s="11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</row>
    <row r="11" spans="1:87" x14ac:dyDescent="0.2">
      <c r="A11" s="395" t="s">
        <v>19</v>
      </c>
      <c r="B11" s="395" t="str">
        <f>'Product Mix'!H9</f>
        <v>18 мес.</v>
      </c>
      <c r="C11" s="15">
        <f t="shared" si="1"/>
        <v>18</v>
      </c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</row>
    <row r="12" spans="1:87" x14ac:dyDescent="0.2">
      <c r="A12" s="398" t="str">
        <f t="shared" ref="A12:B12" si="4">A11</f>
        <v>Malbec</v>
      </c>
      <c r="B12" s="398" t="str">
        <f t="shared" si="4"/>
        <v>18 мес.</v>
      </c>
      <c r="C12" s="11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</row>
    <row r="13" spans="1:87" x14ac:dyDescent="0.2">
      <c r="A13" s="395" t="s">
        <v>18</v>
      </c>
      <c r="B13" s="395" t="str">
        <f>'Product Mix'!H10</f>
        <v>12 мес.</v>
      </c>
      <c r="C13" s="15">
        <f t="shared" si="1"/>
        <v>12</v>
      </c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</row>
    <row r="14" spans="1:87" x14ac:dyDescent="0.2">
      <c r="A14" s="398" t="str">
        <f t="shared" ref="A14:B14" si="5">A13</f>
        <v>Grenache</v>
      </c>
      <c r="B14" s="398" t="str">
        <f t="shared" si="5"/>
        <v>12 мес.</v>
      </c>
      <c r="C14" s="11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</row>
    <row r="15" spans="1:87" x14ac:dyDescent="0.2">
      <c r="A15" s="395" t="s">
        <v>6</v>
      </c>
      <c r="B15" s="395" t="str">
        <f>'Product Mix'!H11</f>
        <v>18 мес.</v>
      </c>
      <c r="C15" s="15">
        <f t="shared" si="1"/>
        <v>18</v>
      </c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</row>
    <row r="16" spans="1:87" x14ac:dyDescent="0.2">
      <c r="A16" s="398" t="str">
        <f t="shared" ref="A16:B16" si="6">A15</f>
        <v xml:space="preserve">Merlot </v>
      </c>
      <c r="B16" s="398" t="str">
        <f t="shared" si="6"/>
        <v>18 мес.</v>
      </c>
      <c r="C16" s="11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95"/>
      <c r="AA16" s="395"/>
      <c r="AB16" s="395"/>
      <c r="AC16" s="395"/>
      <c r="AD16" s="395"/>
      <c r="AE16" s="395"/>
      <c r="AF16" s="395"/>
      <c r="AG16" s="395"/>
      <c r="AH16" s="395"/>
      <c r="AI16" s="395"/>
      <c r="AJ16" s="395"/>
      <c r="AK16" s="395"/>
      <c r="AL16" s="395"/>
      <c r="AM16" s="395"/>
      <c r="AN16" s="395"/>
      <c r="AO16" s="395"/>
      <c r="AP16" s="395"/>
      <c r="AQ16" s="395"/>
      <c r="AR16" s="395"/>
      <c r="AS16" s="395"/>
      <c r="AT16" s="395"/>
      <c r="AU16" s="395"/>
      <c r="AV16" s="395"/>
      <c r="AW16" s="395"/>
      <c r="AX16" s="395"/>
      <c r="AY16" s="395"/>
      <c r="AZ16" s="395"/>
      <c r="BA16" s="395"/>
      <c r="BB16" s="395"/>
      <c r="BC16" s="395"/>
      <c r="BD16" s="395"/>
      <c r="BE16" s="395"/>
      <c r="BF16" s="395"/>
      <c r="BG16" s="395"/>
      <c r="BH16" s="395"/>
      <c r="BI16" s="395"/>
      <c r="BJ16" s="395"/>
      <c r="BK16" s="395"/>
      <c r="BL16" s="395"/>
      <c r="BM16" s="395"/>
      <c r="BN16" s="395"/>
      <c r="BO16" s="395"/>
      <c r="BP16" s="395"/>
      <c r="BQ16" s="395"/>
      <c r="BR16" s="395"/>
      <c r="BS16" s="395"/>
      <c r="BT16" s="395"/>
      <c r="BU16" s="395"/>
      <c r="BV16" s="395"/>
      <c r="BW16" s="395"/>
      <c r="BX16" s="395"/>
      <c r="BY16" s="395"/>
      <c r="BZ16" s="395"/>
      <c r="CA16" s="395"/>
      <c r="CB16" s="395"/>
      <c r="CC16" s="395"/>
      <c r="CD16" s="395"/>
      <c r="CE16" s="395"/>
      <c r="CF16" s="395"/>
      <c r="CG16" s="395"/>
      <c r="CH16" s="395"/>
      <c r="CI16" s="395"/>
    </row>
    <row r="17" spans="1:87" x14ac:dyDescent="0.2">
      <c r="A17" s="395" t="s">
        <v>17</v>
      </c>
      <c r="B17" s="395" t="str">
        <f>'Product Mix'!H12</f>
        <v>21 мес.</v>
      </c>
      <c r="C17" s="15">
        <f t="shared" si="1"/>
        <v>21</v>
      </c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</row>
    <row r="18" spans="1:87" x14ac:dyDescent="0.2">
      <c r="A18" s="398" t="str">
        <f t="shared" ref="A18:B18" si="7">A17</f>
        <v>Syrah (Shiraz)</v>
      </c>
      <c r="B18" s="398" t="str">
        <f t="shared" si="7"/>
        <v>21 мес.</v>
      </c>
      <c r="C18" s="11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</row>
    <row r="19" spans="1:87" x14ac:dyDescent="0.2">
      <c r="A19" s="397"/>
      <c r="B19" s="397"/>
      <c r="C19" s="35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</row>
    <row r="20" spans="1:87" x14ac:dyDescent="0.2">
      <c r="A20" s="71" t="s">
        <v>8</v>
      </c>
      <c r="B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</row>
    <row r="21" spans="1:87" x14ac:dyDescent="0.2">
      <c r="A21" s="395" t="s">
        <v>1</v>
      </c>
      <c r="B21" s="395" t="str">
        <f>'Product Mix'!H15</f>
        <v>21 мес.</v>
      </c>
      <c r="C21" s="15">
        <f>LEFT(B21,2)*1</f>
        <v>21</v>
      </c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</row>
    <row r="22" spans="1:87" x14ac:dyDescent="0.2">
      <c r="A22" s="398" t="str">
        <f t="shared" ref="A22:B22" si="8">A21</f>
        <v xml:space="preserve">Chardonnay </v>
      </c>
      <c r="B22" s="398" t="str">
        <f t="shared" si="8"/>
        <v>21 мес.</v>
      </c>
      <c r="C22" s="11"/>
      <c r="D22" s="396"/>
      <c r="E22" s="396"/>
      <c r="F22" s="396"/>
      <c r="G22" s="396"/>
      <c r="H22" s="396"/>
      <c r="I22" s="396"/>
      <c r="J22" s="396"/>
      <c r="K22" s="396"/>
      <c r="L22" s="396"/>
      <c r="M22" s="396"/>
      <c r="N22" s="396"/>
      <c r="O22" s="396"/>
      <c r="P22" s="396"/>
      <c r="Q22" s="396"/>
      <c r="R22" s="396"/>
      <c r="S22" s="396"/>
      <c r="T22" s="396"/>
      <c r="U22" s="396"/>
      <c r="V22" s="396"/>
      <c r="W22" s="396"/>
      <c r="X22" s="396"/>
      <c r="Y22" s="396"/>
      <c r="Z22" s="396"/>
      <c r="AA22" s="396"/>
      <c r="AB22" s="396"/>
      <c r="AC22" s="396"/>
      <c r="AD22" s="396"/>
      <c r="AE22" s="396"/>
      <c r="AF22" s="396"/>
      <c r="AG22" s="396"/>
      <c r="AH22" s="396"/>
      <c r="AI22" s="396"/>
      <c r="AJ22" s="396"/>
      <c r="AK22" s="396"/>
      <c r="AL22" s="396"/>
      <c r="AM22" s="396"/>
      <c r="AN22" s="396"/>
      <c r="AO22" s="396"/>
      <c r="AP22" s="396"/>
      <c r="AQ22" s="396"/>
      <c r="AR22" s="396"/>
      <c r="AS22" s="396"/>
      <c r="AT22" s="396"/>
      <c r="AU22" s="396"/>
      <c r="AV22" s="396"/>
      <c r="AW22" s="396"/>
      <c r="AX22" s="396"/>
      <c r="AY22" s="396"/>
      <c r="AZ22" s="396"/>
      <c r="BA22" s="396"/>
      <c r="BB22" s="396"/>
      <c r="BC22" s="396"/>
      <c r="BD22" s="396"/>
      <c r="BE22" s="396"/>
      <c r="BF22" s="396"/>
      <c r="BG22" s="396"/>
      <c r="BH22" s="396"/>
      <c r="BI22" s="396"/>
      <c r="BJ22" s="396"/>
      <c r="BK22" s="396"/>
      <c r="BL22" s="396"/>
      <c r="BM22" s="396"/>
      <c r="BN22" s="396"/>
      <c r="BO22" s="396"/>
      <c r="BP22" s="396"/>
      <c r="BQ22" s="396"/>
      <c r="BR22" s="396"/>
      <c r="BS22" s="396"/>
      <c r="BT22" s="396"/>
      <c r="BU22" s="396"/>
      <c r="BV22" s="396"/>
      <c r="BW22" s="396"/>
      <c r="BX22" s="396"/>
      <c r="BY22" s="396"/>
      <c r="BZ22" s="396"/>
      <c r="CA22" s="396"/>
      <c r="CB22" s="396"/>
      <c r="CC22" s="396"/>
      <c r="CD22" s="396"/>
      <c r="CE22" s="396"/>
      <c r="CF22" s="396"/>
      <c r="CG22" s="396"/>
      <c r="CH22" s="396"/>
      <c r="CI22" s="396"/>
    </row>
    <row r="23" spans="1:87" x14ac:dyDescent="0.2">
      <c r="A23" s="395" t="s">
        <v>12</v>
      </c>
      <c r="B23" s="395" t="str">
        <f>'Product Mix'!H16</f>
        <v>12 мес.</v>
      </c>
      <c r="C23" s="15">
        <f t="shared" ref="C23:C33" si="9">LEFT(B23,2)*1</f>
        <v>12</v>
      </c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</row>
    <row r="24" spans="1:87" x14ac:dyDescent="0.2">
      <c r="A24" s="398" t="str">
        <f t="shared" ref="A24:B24" si="10">A23</f>
        <v>Sauvignon blanc</v>
      </c>
      <c r="B24" s="398" t="str">
        <f t="shared" si="10"/>
        <v>12 мес.</v>
      </c>
      <c r="C24" s="11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</row>
    <row r="25" spans="1:87" x14ac:dyDescent="0.2">
      <c r="A25" s="395" t="s">
        <v>13</v>
      </c>
      <c r="B25" s="395" t="str">
        <f>'Product Mix'!H17</f>
        <v>18 мес.</v>
      </c>
      <c r="C25" s="15">
        <f t="shared" si="9"/>
        <v>18</v>
      </c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</row>
    <row r="26" spans="1:87" x14ac:dyDescent="0.2">
      <c r="A26" s="398" t="str">
        <f t="shared" ref="A26:B26" si="11">A25</f>
        <v>Semillon</v>
      </c>
      <c r="B26" s="398" t="str">
        <f t="shared" si="11"/>
        <v>18 мес.</v>
      </c>
      <c r="C26" s="11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</row>
    <row r="27" spans="1:87" x14ac:dyDescent="0.2">
      <c r="A27" s="395" t="s">
        <v>14</v>
      </c>
      <c r="B27" s="395" t="str">
        <f>'Product Mix'!H18</f>
        <v>21 мес.</v>
      </c>
      <c r="C27" s="15">
        <f t="shared" si="9"/>
        <v>21</v>
      </c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</row>
    <row r="28" spans="1:87" x14ac:dyDescent="0.2">
      <c r="A28" s="398" t="str">
        <f t="shared" ref="A28:B28" si="12">A27</f>
        <v>Moscato</v>
      </c>
      <c r="B28" s="398" t="str">
        <f t="shared" si="12"/>
        <v>21 мес.</v>
      </c>
      <c r="C28" s="11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74"/>
      <c r="CB28" s="74"/>
      <c r="CC28" s="74"/>
      <c r="CD28" s="74"/>
      <c r="CE28" s="74"/>
      <c r="CF28" s="74"/>
      <c r="CG28" s="74"/>
      <c r="CH28" s="74"/>
      <c r="CI28" s="74"/>
    </row>
    <row r="29" spans="1:87" x14ac:dyDescent="0.2">
      <c r="A29" s="395" t="s">
        <v>15</v>
      </c>
      <c r="B29" s="395" t="str">
        <f>'Product Mix'!H19</f>
        <v>18 мес.</v>
      </c>
      <c r="C29" s="15">
        <f t="shared" si="9"/>
        <v>18</v>
      </c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  <c r="CC29" s="74"/>
      <c r="CD29" s="74"/>
      <c r="CE29" s="74"/>
      <c r="CF29" s="74"/>
      <c r="CG29" s="74"/>
      <c r="CH29" s="74"/>
      <c r="CI29" s="74"/>
    </row>
    <row r="30" spans="1:87" x14ac:dyDescent="0.2">
      <c r="A30" s="398" t="str">
        <f t="shared" ref="A30:B30" si="13">A29</f>
        <v>Pinot grigio</v>
      </c>
      <c r="B30" s="398" t="str">
        <f t="shared" si="13"/>
        <v>18 мес.</v>
      </c>
      <c r="C30" s="11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</row>
    <row r="31" spans="1:87" x14ac:dyDescent="0.2">
      <c r="A31" s="395" t="s">
        <v>2</v>
      </c>
      <c r="B31" s="395" t="str">
        <f>'Product Mix'!H20</f>
        <v>18 мес.</v>
      </c>
      <c r="C31" s="15">
        <f t="shared" si="9"/>
        <v>18</v>
      </c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</row>
    <row r="32" spans="1:87" x14ac:dyDescent="0.2">
      <c r="A32" s="398" t="str">
        <f t="shared" ref="A32:B32" si="14">A31</f>
        <v xml:space="preserve">Riesling </v>
      </c>
      <c r="B32" s="398" t="str">
        <f t="shared" si="14"/>
        <v>18 мес.</v>
      </c>
      <c r="C32" s="11"/>
      <c r="D32" s="395"/>
      <c r="E32" s="395"/>
      <c r="F32" s="395"/>
      <c r="G32" s="395"/>
      <c r="H32" s="395"/>
      <c r="I32" s="395"/>
      <c r="J32" s="395"/>
      <c r="K32" s="395"/>
      <c r="L32" s="395"/>
      <c r="M32" s="395"/>
      <c r="N32" s="395"/>
      <c r="O32" s="395"/>
      <c r="P32" s="395"/>
      <c r="Q32" s="395"/>
      <c r="R32" s="395"/>
      <c r="S32" s="395"/>
      <c r="T32" s="395"/>
      <c r="U32" s="395"/>
      <c r="V32" s="395"/>
      <c r="W32" s="395"/>
      <c r="X32" s="395"/>
      <c r="Y32" s="395"/>
      <c r="Z32" s="395"/>
      <c r="AA32" s="395"/>
      <c r="AB32" s="395"/>
      <c r="AC32" s="395"/>
      <c r="AD32" s="395"/>
      <c r="AE32" s="395"/>
      <c r="AF32" s="395"/>
      <c r="AG32" s="395"/>
      <c r="AH32" s="395"/>
      <c r="AI32" s="395"/>
      <c r="AJ32" s="395"/>
      <c r="AK32" s="395"/>
      <c r="AL32" s="395"/>
      <c r="AM32" s="395"/>
      <c r="AN32" s="395"/>
      <c r="AO32" s="395"/>
      <c r="AP32" s="395"/>
      <c r="AQ32" s="395"/>
      <c r="AR32" s="395"/>
      <c r="AS32" s="395"/>
      <c r="AT32" s="395"/>
      <c r="AU32" s="395"/>
      <c r="AV32" s="395"/>
      <c r="AW32" s="395"/>
      <c r="AX32" s="395"/>
      <c r="AY32" s="395"/>
      <c r="AZ32" s="395"/>
      <c r="BA32" s="395"/>
      <c r="BB32" s="395"/>
      <c r="BC32" s="395"/>
      <c r="BD32" s="395"/>
      <c r="BE32" s="395"/>
      <c r="BF32" s="395"/>
      <c r="BG32" s="395"/>
      <c r="BH32" s="395"/>
      <c r="BI32" s="395"/>
      <c r="BJ32" s="395"/>
      <c r="BK32" s="395"/>
      <c r="BL32" s="395"/>
      <c r="BM32" s="395"/>
      <c r="BN32" s="395"/>
      <c r="BO32" s="395"/>
      <c r="BP32" s="395"/>
      <c r="BQ32" s="395"/>
      <c r="BR32" s="395"/>
      <c r="BS32" s="395"/>
      <c r="BT32" s="395"/>
      <c r="BU32" s="395"/>
      <c r="BV32" s="395"/>
      <c r="BW32" s="395"/>
      <c r="BX32" s="395"/>
      <c r="BY32" s="395"/>
      <c r="BZ32" s="395"/>
      <c r="CA32" s="395"/>
      <c r="CB32" s="395"/>
      <c r="CC32" s="395"/>
      <c r="CD32" s="395"/>
      <c r="CE32" s="395"/>
      <c r="CF32" s="395"/>
      <c r="CG32" s="395"/>
      <c r="CH32" s="395"/>
      <c r="CI32" s="395"/>
    </row>
    <row r="33" spans="1:87" x14ac:dyDescent="0.2">
      <c r="A33" s="395" t="s">
        <v>16</v>
      </c>
      <c r="B33" s="395" t="str">
        <f>'Product Mix'!H21</f>
        <v>18 мес.</v>
      </c>
      <c r="C33" s="15">
        <f t="shared" si="9"/>
        <v>18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</row>
    <row r="34" spans="1:87" x14ac:dyDescent="0.2">
      <c r="A34" s="398" t="str">
        <f t="shared" ref="A34:B34" si="15">A33</f>
        <v>Verdelho</v>
      </c>
      <c r="B34" s="398" t="str">
        <f t="shared" si="15"/>
        <v>18 мес.</v>
      </c>
      <c r="C34" s="11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</row>
  </sheetData>
  <mergeCells count="7">
    <mergeCell ref="BX1:CI1"/>
    <mergeCell ref="D1:O1"/>
    <mergeCell ref="P1:AA1"/>
    <mergeCell ref="AB1:AM1"/>
    <mergeCell ref="AN1:AY1"/>
    <mergeCell ref="AZ1:BK1"/>
    <mergeCell ref="BL1:BW1"/>
  </mergeCells>
  <pageMargins left="0.7" right="0.7" top="0.75" bottom="0.75" header="0.3" footer="0.3"/>
  <ignoredErrors>
    <ignoredError sqref="B7:B3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47"/>
  <sheetViews>
    <sheetView showGridLines="0" zoomScale="90" zoomScaleNormal="90" workbookViewId="0">
      <selection activeCell="E30" sqref="E30"/>
    </sheetView>
  </sheetViews>
  <sheetFormatPr defaultRowHeight="14.25" outlineLevelRow="1" x14ac:dyDescent="0.2"/>
  <cols>
    <col min="1" max="1" width="28.875" customWidth="1"/>
    <col min="3" max="3" width="6.625" customWidth="1"/>
    <col min="5" max="5" width="35.125" bestFit="1" customWidth="1"/>
    <col min="7" max="7" width="3.625" bestFit="1" customWidth="1"/>
  </cols>
  <sheetData>
    <row r="2" spans="1:7" ht="15" thickBot="1" x14ac:dyDescent="0.25">
      <c r="A2" s="1" t="s">
        <v>371</v>
      </c>
    </row>
    <row r="3" spans="1:7" x14ac:dyDescent="0.2">
      <c r="A3" s="329" t="s">
        <v>76</v>
      </c>
      <c r="B3" s="339">
        <v>0.05</v>
      </c>
    </row>
    <row r="4" spans="1:7" x14ac:dyDescent="0.2">
      <c r="A4" s="412" t="s">
        <v>372</v>
      </c>
      <c r="B4" s="413">
        <v>0.15</v>
      </c>
    </row>
    <row r="5" spans="1:7" ht="15" thickBot="1" x14ac:dyDescent="0.25">
      <c r="A5" s="330" t="s">
        <v>443</v>
      </c>
      <c r="B5" s="340">
        <v>0.15</v>
      </c>
    </row>
    <row r="7" spans="1:7" x14ac:dyDescent="0.2">
      <c r="A7" s="1" t="s">
        <v>370</v>
      </c>
      <c r="E7" s="1" t="s">
        <v>484</v>
      </c>
    </row>
    <row r="8" spans="1:7" x14ac:dyDescent="0.2">
      <c r="A8" s="331" t="s">
        <v>56</v>
      </c>
      <c r="B8" s="332">
        <v>3.7854117839999999</v>
      </c>
      <c r="C8" s="361" t="s">
        <v>61</v>
      </c>
      <c r="E8" s="331" t="s">
        <v>485</v>
      </c>
      <c r="F8" s="458">
        <v>21</v>
      </c>
      <c r="G8" s="361" t="s">
        <v>486</v>
      </c>
    </row>
    <row r="9" spans="1:7" x14ac:dyDescent="0.2">
      <c r="A9" s="333" t="s">
        <v>62</v>
      </c>
      <c r="B9" s="334">
        <v>12</v>
      </c>
      <c r="C9" s="362" t="s">
        <v>63</v>
      </c>
      <c r="E9" s="335" t="s">
        <v>487</v>
      </c>
      <c r="F9" s="459">
        <v>21</v>
      </c>
      <c r="G9" s="363" t="s">
        <v>486</v>
      </c>
    </row>
    <row r="10" spans="1:7" x14ac:dyDescent="0.2">
      <c r="A10" s="335" t="s">
        <v>64</v>
      </c>
      <c r="B10" s="336">
        <v>0.75</v>
      </c>
      <c r="C10" s="363" t="s">
        <v>65</v>
      </c>
    </row>
    <row r="13" spans="1:7" x14ac:dyDescent="0.2">
      <c r="A13" s="1" t="s">
        <v>378</v>
      </c>
    </row>
    <row r="14" spans="1:7" ht="18" customHeight="1" x14ac:dyDescent="0.2">
      <c r="A14" s="337" t="s">
        <v>407</v>
      </c>
      <c r="B14" s="353">
        <f>SUM(B15:B21)</f>
        <v>20.11</v>
      </c>
      <c r="C14" s="354" t="s">
        <v>22</v>
      </c>
    </row>
    <row r="15" spans="1:7" ht="18" customHeight="1" outlineLevel="1" x14ac:dyDescent="0.2">
      <c r="A15" s="348" t="s">
        <v>399</v>
      </c>
      <c r="B15" s="346">
        <v>1.7</v>
      </c>
      <c r="C15" s="355" t="s">
        <v>22</v>
      </c>
    </row>
    <row r="16" spans="1:7" ht="18" customHeight="1" outlineLevel="1" x14ac:dyDescent="0.2">
      <c r="A16" s="349" t="s">
        <v>400</v>
      </c>
      <c r="B16" s="345">
        <v>2.39</v>
      </c>
      <c r="C16" s="354" t="s">
        <v>22</v>
      </c>
    </row>
    <row r="17" spans="1:3" ht="18" customHeight="1" outlineLevel="1" x14ac:dyDescent="0.2">
      <c r="A17" s="349" t="s">
        <v>398</v>
      </c>
      <c r="B17" s="345">
        <v>1.7</v>
      </c>
      <c r="C17" s="354" t="s">
        <v>22</v>
      </c>
    </row>
    <row r="18" spans="1:3" ht="18" customHeight="1" outlineLevel="1" x14ac:dyDescent="0.2">
      <c r="A18" s="349" t="s">
        <v>401</v>
      </c>
      <c r="B18" s="345">
        <v>3.41</v>
      </c>
      <c r="C18" s="354" t="s">
        <v>22</v>
      </c>
    </row>
    <row r="19" spans="1:3" ht="18" customHeight="1" outlineLevel="1" x14ac:dyDescent="0.2">
      <c r="A19" s="349" t="s">
        <v>402</v>
      </c>
      <c r="B19" s="345">
        <v>6.82</v>
      </c>
      <c r="C19" s="354" t="s">
        <v>22</v>
      </c>
    </row>
    <row r="20" spans="1:3" ht="18" customHeight="1" outlineLevel="1" x14ac:dyDescent="0.2">
      <c r="A20" s="349" t="s">
        <v>403</v>
      </c>
      <c r="B20" s="345">
        <v>1.36</v>
      </c>
      <c r="C20" s="354" t="s">
        <v>22</v>
      </c>
    </row>
    <row r="21" spans="1:3" ht="18" customHeight="1" outlineLevel="1" x14ac:dyDescent="0.2">
      <c r="A21" s="349" t="s">
        <v>404</v>
      </c>
      <c r="B21" s="345">
        <v>2.73</v>
      </c>
      <c r="C21" s="354" t="s">
        <v>22</v>
      </c>
    </row>
    <row r="22" spans="1:3" ht="18" customHeight="1" x14ac:dyDescent="0.2">
      <c r="A22" s="337" t="s">
        <v>408</v>
      </c>
      <c r="B22" s="353">
        <f>SUM(B23:B24)</f>
        <v>10.23</v>
      </c>
      <c r="C22" s="354" t="s">
        <v>22</v>
      </c>
    </row>
    <row r="23" spans="1:3" ht="18" customHeight="1" outlineLevel="1" x14ac:dyDescent="0.2">
      <c r="A23" s="348" t="s">
        <v>405</v>
      </c>
      <c r="B23" s="346">
        <v>6.82</v>
      </c>
      <c r="C23" s="355" t="s">
        <v>22</v>
      </c>
    </row>
    <row r="24" spans="1:3" ht="18" customHeight="1" outlineLevel="1" x14ac:dyDescent="0.2">
      <c r="A24" s="349" t="s">
        <v>406</v>
      </c>
      <c r="B24" s="345">
        <v>3.41</v>
      </c>
      <c r="C24" s="354" t="s">
        <v>22</v>
      </c>
    </row>
    <row r="25" spans="1:3" ht="18" customHeight="1" x14ac:dyDescent="0.2">
      <c r="A25" s="337" t="s">
        <v>366</v>
      </c>
      <c r="B25" s="342">
        <f>B26+SUM(B27:B28)/1000+B29</f>
        <v>10.85</v>
      </c>
      <c r="C25" s="356" t="s">
        <v>368</v>
      </c>
    </row>
    <row r="26" spans="1:3" ht="18" customHeight="1" outlineLevel="1" x14ac:dyDescent="0.2">
      <c r="A26" s="348" t="s">
        <v>379</v>
      </c>
      <c r="B26" s="346">
        <v>10</v>
      </c>
      <c r="C26" s="355" t="s">
        <v>368</v>
      </c>
    </row>
    <row r="27" spans="1:3" ht="18" customHeight="1" outlineLevel="1" x14ac:dyDescent="0.2">
      <c r="A27" s="349" t="s">
        <v>374</v>
      </c>
      <c r="B27" s="345">
        <v>250</v>
      </c>
      <c r="C27" s="354" t="s">
        <v>373</v>
      </c>
    </row>
    <row r="28" spans="1:3" ht="18" customHeight="1" outlineLevel="1" x14ac:dyDescent="0.2">
      <c r="A28" s="349" t="s">
        <v>375</v>
      </c>
      <c r="B28" s="345">
        <v>100</v>
      </c>
      <c r="C28" s="354" t="s">
        <v>373</v>
      </c>
    </row>
    <row r="29" spans="1:3" ht="18" customHeight="1" outlineLevel="1" x14ac:dyDescent="0.2">
      <c r="A29" s="350" t="s">
        <v>376</v>
      </c>
      <c r="B29" s="347">
        <v>0.5</v>
      </c>
      <c r="C29" s="357" t="s">
        <v>377</v>
      </c>
    </row>
    <row r="30" spans="1:3" ht="18" customHeight="1" x14ac:dyDescent="0.2">
      <c r="A30" s="337" t="s">
        <v>367</v>
      </c>
      <c r="B30" s="343">
        <v>3.5</v>
      </c>
      <c r="C30" s="358" t="s">
        <v>368</v>
      </c>
    </row>
    <row r="31" spans="1:3" ht="18" customHeight="1" x14ac:dyDescent="0.2">
      <c r="A31" s="337" t="s">
        <v>369</v>
      </c>
      <c r="B31" s="343">
        <v>5</v>
      </c>
      <c r="C31" s="358" t="s">
        <v>368</v>
      </c>
    </row>
    <row r="32" spans="1:3" ht="18" customHeight="1" x14ac:dyDescent="0.2">
      <c r="A32" s="337" t="s">
        <v>426</v>
      </c>
      <c r="B32" s="344">
        <v>1000</v>
      </c>
      <c r="C32" s="358" t="s">
        <v>380</v>
      </c>
    </row>
    <row r="33" spans="1:3" ht="18" customHeight="1" x14ac:dyDescent="0.2">
      <c r="A33" s="337" t="s">
        <v>427</v>
      </c>
      <c r="B33" s="344">
        <v>2500</v>
      </c>
      <c r="C33" s="358" t="s">
        <v>428</v>
      </c>
    </row>
    <row r="34" spans="1:3" ht="18" customHeight="1" x14ac:dyDescent="0.2">
      <c r="A34" s="337" t="s">
        <v>381</v>
      </c>
      <c r="B34" s="344">
        <v>1000</v>
      </c>
      <c r="C34" s="358" t="s">
        <v>380</v>
      </c>
    </row>
    <row r="35" spans="1:3" ht="18" customHeight="1" x14ac:dyDescent="0.2">
      <c r="A35" s="337" t="s">
        <v>382</v>
      </c>
      <c r="B35" s="344">
        <v>1500</v>
      </c>
      <c r="C35" s="358" t="s">
        <v>380</v>
      </c>
    </row>
    <row r="36" spans="1:3" ht="18" customHeight="1" x14ac:dyDescent="0.2">
      <c r="A36" s="337" t="s">
        <v>383</v>
      </c>
      <c r="B36" s="342">
        <f>SUM(B37:B38)</f>
        <v>900</v>
      </c>
      <c r="C36" s="358" t="s">
        <v>380</v>
      </c>
    </row>
    <row r="37" spans="1:3" ht="18" customHeight="1" outlineLevel="1" x14ac:dyDescent="0.2">
      <c r="A37" s="349" t="s">
        <v>384</v>
      </c>
      <c r="B37" s="345">
        <v>400</v>
      </c>
      <c r="C37" s="354" t="s">
        <v>380</v>
      </c>
    </row>
    <row r="38" spans="1:3" ht="18" customHeight="1" outlineLevel="1" x14ac:dyDescent="0.2">
      <c r="A38" s="349" t="s">
        <v>385</v>
      </c>
      <c r="B38" s="345">
        <v>500</v>
      </c>
      <c r="C38" s="354" t="s">
        <v>380</v>
      </c>
    </row>
    <row r="39" spans="1:3" ht="18" customHeight="1" x14ac:dyDescent="0.2">
      <c r="A39" s="337" t="s">
        <v>390</v>
      </c>
      <c r="B39" s="462">
        <v>2.5000000000000001E-2</v>
      </c>
      <c r="C39" s="358" t="s">
        <v>115</v>
      </c>
    </row>
    <row r="40" spans="1:3" ht="18" customHeight="1" x14ac:dyDescent="0.2">
      <c r="A40" s="337" t="s">
        <v>396</v>
      </c>
      <c r="B40" s="462">
        <v>1.4999999999999999E-2</v>
      </c>
      <c r="C40" s="358" t="s">
        <v>397</v>
      </c>
    </row>
    <row r="43" spans="1:3" x14ac:dyDescent="0.2">
      <c r="A43" s="341" t="s">
        <v>386</v>
      </c>
      <c r="B43" s="338"/>
      <c r="C43" s="337"/>
    </row>
    <row r="44" spans="1:3" x14ac:dyDescent="0.2">
      <c r="A44" s="351" t="s">
        <v>387</v>
      </c>
      <c r="C44" s="352" t="s">
        <v>392</v>
      </c>
    </row>
    <row r="45" spans="1:3" x14ac:dyDescent="0.2">
      <c r="A45" s="351" t="s">
        <v>391</v>
      </c>
      <c r="C45" s="352" t="s">
        <v>393</v>
      </c>
    </row>
    <row r="46" spans="1:3" x14ac:dyDescent="0.2">
      <c r="A46" s="351" t="s">
        <v>388</v>
      </c>
      <c r="C46" s="352" t="s">
        <v>394</v>
      </c>
    </row>
    <row r="47" spans="1:3" x14ac:dyDescent="0.2">
      <c r="A47" s="351" t="s">
        <v>389</v>
      </c>
      <c r="C47" s="352" t="s">
        <v>395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S63"/>
  <sheetViews>
    <sheetView showGridLines="0" topLeftCell="B13" workbookViewId="0">
      <selection activeCell="H10" sqref="H10"/>
    </sheetView>
  </sheetViews>
  <sheetFormatPr defaultRowHeight="14.25" x14ac:dyDescent="0.2"/>
  <cols>
    <col min="2" max="2" width="18" bestFit="1" customWidth="1"/>
    <col min="3" max="9" width="10.875" customWidth="1"/>
    <col min="11" max="11" width="9" style="365"/>
  </cols>
  <sheetData>
    <row r="1" spans="2:19" x14ac:dyDescent="0.2">
      <c r="C1" s="377">
        <v>1</v>
      </c>
      <c r="D1" s="378">
        <v>2</v>
      </c>
      <c r="E1" s="378">
        <v>3</v>
      </c>
      <c r="F1" s="378">
        <v>4</v>
      </c>
      <c r="G1" s="378">
        <v>5</v>
      </c>
      <c r="H1" s="378">
        <v>6</v>
      </c>
      <c r="I1" s="379">
        <v>7</v>
      </c>
    </row>
    <row r="3" spans="2:19" x14ac:dyDescent="0.2">
      <c r="B3" s="1" t="s">
        <v>111</v>
      </c>
      <c r="I3" s="28" t="s">
        <v>66</v>
      </c>
    </row>
    <row r="4" spans="2:19" s="70" customFormat="1" ht="21" x14ac:dyDescent="0.2">
      <c r="B4" s="130" t="s">
        <v>109</v>
      </c>
      <c r="C4" s="130">
        <v>2019</v>
      </c>
      <c r="D4" s="131">
        <v>2020</v>
      </c>
      <c r="E4" s="131">
        <v>2021</v>
      </c>
      <c r="F4" s="131">
        <v>2022</v>
      </c>
      <c r="G4" s="131">
        <v>2023</v>
      </c>
      <c r="H4" s="132">
        <v>2024</v>
      </c>
      <c r="I4" s="131">
        <v>2025</v>
      </c>
      <c r="K4" s="373" t="s">
        <v>417</v>
      </c>
      <c r="L4" s="373" t="s">
        <v>419</v>
      </c>
      <c r="N4" s="372"/>
      <c r="O4" s="372"/>
      <c r="P4" s="372"/>
      <c r="Q4" s="372"/>
      <c r="R4" s="372"/>
    </row>
    <row r="5" spans="2:19" x14ac:dyDescent="0.2">
      <c r="B5" s="10" t="s">
        <v>7</v>
      </c>
      <c r="C5" s="10"/>
      <c r="D5" s="10"/>
      <c r="E5" s="10"/>
      <c r="F5" s="10"/>
      <c r="G5" s="10"/>
      <c r="H5" s="10"/>
      <c r="I5" s="10"/>
      <c r="L5" s="33"/>
      <c r="N5" s="31"/>
      <c r="O5" s="31"/>
      <c r="P5" s="31"/>
      <c r="Q5" s="31"/>
      <c r="R5" s="31"/>
      <c r="S5" s="30"/>
    </row>
    <row r="6" spans="2:19" x14ac:dyDescent="0.2">
      <c r="B6" s="4" t="s">
        <v>3</v>
      </c>
      <c r="C6" s="380">
        <v>0</v>
      </c>
      <c r="D6" s="380">
        <v>3000</v>
      </c>
      <c r="E6" s="380">
        <v>3000</v>
      </c>
      <c r="F6" s="380">
        <v>3000</v>
      </c>
      <c r="G6" s="380">
        <v>3000</v>
      </c>
      <c r="H6" s="380">
        <v>3000</v>
      </c>
      <c r="I6" s="380">
        <v>3000</v>
      </c>
      <c r="K6" s="199">
        <f t="shared" ref="K6:K12" si="0">VLOOKUP(B6,price,15,FALSE)</f>
        <v>2</v>
      </c>
      <c r="L6" s="383" t="str">
        <f t="shared" ref="L6:L12" ca="1" si="1">IF(SUM(OFFSET(C6,0,0,1,K6-1))&gt;0,"Ошибка","Ок!")</f>
        <v>Ок!</v>
      </c>
      <c r="O6" s="31"/>
      <c r="P6" s="31"/>
      <c r="Q6" s="32"/>
      <c r="S6" s="30"/>
    </row>
    <row r="7" spans="2:19" x14ac:dyDescent="0.2">
      <c r="B7" s="5" t="s">
        <v>4</v>
      </c>
      <c r="C7" s="381">
        <v>0</v>
      </c>
      <c r="D7" s="381">
        <v>0</v>
      </c>
      <c r="E7" s="381">
        <v>3000</v>
      </c>
      <c r="F7" s="381">
        <v>3000</v>
      </c>
      <c r="G7" s="381">
        <v>3000</v>
      </c>
      <c r="H7" s="381">
        <v>3000</v>
      </c>
      <c r="I7" s="381">
        <v>3000</v>
      </c>
      <c r="K7" s="199">
        <f t="shared" si="0"/>
        <v>3</v>
      </c>
      <c r="L7" s="383" t="str">
        <f t="shared" ca="1" si="1"/>
        <v>Ок!</v>
      </c>
      <c r="P7" s="31"/>
      <c r="Q7" s="31"/>
      <c r="R7" s="32"/>
      <c r="S7" s="30"/>
    </row>
    <row r="8" spans="2:19" x14ac:dyDescent="0.2">
      <c r="B8" s="5" t="s">
        <v>5</v>
      </c>
      <c r="C8" s="381">
        <v>0</v>
      </c>
      <c r="D8" s="381">
        <v>0</v>
      </c>
      <c r="E8" s="381">
        <v>3000</v>
      </c>
      <c r="F8" s="381">
        <v>3000</v>
      </c>
      <c r="G8" s="381">
        <v>3000</v>
      </c>
      <c r="H8" s="381">
        <v>3000</v>
      </c>
      <c r="I8" s="381">
        <v>3000</v>
      </c>
      <c r="K8" s="199">
        <f t="shared" si="0"/>
        <v>3</v>
      </c>
      <c r="L8" s="383" t="str">
        <f t="shared" ca="1" si="1"/>
        <v>Ок!</v>
      </c>
      <c r="Q8" s="31"/>
      <c r="R8" s="31"/>
      <c r="S8" s="30"/>
    </row>
    <row r="9" spans="2:19" x14ac:dyDescent="0.2">
      <c r="B9" s="5" t="s">
        <v>19</v>
      </c>
      <c r="C9" s="381">
        <v>0</v>
      </c>
      <c r="D9" s="381">
        <v>0</v>
      </c>
      <c r="E9" s="381">
        <v>3000</v>
      </c>
      <c r="F9" s="381">
        <v>3000</v>
      </c>
      <c r="G9" s="381">
        <v>3000</v>
      </c>
      <c r="H9" s="381">
        <v>3000</v>
      </c>
      <c r="I9" s="381">
        <v>3000</v>
      </c>
      <c r="K9" s="199">
        <f t="shared" si="0"/>
        <v>3</v>
      </c>
      <c r="L9" s="383" t="str">
        <f t="shared" ca="1" si="1"/>
        <v>Ок!</v>
      </c>
    </row>
    <row r="10" spans="2:19" x14ac:dyDescent="0.2">
      <c r="B10" s="5" t="s">
        <v>18</v>
      </c>
      <c r="C10" s="381">
        <v>0</v>
      </c>
      <c r="D10" s="381">
        <v>3000</v>
      </c>
      <c r="E10" s="381">
        <v>3000</v>
      </c>
      <c r="F10" s="381">
        <v>3000</v>
      </c>
      <c r="G10" s="381">
        <v>3000</v>
      </c>
      <c r="H10" s="381">
        <v>3000</v>
      </c>
      <c r="I10" s="381">
        <v>3000</v>
      </c>
      <c r="K10" s="199">
        <f t="shared" si="0"/>
        <v>2</v>
      </c>
      <c r="L10" s="383" t="str">
        <f t="shared" ca="1" si="1"/>
        <v>Ок!</v>
      </c>
    </row>
    <row r="11" spans="2:19" x14ac:dyDescent="0.2">
      <c r="B11" s="5" t="s">
        <v>6</v>
      </c>
      <c r="C11" s="381">
        <v>0</v>
      </c>
      <c r="D11" s="381">
        <v>0</v>
      </c>
      <c r="E11" s="381">
        <v>3000</v>
      </c>
      <c r="F11" s="381">
        <v>3000</v>
      </c>
      <c r="G11" s="381">
        <v>3000</v>
      </c>
      <c r="H11" s="381">
        <v>3000</v>
      </c>
      <c r="I11" s="381">
        <v>3000</v>
      </c>
      <c r="K11" s="199">
        <f t="shared" si="0"/>
        <v>3</v>
      </c>
      <c r="L11" s="383" t="str">
        <f t="shared" ca="1" si="1"/>
        <v>Ок!</v>
      </c>
      <c r="N11" s="29"/>
      <c r="O11" s="29"/>
      <c r="P11" s="29"/>
      <c r="Q11" s="29"/>
      <c r="R11" s="29"/>
    </row>
    <row r="12" spans="2:19" ht="15" thickBot="1" x14ac:dyDescent="0.25">
      <c r="B12" s="6" t="s">
        <v>17</v>
      </c>
      <c r="C12" s="382">
        <v>0</v>
      </c>
      <c r="D12" s="382">
        <v>0</v>
      </c>
      <c r="E12" s="382">
        <v>2000</v>
      </c>
      <c r="F12" s="382">
        <v>2000</v>
      </c>
      <c r="G12" s="382">
        <v>2000</v>
      </c>
      <c r="H12" s="382">
        <v>2000</v>
      </c>
      <c r="I12" s="382">
        <v>2000</v>
      </c>
      <c r="K12" s="199">
        <f t="shared" si="0"/>
        <v>3</v>
      </c>
      <c r="L12" s="383" t="str">
        <f t="shared" ca="1" si="1"/>
        <v>Ок!</v>
      </c>
    </row>
    <row r="13" spans="2:19" ht="15" thickBot="1" x14ac:dyDescent="0.25">
      <c r="B13" s="16" t="s">
        <v>30</v>
      </c>
      <c r="C13" s="19">
        <f>SUM(C6:C12)</f>
        <v>0</v>
      </c>
      <c r="D13" s="19">
        <f t="shared" ref="D13:I13" si="2">SUM(D6:D12)</f>
        <v>6000</v>
      </c>
      <c r="E13" s="19">
        <f t="shared" si="2"/>
        <v>20000</v>
      </c>
      <c r="F13" s="19">
        <f t="shared" si="2"/>
        <v>20000</v>
      </c>
      <c r="G13" s="19">
        <f t="shared" si="2"/>
        <v>20000</v>
      </c>
      <c r="H13" s="19">
        <f t="shared" si="2"/>
        <v>20000</v>
      </c>
      <c r="I13" s="19">
        <f t="shared" si="2"/>
        <v>20000</v>
      </c>
      <c r="K13" s="194"/>
      <c r="L13" s="371"/>
    </row>
    <row r="14" spans="2:19" x14ac:dyDescent="0.2">
      <c r="K14" s="194"/>
      <c r="L14" s="371"/>
    </row>
    <row r="15" spans="2:19" x14ac:dyDescent="0.2">
      <c r="B15" s="10" t="s">
        <v>8</v>
      </c>
      <c r="C15" s="10"/>
      <c r="D15" s="10"/>
      <c r="E15" s="10"/>
      <c r="F15" s="10"/>
      <c r="G15" s="10"/>
      <c r="H15" s="10"/>
      <c r="I15" s="10"/>
      <c r="K15" s="194"/>
      <c r="L15" s="371"/>
    </row>
    <row r="16" spans="2:19" x14ac:dyDescent="0.2">
      <c r="B16" s="4" t="s">
        <v>1</v>
      </c>
      <c r="C16" s="380">
        <v>0</v>
      </c>
      <c r="D16" s="380">
        <v>0</v>
      </c>
      <c r="E16" s="380">
        <v>3000</v>
      </c>
      <c r="F16" s="380">
        <v>3000</v>
      </c>
      <c r="G16" s="380">
        <v>3000</v>
      </c>
      <c r="H16" s="380">
        <v>3000</v>
      </c>
      <c r="I16" s="380">
        <v>3000</v>
      </c>
      <c r="K16" s="199">
        <f t="shared" ref="K16:K22" si="3">VLOOKUP(B16,price,15,FALSE)</f>
        <v>3</v>
      </c>
      <c r="L16" s="383" t="str">
        <f t="shared" ref="L16:L22" ca="1" si="4">IF(SUM(OFFSET(C16,0,0,1,K16-1))&gt;0,"Ошибка","Ок!")</f>
        <v>Ок!</v>
      </c>
    </row>
    <row r="17" spans="2:12" x14ac:dyDescent="0.2">
      <c r="B17" s="5" t="s">
        <v>12</v>
      </c>
      <c r="C17" s="381">
        <v>0</v>
      </c>
      <c r="D17" s="381">
        <v>3000</v>
      </c>
      <c r="E17" s="381">
        <v>3000</v>
      </c>
      <c r="F17" s="381">
        <v>3000</v>
      </c>
      <c r="G17" s="381">
        <v>3000</v>
      </c>
      <c r="H17" s="381">
        <v>3000</v>
      </c>
      <c r="I17" s="381">
        <v>3000</v>
      </c>
      <c r="K17" s="199">
        <f t="shared" si="3"/>
        <v>2</v>
      </c>
      <c r="L17" s="383" t="str">
        <f t="shared" ca="1" si="4"/>
        <v>Ок!</v>
      </c>
    </row>
    <row r="18" spans="2:12" x14ac:dyDescent="0.2">
      <c r="B18" s="5" t="s">
        <v>13</v>
      </c>
      <c r="C18" s="381">
        <v>0</v>
      </c>
      <c r="D18" s="381">
        <v>0</v>
      </c>
      <c r="E18" s="381">
        <v>3000</v>
      </c>
      <c r="F18" s="381">
        <v>3000</v>
      </c>
      <c r="G18" s="381">
        <v>3000</v>
      </c>
      <c r="H18" s="381">
        <v>3000</v>
      </c>
      <c r="I18" s="381">
        <v>3000</v>
      </c>
      <c r="K18" s="199">
        <f t="shared" si="3"/>
        <v>3</v>
      </c>
      <c r="L18" s="383" t="str">
        <f t="shared" ca="1" si="4"/>
        <v>Ок!</v>
      </c>
    </row>
    <row r="19" spans="2:12" x14ac:dyDescent="0.2">
      <c r="B19" s="5" t="s">
        <v>14</v>
      </c>
      <c r="C19" s="381">
        <v>0</v>
      </c>
      <c r="D19" s="381">
        <v>0</v>
      </c>
      <c r="E19" s="381">
        <v>3000</v>
      </c>
      <c r="F19" s="381">
        <v>3000</v>
      </c>
      <c r="G19" s="381">
        <v>3000</v>
      </c>
      <c r="H19" s="381">
        <v>3000</v>
      </c>
      <c r="I19" s="381">
        <v>3000</v>
      </c>
      <c r="K19" s="199">
        <f t="shared" si="3"/>
        <v>3</v>
      </c>
      <c r="L19" s="383" t="str">
        <f t="shared" ca="1" si="4"/>
        <v>Ок!</v>
      </c>
    </row>
    <row r="20" spans="2:12" x14ac:dyDescent="0.2">
      <c r="B20" s="5" t="s">
        <v>15</v>
      </c>
      <c r="C20" s="381">
        <v>0</v>
      </c>
      <c r="D20" s="381">
        <v>0</v>
      </c>
      <c r="E20" s="381">
        <v>3000</v>
      </c>
      <c r="F20" s="381">
        <v>3000</v>
      </c>
      <c r="G20" s="381">
        <v>3000</v>
      </c>
      <c r="H20" s="381">
        <v>3000</v>
      </c>
      <c r="I20" s="381">
        <v>3000</v>
      </c>
      <c r="K20" s="199">
        <f t="shared" si="3"/>
        <v>3</v>
      </c>
      <c r="L20" s="383" t="str">
        <f t="shared" ca="1" si="4"/>
        <v>Ок!</v>
      </c>
    </row>
    <row r="21" spans="2:12" x14ac:dyDescent="0.2">
      <c r="B21" s="5" t="s">
        <v>2</v>
      </c>
      <c r="C21" s="381">
        <v>0</v>
      </c>
      <c r="D21" s="381">
        <v>0</v>
      </c>
      <c r="E21" s="381">
        <v>3000</v>
      </c>
      <c r="F21" s="381">
        <v>3000</v>
      </c>
      <c r="G21" s="381">
        <v>3000</v>
      </c>
      <c r="H21" s="381">
        <v>3000</v>
      </c>
      <c r="I21" s="381">
        <v>3000</v>
      </c>
      <c r="K21" s="199">
        <f t="shared" si="3"/>
        <v>3</v>
      </c>
      <c r="L21" s="383" t="str">
        <f t="shared" ca="1" si="4"/>
        <v>Ок!</v>
      </c>
    </row>
    <row r="22" spans="2:12" ht="15" thickBot="1" x14ac:dyDescent="0.25">
      <c r="B22" s="15" t="s">
        <v>16</v>
      </c>
      <c r="C22" s="382">
        <v>0</v>
      </c>
      <c r="D22" s="382">
        <v>0</v>
      </c>
      <c r="E22" s="382">
        <v>2000</v>
      </c>
      <c r="F22" s="382">
        <v>2000</v>
      </c>
      <c r="G22" s="382">
        <v>2000</v>
      </c>
      <c r="H22" s="382">
        <v>2000</v>
      </c>
      <c r="I22" s="382">
        <v>2000</v>
      </c>
      <c r="K22" s="199">
        <f t="shared" si="3"/>
        <v>3</v>
      </c>
      <c r="L22" s="383" t="str">
        <f t="shared" ca="1" si="4"/>
        <v>Ок!</v>
      </c>
    </row>
    <row r="23" spans="2:12" ht="15" thickBot="1" x14ac:dyDescent="0.25">
      <c r="B23" s="16" t="s">
        <v>31</v>
      </c>
      <c r="C23" s="19">
        <f>SUM(C16:C22)</f>
        <v>0</v>
      </c>
      <c r="D23" s="19">
        <f t="shared" ref="D23" si="5">SUM(D16:D22)</f>
        <v>3000</v>
      </c>
      <c r="E23" s="19">
        <f t="shared" ref="E23" si="6">SUM(E16:E22)</f>
        <v>20000</v>
      </c>
      <c r="F23" s="19">
        <f t="shared" ref="F23" si="7">SUM(F16:F22)</f>
        <v>20000</v>
      </c>
      <c r="G23" s="19">
        <f t="shared" ref="G23" si="8">SUM(G16:G22)</f>
        <v>20000</v>
      </c>
      <c r="H23" s="19">
        <f t="shared" ref="H23:I23" si="9">SUM(H16:H22)</f>
        <v>20000</v>
      </c>
      <c r="I23" s="19">
        <f t="shared" si="9"/>
        <v>20000</v>
      </c>
    </row>
    <row r="24" spans="2:12" ht="15" thickBot="1" x14ac:dyDescent="0.25"/>
    <row r="25" spans="2:12" ht="15" thickBot="1" x14ac:dyDescent="0.25">
      <c r="B25" s="20" t="s">
        <v>33</v>
      </c>
      <c r="C25" s="21">
        <f>SUM(C13,C23)</f>
        <v>0</v>
      </c>
      <c r="D25" s="21">
        <f t="shared" ref="D25:H25" si="10">SUM(D13,D23)</f>
        <v>9000</v>
      </c>
      <c r="E25" s="21">
        <f t="shared" si="10"/>
        <v>40000</v>
      </c>
      <c r="F25" s="21">
        <f t="shared" si="10"/>
        <v>40000</v>
      </c>
      <c r="G25" s="21">
        <f t="shared" si="10"/>
        <v>40000</v>
      </c>
      <c r="H25" s="21">
        <f t="shared" si="10"/>
        <v>40000</v>
      </c>
      <c r="I25" s="21">
        <f t="shared" ref="I25" si="11">SUM(I13,I23)</f>
        <v>40000</v>
      </c>
    </row>
    <row r="28" spans="2:12" x14ac:dyDescent="0.2">
      <c r="B28" s="12" t="s">
        <v>24</v>
      </c>
      <c r="C28" s="12">
        <v>2019</v>
      </c>
      <c r="D28" s="13">
        <v>2020</v>
      </c>
      <c r="E28" s="13">
        <v>2021</v>
      </c>
      <c r="F28" s="13">
        <v>2022</v>
      </c>
      <c r="G28" s="13">
        <v>2023</v>
      </c>
      <c r="H28" s="14">
        <v>2024</v>
      </c>
      <c r="I28" s="13">
        <v>2025</v>
      </c>
    </row>
    <row r="29" spans="2:12" x14ac:dyDescent="0.2">
      <c r="B29" s="11" t="s">
        <v>25</v>
      </c>
      <c r="C29" s="25">
        <v>1</v>
      </c>
      <c r="D29" s="25">
        <v>0.9</v>
      </c>
      <c r="E29" s="25">
        <v>0.8</v>
      </c>
      <c r="F29" s="25">
        <v>0.7</v>
      </c>
      <c r="G29" s="25">
        <v>0.7</v>
      </c>
      <c r="H29" s="25">
        <v>0.7</v>
      </c>
      <c r="I29" s="25">
        <v>0.7</v>
      </c>
    </row>
    <row r="30" spans="2:12" x14ac:dyDescent="0.2">
      <c r="B30" s="5" t="s">
        <v>27</v>
      </c>
      <c r="C30" s="26">
        <v>0</v>
      </c>
      <c r="D30" s="26">
        <v>0.1</v>
      </c>
      <c r="E30" s="26">
        <v>0.1</v>
      </c>
      <c r="F30" s="26">
        <v>0.2</v>
      </c>
      <c r="G30" s="26">
        <v>0.2</v>
      </c>
      <c r="H30" s="26">
        <v>0.2</v>
      </c>
      <c r="I30" s="26">
        <v>0.2</v>
      </c>
    </row>
    <row r="31" spans="2:12" ht="15" thickBot="1" x14ac:dyDescent="0.25">
      <c r="B31" s="6" t="s">
        <v>26</v>
      </c>
      <c r="C31" s="27">
        <v>0</v>
      </c>
      <c r="D31" s="27">
        <v>0</v>
      </c>
      <c r="E31" s="27">
        <v>0.1</v>
      </c>
      <c r="F31" s="27">
        <v>0.1</v>
      </c>
      <c r="G31" s="27">
        <v>0.1</v>
      </c>
      <c r="H31" s="27">
        <v>0.1</v>
      </c>
      <c r="I31" s="27">
        <v>0.1</v>
      </c>
    </row>
    <row r="32" spans="2:12" ht="15" thickBot="1" x14ac:dyDescent="0.25">
      <c r="B32" s="16" t="s">
        <v>33</v>
      </c>
      <c r="C32" s="22">
        <f>SUM(C29:C31)</f>
        <v>1</v>
      </c>
      <c r="D32" s="22">
        <f t="shared" ref="D32:I32" si="12">SUM(D29:D31)</f>
        <v>1</v>
      </c>
      <c r="E32" s="22">
        <f t="shared" si="12"/>
        <v>1</v>
      </c>
      <c r="F32" s="22">
        <f t="shared" si="12"/>
        <v>0.99999999999999989</v>
      </c>
      <c r="G32" s="22">
        <f t="shared" si="12"/>
        <v>0.99999999999999989</v>
      </c>
      <c r="H32" s="22">
        <f t="shared" si="12"/>
        <v>0.99999999999999989</v>
      </c>
      <c r="I32" s="22">
        <f t="shared" si="12"/>
        <v>0.99999999999999989</v>
      </c>
    </row>
    <row r="34" spans="2:9" x14ac:dyDescent="0.2">
      <c r="B34" s="1" t="s">
        <v>34</v>
      </c>
      <c r="H34" s="28"/>
      <c r="I34" s="28" t="s">
        <v>35</v>
      </c>
    </row>
    <row r="35" spans="2:9" x14ac:dyDescent="0.2">
      <c r="B35" s="12" t="s">
        <v>109</v>
      </c>
      <c r="C35" s="12">
        <v>2019</v>
      </c>
      <c r="D35" s="13">
        <v>2020</v>
      </c>
      <c r="E35" s="13">
        <v>2021</v>
      </c>
      <c r="F35" s="13">
        <v>2022</v>
      </c>
      <c r="G35" s="13">
        <v>2023</v>
      </c>
      <c r="H35" s="14">
        <v>2024</v>
      </c>
      <c r="I35" s="13">
        <v>2025</v>
      </c>
    </row>
    <row r="36" spans="2:9" x14ac:dyDescent="0.2">
      <c r="B36" s="10" t="s">
        <v>7</v>
      </c>
      <c r="C36" s="10"/>
      <c r="D36" s="10"/>
      <c r="E36" s="10"/>
      <c r="F36" s="10"/>
      <c r="G36" s="10"/>
      <c r="H36" s="10"/>
      <c r="I36" s="10"/>
    </row>
    <row r="37" spans="2:9" x14ac:dyDescent="0.2">
      <c r="B37" s="4" t="s">
        <v>3</v>
      </c>
      <c r="C37" s="364">
        <f>C6*VLOOKUP($B6,price,7,FALSE)*Parameters!$B$9/1000*SUMPRODUCT(C$29:C$31,'Product Mix'!$B$25:$B$27)*(1+Parameters!$B$3)^(C$35-$C$35)</f>
        <v>0</v>
      </c>
      <c r="D37" s="364">
        <f>D6*VLOOKUP($B6,price,7,FALSE)*Parameters!$B$9/1000*SUMPRODUCT(D$29:D$31,'Product Mix'!$B$25:$B$27)*(1+Parameters!$B$3)^(D$35-$C$35)</f>
        <v>506.75625000000008</v>
      </c>
      <c r="E37" s="364">
        <f>E6*VLOOKUP($B6,price,7,FALSE)*Parameters!$B$9/1000*SUMPRODUCT(E$29:E$31,'Product Mix'!$B$25:$B$27)*(1+Parameters!$B$3)^(E$35-$C$35)</f>
        <v>504.8071875</v>
      </c>
      <c r="F37" s="364">
        <f>F6*VLOOKUP($B6,price,7,FALSE)*Parameters!$B$9/1000*SUMPRODUCT(F$29:F$31,'Product Mix'!$B$25:$B$27)*(1+Parameters!$B$3)^(F$35-$C$35)</f>
        <v>515.72193750000008</v>
      </c>
      <c r="G37" s="364">
        <f>G6*VLOOKUP($B6,price,7,FALSE)*Parameters!$B$9/1000*SUMPRODUCT(G$29:G$31,'Product Mix'!$B$25:$B$27)*(1+Parameters!$B$3)^(G$35-$C$35)</f>
        <v>541.50803437499997</v>
      </c>
      <c r="H37" s="364">
        <f>H6*VLOOKUP($B6,price,7,FALSE)*Parameters!$B$9/1000*SUMPRODUCT(H$29:H$31,'Product Mix'!$B$25:$B$27)*(1+Parameters!$B$3)^(H$35-$C$35)</f>
        <v>568.58343609375004</v>
      </c>
      <c r="I37" s="364">
        <f>I6*VLOOKUP($B6,price,7,FALSE)*Parameters!$B$9/1000*SUMPRODUCT(I$29:I$31,'Product Mix'!$B$25:$B$27)*(1+Parameters!$B$3)^(I$35-$C$35)</f>
        <v>597.01260789843752</v>
      </c>
    </row>
    <row r="38" spans="2:9" x14ac:dyDescent="0.2">
      <c r="B38" s="5" t="s">
        <v>4</v>
      </c>
      <c r="C38" s="364">
        <f>C7*VLOOKUP($B7,price,7,FALSE)*Parameters!$B$9/1000*SUMPRODUCT(C$29:C$31,'Product Mix'!$B$25:$B$27)*(1+Parameters!$B$3)^(C$35-$C$35)</f>
        <v>0</v>
      </c>
      <c r="D38" s="364">
        <f>D7*VLOOKUP($B7,price,7,FALSE)*Parameters!$B$9/1000*SUMPRODUCT(D$29:D$31,'Product Mix'!$B$25:$B$27)*(1+Parameters!$B$3)^(D$35-$C$35)</f>
        <v>0</v>
      </c>
      <c r="E38" s="364">
        <f>E7*VLOOKUP($B7,price,7,FALSE)*Parameters!$B$9/1000*SUMPRODUCT(E$29:E$31,'Product Mix'!$B$25:$B$27)*(1+Parameters!$B$3)^(E$35-$C$35)</f>
        <v>504.8071875</v>
      </c>
      <c r="F38" s="364">
        <f>F7*VLOOKUP($B7,price,7,FALSE)*Parameters!$B$9/1000*SUMPRODUCT(F$29:F$31,'Product Mix'!$B$25:$B$27)*(1+Parameters!$B$3)^(F$35-$C$35)</f>
        <v>515.72193750000008</v>
      </c>
      <c r="G38" s="364">
        <f>G7*VLOOKUP($B7,price,7,FALSE)*Parameters!$B$9/1000*SUMPRODUCT(G$29:G$31,'Product Mix'!$B$25:$B$27)*(1+Parameters!$B$3)^(G$35-$C$35)</f>
        <v>541.50803437499997</v>
      </c>
      <c r="H38" s="364">
        <f>H7*VLOOKUP($B7,price,7,FALSE)*Parameters!$B$9/1000*SUMPRODUCT(H$29:H$31,'Product Mix'!$B$25:$B$27)*(1+Parameters!$B$3)^(H$35-$C$35)</f>
        <v>568.58343609375004</v>
      </c>
      <c r="I38" s="364">
        <f>I7*VLOOKUP($B7,price,7,FALSE)*Parameters!$B$9/1000*SUMPRODUCT(I$29:I$31,'Product Mix'!$B$25:$B$27)*(1+Parameters!$B$3)^(I$35-$C$35)</f>
        <v>597.01260789843752</v>
      </c>
    </row>
    <row r="39" spans="2:9" x14ac:dyDescent="0.2">
      <c r="B39" s="5" t="s">
        <v>5</v>
      </c>
      <c r="C39" s="364">
        <f>C8*VLOOKUP($B8,price,7,FALSE)*Parameters!$B$9/1000*SUMPRODUCT(C$29:C$31,'Product Mix'!$B$25:$B$27)*(1+Parameters!$B$3)^(C$35-$C$35)</f>
        <v>0</v>
      </c>
      <c r="D39" s="364">
        <f>D8*VLOOKUP($B8,price,7,FALSE)*Parameters!$B$9/1000*SUMPRODUCT(D$29:D$31,'Product Mix'!$B$25:$B$27)*(1+Parameters!$B$3)^(D$35-$C$35)</f>
        <v>0</v>
      </c>
      <c r="E39" s="364">
        <f>E8*VLOOKUP($B8,price,7,FALSE)*Parameters!$B$9/1000*SUMPRODUCT(E$29:E$31,'Product Mix'!$B$25:$B$27)*(1+Parameters!$B$3)^(E$35-$C$35)</f>
        <v>504.8071875</v>
      </c>
      <c r="F39" s="364">
        <f>F8*VLOOKUP($B8,price,7,FALSE)*Parameters!$B$9/1000*SUMPRODUCT(F$29:F$31,'Product Mix'!$B$25:$B$27)*(1+Parameters!$B$3)^(F$35-$C$35)</f>
        <v>515.72193750000008</v>
      </c>
      <c r="G39" s="364">
        <f>G8*VLOOKUP($B8,price,7,FALSE)*Parameters!$B$9/1000*SUMPRODUCT(G$29:G$31,'Product Mix'!$B$25:$B$27)*(1+Parameters!$B$3)^(G$35-$C$35)</f>
        <v>541.50803437499997</v>
      </c>
      <c r="H39" s="364">
        <f>H8*VLOOKUP($B8,price,7,FALSE)*Parameters!$B$9/1000*SUMPRODUCT(H$29:H$31,'Product Mix'!$B$25:$B$27)*(1+Parameters!$B$3)^(H$35-$C$35)</f>
        <v>568.58343609375004</v>
      </c>
      <c r="I39" s="364">
        <f>I8*VLOOKUP($B8,price,7,FALSE)*Parameters!$B$9/1000*SUMPRODUCT(I$29:I$31,'Product Mix'!$B$25:$B$27)*(1+Parameters!$B$3)^(I$35-$C$35)</f>
        <v>597.01260789843752</v>
      </c>
    </row>
    <row r="40" spans="2:9" x14ac:dyDescent="0.2">
      <c r="B40" s="5" t="s">
        <v>19</v>
      </c>
      <c r="C40" s="364">
        <f>C9*VLOOKUP($B9,price,7,FALSE)*Parameters!$B$9/1000*SUMPRODUCT(C$29:C$31,'Product Mix'!$B$25:$B$27)*(1+Parameters!$B$3)^(C$35-$C$35)</f>
        <v>0</v>
      </c>
      <c r="D40" s="364">
        <f>D9*VLOOKUP($B9,price,7,FALSE)*Parameters!$B$9/1000*SUMPRODUCT(D$29:D$31,'Product Mix'!$B$25:$B$27)*(1+Parameters!$B$3)^(D$35-$C$35)</f>
        <v>0</v>
      </c>
      <c r="E40" s="364">
        <f>E9*VLOOKUP($B9,price,7,FALSE)*Parameters!$B$9/1000*SUMPRODUCT(E$29:E$31,'Product Mix'!$B$25:$B$27)*(1+Parameters!$B$3)^(E$35-$C$35)</f>
        <v>504.8071875</v>
      </c>
      <c r="F40" s="364">
        <f>F9*VLOOKUP($B9,price,7,FALSE)*Parameters!$B$9/1000*SUMPRODUCT(F$29:F$31,'Product Mix'!$B$25:$B$27)*(1+Parameters!$B$3)^(F$35-$C$35)</f>
        <v>515.72193750000008</v>
      </c>
      <c r="G40" s="364">
        <f>G9*VLOOKUP($B9,price,7,FALSE)*Parameters!$B$9/1000*SUMPRODUCT(G$29:G$31,'Product Mix'!$B$25:$B$27)*(1+Parameters!$B$3)^(G$35-$C$35)</f>
        <v>541.50803437499997</v>
      </c>
      <c r="H40" s="364">
        <f>H9*VLOOKUP($B9,price,7,FALSE)*Parameters!$B$9/1000*SUMPRODUCT(H$29:H$31,'Product Mix'!$B$25:$B$27)*(1+Parameters!$B$3)^(H$35-$C$35)</f>
        <v>568.58343609375004</v>
      </c>
      <c r="I40" s="364">
        <f>I9*VLOOKUP($B9,price,7,FALSE)*Parameters!$B$9/1000*SUMPRODUCT(I$29:I$31,'Product Mix'!$B$25:$B$27)*(1+Parameters!$B$3)^(I$35-$C$35)</f>
        <v>597.01260789843752</v>
      </c>
    </row>
    <row r="41" spans="2:9" x14ac:dyDescent="0.2">
      <c r="B41" s="5" t="s">
        <v>18</v>
      </c>
      <c r="C41" s="364">
        <f>C10*VLOOKUP($B10,price,7,FALSE)*Parameters!$B$9/1000*SUMPRODUCT(C$29:C$31,'Product Mix'!$B$25:$B$27)*(1+Parameters!$B$3)^(C$35-$C$35)</f>
        <v>0</v>
      </c>
      <c r="D41" s="364">
        <f>D10*VLOOKUP($B10,price,7,FALSE)*Parameters!$B$9/1000*SUMPRODUCT(D$29:D$31,'Product Mix'!$B$25:$B$27)*(1+Parameters!$B$3)^(D$35-$C$35)</f>
        <v>506.75625000000008</v>
      </c>
      <c r="E41" s="364">
        <f>E10*VLOOKUP($B10,price,7,FALSE)*Parameters!$B$9/1000*SUMPRODUCT(E$29:E$31,'Product Mix'!$B$25:$B$27)*(1+Parameters!$B$3)^(E$35-$C$35)</f>
        <v>504.8071875</v>
      </c>
      <c r="F41" s="364">
        <f>F10*VLOOKUP($B10,price,7,FALSE)*Parameters!$B$9/1000*SUMPRODUCT(F$29:F$31,'Product Mix'!$B$25:$B$27)*(1+Parameters!$B$3)^(F$35-$C$35)</f>
        <v>515.72193750000008</v>
      </c>
      <c r="G41" s="364">
        <f>G10*VLOOKUP($B10,price,7,FALSE)*Parameters!$B$9/1000*SUMPRODUCT(G$29:G$31,'Product Mix'!$B$25:$B$27)*(1+Parameters!$B$3)^(G$35-$C$35)</f>
        <v>541.50803437499997</v>
      </c>
      <c r="H41" s="364">
        <f>H10*VLOOKUP($B10,price,7,FALSE)*Parameters!$B$9/1000*SUMPRODUCT(H$29:H$31,'Product Mix'!$B$25:$B$27)*(1+Parameters!$B$3)^(H$35-$C$35)</f>
        <v>568.58343609375004</v>
      </c>
      <c r="I41" s="364">
        <f>I10*VLOOKUP($B10,price,7,FALSE)*Parameters!$B$9/1000*SUMPRODUCT(I$29:I$31,'Product Mix'!$B$25:$B$27)*(1+Parameters!$B$3)^(I$35-$C$35)</f>
        <v>597.01260789843752</v>
      </c>
    </row>
    <row r="42" spans="2:9" x14ac:dyDescent="0.2">
      <c r="B42" s="5" t="s">
        <v>6</v>
      </c>
      <c r="C42" s="364">
        <f>C11*VLOOKUP($B11,price,7,FALSE)*Parameters!$B$9/1000*SUMPRODUCT(C$29:C$31,'Product Mix'!$B$25:$B$27)*(1+Parameters!$B$3)^(C$35-$C$35)</f>
        <v>0</v>
      </c>
      <c r="D42" s="364">
        <f>D11*VLOOKUP($B11,price,7,FALSE)*Parameters!$B$9/1000*SUMPRODUCT(D$29:D$31,'Product Mix'!$B$25:$B$27)*(1+Parameters!$B$3)^(D$35-$C$35)</f>
        <v>0</v>
      </c>
      <c r="E42" s="364">
        <f>E11*VLOOKUP($B11,price,7,FALSE)*Parameters!$B$9/1000*SUMPRODUCT(E$29:E$31,'Product Mix'!$B$25:$B$27)*(1+Parameters!$B$3)^(E$35-$C$35)</f>
        <v>504.8071875</v>
      </c>
      <c r="F42" s="364">
        <f>F11*VLOOKUP($B11,price,7,FALSE)*Parameters!$B$9/1000*SUMPRODUCT(F$29:F$31,'Product Mix'!$B$25:$B$27)*(1+Parameters!$B$3)^(F$35-$C$35)</f>
        <v>515.72193750000008</v>
      </c>
      <c r="G42" s="364">
        <f>G11*VLOOKUP($B11,price,7,FALSE)*Parameters!$B$9/1000*SUMPRODUCT(G$29:G$31,'Product Mix'!$B$25:$B$27)*(1+Parameters!$B$3)^(G$35-$C$35)</f>
        <v>541.50803437499997</v>
      </c>
      <c r="H42" s="364">
        <f>H11*VLOOKUP($B11,price,7,FALSE)*Parameters!$B$9/1000*SUMPRODUCT(H$29:H$31,'Product Mix'!$B$25:$B$27)*(1+Parameters!$B$3)^(H$35-$C$35)</f>
        <v>568.58343609375004</v>
      </c>
      <c r="I42" s="364">
        <f>I11*VLOOKUP($B11,price,7,FALSE)*Parameters!$B$9/1000*SUMPRODUCT(I$29:I$31,'Product Mix'!$B$25:$B$27)*(1+Parameters!$B$3)^(I$35-$C$35)</f>
        <v>597.01260789843752</v>
      </c>
    </row>
    <row r="43" spans="2:9" ht="15" thickBot="1" x14ac:dyDescent="0.25">
      <c r="B43" s="6" t="s">
        <v>17</v>
      </c>
      <c r="C43" s="364">
        <f>C12*VLOOKUP($B12,price,7,FALSE)*Parameters!$B$9/1000*SUMPRODUCT(C$29:C$31,'Product Mix'!$B$25:$B$27)*(1+Parameters!$B$3)^(C$35-$C$35)</f>
        <v>0</v>
      </c>
      <c r="D43" s="364">
        <f>D12*VLOOKUP($B12,price,7,FALSE)*Parameters!$B$9/1000*SUMPRODUCT(D$29:D$31,'Product Mix'!$B$25:$B$27)*(1+Parameters!$B$3)^(D$35-$C$35)</f>
        <v>0</v>
      </c>
      <c r="E43" s="364">
        <f>E12*VLOOKUP($B12,price,7,FALSE)*Parameters!$B$9/1000*SUMPRODUCT(E$29:E$31,'Product Mix'!$B$25:$B$27)*(1+Parameters!$B$3)^(E$35-$C$35)</f>
        <v>336.53812500000004</v>
      </c>
      <c r="F43" s="364">
        <f>F12*VLOOKUP($B12,price,7,FALSE)*Parameters!$B$9/1000*SUMPRODUCT(F$29:F$31,'Product Mix'!$B$25:$B$27)*(1+Parameters!$B$3)^(F$35-$C$35)</f>
        <v>343.81462500000004</v>
      </c>
      <c r="G43" s="364">
        <f>G12*VLOOKUP($B12,price,7,FALSE)*Parameters!$B$9/1000*SUMPRODUCT(G$29:G$31,'Product Mix'!$B$25:$B$27)*(1+Parameters!$B$3)^(G$35-$C$35)</f>
        <v>361.00535624999998</v>
      </c>
      <c r="H43" s="364">
        <f>H12*VLOOKUP($B12,price,7,FALSE)*Parameters!$B$9/1000*SUMPRODUCT(H$29:H$31,'Product Mix'!$B$25:$B$27)*(1+Parameters!$B$3)^(H$35-$C$35)</f>
        <v>379.05562406250004</v>
      </c>
      <c r="I43" s="364">
        <f>I12*VLOOKUP($B12,price,7,FALSE)*Parameters!$B$9/1000*SUMPRODUCT(I$29:I$31,'Product Mix'!$B$25:$B$27)*(1+Parameters!$B$3)^(I$35-$C$35)</f>
        <v>398.00840526562502</v>
      </c>
    </row>
    <row r="44" spans="2:9" ht="15" thickBot="1" x14ac:dyDescent="0.25">
      <c r="B44" s="16" t="s">
        <v>30</v>
      </c>
      <c r="C44" s="19">
        <f>SUM(C37:C43)</f>
        <v>0</v>
      </c>
      <c r="D44" s="19">
        <f t="shared" ref="D44" si="13">SUM(D37:D43)</f>
        <v>1013.5125000000002</v>
      </c>
      <c r="E44" s="19">
        <f t="shared" ref="E44" si="14">SUM(E37:E43)</f>
        <v>3365.3812499999999</v>
      </c>
      <c r="F44" s="19">
        <f t="shared" ref="F44" si="15">SUM(F37:F43)</f>
        <v>3438.1462500000002</v>
      </c>
      <c r="G44" s="19">
        <f t="shared" ref="G44" si="16">SUM(G37:G43)</f>
        <v>3610.0535625000002</v>
      </c>
      <c r="H44" s="19">
        <f t="shared" ref="H44:I44" si="17">SUM(H37:H43)</f>
        <v>3790.5562406250006</v>
      </c>
      <c r="I44" s="19">
        <f t="shared" si="17"/>
        <v>3980.0840526562506</v>
      </c>
    </row>
    <row r="46" spans="2:9" x14ac:dyDescent="0.2">
      <c r="B46" s="10" t="s">
        <v>8</v>
      </c>
      <c r="C46" s="10"/>
      <c r="D46" s="10"/>
      <c r="E46" s="10"/>
      <c r="F46" s="10"/>
      <c r="G46" s="10"/>
      <c r="H46" s="10"/>
      <c r="I46" s="10"/>
    </row>
    <row r="47" spans="2:9" x14ac:dyDescent="0.2">
      <c r="B47" s="4" t="s">
        <v>1</v>
      </c>
      <c r="C47" s="364">
        <f>C16*VLOOKUP($B16,price,7,FALSE)*Parameters!$B$9/1000*SUMPRODUCT(C$29:C$31,'Product Mix'!$B$25:$B$27)*(1+Parameters!$B$3)^(C$35-$C$35)</f>
        <v>0</v>
      </c>
      <c r="D47" s="364">
        <f>D16*VLOOKUP($B16,price,7,FALSE)*Parameters!$B$9/1000*SUMPRODUCT(D$29:D$31,'Product Mix'!$B$25:$B$27)*(1+Parameters!$B$3)^(D$35-$C$35)</f>
        <v>0</v>
      </c>
      <c r="E47" s="364">
        <f>E16*VLOOKUP($B16,price,7,FALSE)*Parameters!$B$9/1000*SUMPRODUCT(E$29:E$31,'Product Mix'!$B$25:$B$27)*(1+Parameters!$B$3)^(E$35-$C$35)</f>
        <v>504.8071875</v>
      </c>
      <c r="F47" s="364">
        <f>F16*VLOOKUP($B16,price,7,FALSE)*Parameters!$B$9/1000*SUMPRODUCT(F$29:F$31,'Product Mix'!$B$25:$B$27)*(1+Parameters!$B$3)^(F$35-$C$35)</f>
        <v>515.72193750000008</v>
      </c>
      <c r="G47" s="364">
        <f>G16*VLOOKUP($B16,price,7,FALSE)*Parameters!$B$9/1000*SUMPRODUCT(G$29:G$31,'Product Mix'!$B$25:$B$27)*(1+Parameters!$B$3)^(G$35-$C$35)</f>
        <v>541.50803437499997</v>
      </c>
      <c r="H47" s="364">
        <f>H16*VLOOKUP($B16,price,7,FALSE)*Parameters!$B$9/1000*SUMPRODUCT(H$29:H$31,'Product Mix'!$B$25:$B$27)*(1+Parameters!$B$3)^(H$35-$C$35)</f>
        <v>568.58343609375004</v>
      </c>
      <c r="I47" s="364">
        <f>I16*VLOOKUP($B16,price,7,FALSE)*Parameters!$B$9/1000*SUMPRODUCT(I$29:I$31,'Product Mix'!$B$25:$B$27)*(1+Parameters!$B$3)^(I$35-$C$35)</f>
        <v>597.01260789843752</v>
      </c>
    </row>
    <row r="48" spans="2:9" x14ac:dyDescent="0.2">
      <c r="B48" s="5" t="s">
        <v>12</v>
      </c>
      <c r="C48" s="364">
        <f>C17*VLOOKUP($B17,price,7,FALSE)*Parameters!$B$9/1000*SUMPRODUCT(C$29:C$31,'Product Mix'!$B$25:$B$27)*(1+Parameters!$B$3)^(C$35-$C$35)</f>
        <v>0</v>
      </c>
      <c r="D48" s="364">
        <f>D17*VLOOKUP($B17,price,7,FALSE)*Parameters!$B$9/1000*SUMPRODUCT(D$29:D$31,'Product Mix'!$B$25:$B$27)*(1+Parameters!$B$3)^(D$35-$C$35)</f>
        <v>506.75625000000008</v>
      </c>
      <c r="E48" s="364">
        <f>E17*VLOOKUP($B17,price,7,FALSE)*Parameters!$B$9/1000*SUMPRODUCT(E$29:E$31,'Product Mix'!$B$25:$B$27)*(1+Parameters!$B$3)^(E$35-$C$35)</f>
        <v>504.8071875</v>
      </c>
      <c r="F48" s="364">
        <f>F17*VLOOKUP($B17,price,7,FALSE)*Parameters!$B$9/1000*SUMPRODUCT(F$29:F$31,'Product Mix'!$B$25:$B$27)*(1+Parameters!$B$3)^(F$35-$C$35)</f>
        <v>515.72193750000008</v>
      </c>
      <c r="G48" s="364">
        <f>G17*VLOOKUP($B17,price,7,FALSE)*Parameters!$B$9/1000*SUMPRODUCT(G$29:G$31,'Product Mix'!$B$25:$B$27)*(1+Parameters!$B$3)^(G$35-$C$35)</f>
        <v>541.50803437499997</v>
      </c>
      <c r="H48" s="364">
        <f>H17*VLOOKUP($B17,price,7,FALSE)*Parameters!$B$9/1000*SUMPRODUCT(H$29:H$31,'Product Mix'!$B$25:$B$27)*(1+Parameters!$B$3)^(H$35-$C$35)</f>
        <v>568.58343609375004</v>
      </c>
      <c r="I48" s="364">
        <f>I17*VLOOKUP($B17,price,7,FALSE)*Parameters!$B$9/1000*SUMPRODUCT(I$29:I$31,'Product Mix'!$B$25:$B$27)*(1+Parameters!$B$3)^(I$35-$C$35)</f>
        <v>597.01260789843752</v>
      </c>
    </row>
    <row r="49" spans="2:9" x14ac:dyDescent="0.2">
      <c r="B49" s="5" t="s">
        <v>13</v>
      </c>
      <c r="C49" s="364">
        <f>C18*VLOOKUP($B18,price,7,FALSE)*Parameters!$B$9/1000*SUMPRODUCT(C$29:C$31,'Product Mix'!$B$25:$B$27)*(1+Parameters!$B$3)^(C$35-$C$35)</f>
        <v>0</v>
      </c>
      <c r="D49" s="364">
        <f>D18*VLOOKUP($B18,price,7,FALSE)*Parameters!$B$9/1000*SUMPRODUCT(D$29:D$31,'Product Mix'!$B$25:$B$27)*(1+Parameters!$B$3)^(D$35-$C$35)</f>
        <v>0</v>
      </c>
      <c r="E49" s="364">
        <f>E18*VLOOKUP($B18,price,7,FALSE)*Parameters!$B$9/1000*SUMPRODUCT(E$29:E$31,'Product Mix'!$B$25:$B$27)*(1+Parameters!$B$3)^(E$35-$C$35)</f>
        <v>504.8071875</v>
      </c>
      <c r="F49" s="364">
        <f>F18*VLOOKUP($B18,price,7,FALSE)*Parameters!$B$9/1000*SUMPRODUCT(F$29:F$31,'Product Mix'!$B$25:$B$27)*(1+Parameters!$B$3)^(F$35-$C$35)</f>
        <v>515.72193750000008</v>
      </c>
      <c r="G49" s="364">
        <f>G18*VLOOKUP($B18,price,7,FALSE)*Parameters!$B$9/1000*SUMPRODUCT(G$29:G$31,'Product Mix'!$B$25:$B$27)*(1+Parameters!$B$3)^(G$35-$C$35)</f>
        <v>541.50803437499997</v>
      </c>
      <c r="H49" s="364">
        <f>H18*VLOOKUP($B18,price,7,FALSE)*Parameters!$B$9/1000*SUMPRODUCT(H$29:H$31,'Product Mix'!$B$25:$B$27)*(1+Parameters!$B$3)^(H$35-$C$35)</f>
        <v>568.58343609375004</v>
      </c>
      <c r="I49" s="364">
        <f>I18*VLOOKUP($B18,price,7,FALSE)*Parameters!$B$9/1000*SUMPRODUCT(I$29:I$31,'Product Mix'!$B$25:$B$27)*(1+Parameters!$B$3)^(I$35-$C$35)</f>
        <v>597.01260789843752</v>
      </c>
    </row>
    <row r="50" spans="2:9" x14ac:dyDescent="0.2">
      <c r="B50" s="5" t="s">
        <v>14</v>
      </c>
      <c r="C50" s="364">
        <f>C19*VLOOKUP($B19,price,7,FALSE)*Parameters!$B$9/1000*SUMPRODUCT(C$29:C$31,'Product Mix'!$B$25:$B$27)*(1+Parameters!$B$3)^(C$35-$C$35)</f>
        <v>0</v>
      </c>
      <c r="D50" s="364">
        <f>D19*VLOOKUP($B19,price,7,FALSE)*Parameters!$B$9/1000*SUMPRODUCT(D$29:D$31,'Product Mix'!$B$25:$B$27)*(1+Parameters!$B$3)^(D$35-$C$35)</f>
        <v>0</v>
      </c>
      <c r="E50" s="364">
        <f>E19*VLOOKUP($B19,price,7,FALSE)*Parameters!$B$9/1000*SUMPRODUCT(E$29:E$31,'Product Mix'!$B$25:$B$27)*(1+Parameters!$B$3)^(E$35-$C$35)</f>
        <v>504.8071875</v>
      </c>
      <c r="F50" s="364">
        <f>F19*VLOOKUP($B19,price,7,FALSE)*Parameters!$B$9/1000*SUMPRODUCT(F$29:F$31,'Product Mix'!$B$25:$B$27)*(1+Parameters!$B$3)^(F$35-$C$35)</f>
        <v>515.72193750000008</v>
      </c>
      <c r="G50" s="364">
        <f>G19*VLOOKUP($B19,price,7,FALSE)*Parameters!$B$9/1000*SUMPRODUCT(G$29:G$31,'Product Mix'!$B$25:$B$27)*(1+Parameters!$B$3)^(G$35-$C$35)</f>
        <v>541.50803437499997</v>
      </c>
      <c r="H50" s="364">
        <f>H19*VLOOKUP($B19,price,7,FALSE)*Parameters!$B$9/1000*SUMPRODUCT(H$29:H$31,'Product Mix'!$B$25:$B$27)*(1+Parameters!$B$3)^(H$35-$C$35)</f>
        <v>568.58343609375004</v>
      </c>
      <c r="I50" s="364">
        <f>I19*VLOOKUP($B19,price,7,FALSE)*Parameters!$B$9/1000*SUMPRODUCT(I$29:I$31,'Product Mix'!$B$25:$B$27)*(1+Parameters!$B$3)^(I$35-$C$35)</f>
        <v>597.01260789843752</v>
      </c>
    </row>
    <row r="51" spans="2:9" x14ac:dyDescent="0.2">
      <c r="B51" s="5" t="s">
        <v>15</v>
      </c>
      <c r="C51" s="364">
        <f>C20*VLOOKUP($B20,price,7,FALSE)*Parameters!$B$9/1000*SUMPRODUCT(C$29:C$31,'Product Mix'!$B$25:$B$27)*(1+Parameters!$B$3)^(C$35-$C$35)</f>
        <v>0</v>
      </c>
      <c r="D51" s="364">
        <f>D20*VLOOKUP($B20,price,7,FALSE)*Parameters!$B$9/1000*SUMPRODUCT(D$29:D$31,'Product Mix'!$B$25:$B$27)*(1+Parameters!$B$3)^(D$35-$C$35)</f>
        <v>0</v>
      </c>
      <c r="E51" s="364">
        <f>E20*VLOOKUP($B20,price,7,FALSE)*Parameters!$B$9/1000*SUMPRODUCT(E$29:E$31,'Product Mix'!$B$25:$B$27)*(1+Parameters!$B$3)^(E$35-$C$35)</f>
        <v>504.8071875</v>
      </c>
      <c r="F51" s="364">
        <f>F20*VLOOKUP($B20,price,7,FALSE)*Parameters!$B$9/1000*SUMPRODUCT(F$29:F$31,'Product Mix'!$B$25:$B$27)*(1+Parameters!$B$3)^(F$35-$C$35)</f>
        <v>515.72193750000008</v>
      </c>
      <c r="G51" s="364">
        <f>G20*VLOOKUP($B20,price,7,FALSE)*Parameters!$B$9/1000*SUMPRODUCT(G$29:G$31,'Product Mix'!$B$25:$B$27)*(1+Parameters!$B$3)^(G$35-$C$35)</f>
        <v>541.50803437499997</v>
      </c>
      <c r="H51" s="364">
        <f>H20*VLOOKUP($B20,price,7,FALSE)*Parameters!$B$9/1000*SUMPRODUCT(H$29:H$31,'Product Mix'!$B$25:$B$27)*(1+Parameters!$B$3)^(H$35-$C$35)</f>
        <v>568.58343609375004</v>
      </c>
      <c r="I51" s="364">
        <f>I20*VLOOKUP($B20,price,7,FALSE)*Parameters!$B$9/1000*SUMPRODUCT(I$29:I$31,'Product Mix'!$B$25:$B$27)*(1+Parameters!$B$3)^(I$35-$C$35)</f>
        <v>597.01260789843752</v>
      </c>
    </row>
    <row r="52" spans="2:9" x14ac:dyDescent="0.2">
      <c r="B52" s="5" t="s">
        <v>2</v>
      </c>
      <c r="C52" s="364">
        <f>C21*VLOOKUP($B21,price,7,FALSE)*Parameters!$B$9/1000*SUMPRODUCT(C$29:C$31,'Product Mix'!$B$25:$B$27)*(1+Parameters!$B$3)^(C$35-$C$35)</f>
        <v>0</v>
      </c>
      <c r="D52" s="364">
        <f>D21*VLOOKUP($B21,price,7,FALSE)*Parameters!$B$9/1000*SUMPRODUCT(D$29:D$31,'Product Mix'!$B$25:$B$27)*(1+Parameters!$B$3)^(D$35-$C$35)</f>
        <v>0</v>
      </c>
      <c r="E52" s="364">
        <f>E21*VLOOKUP($B21,price,7,FALSE)*Parameters!$B$9/1000*SUMPRODUCT(E$29:E$31,'Product Mix'!$B$25:$B$27)*(1+Parameters!$B$3)^(E$35-$C$35)</f>
        <v>504.8071875</v>
      </c>
      <c r="F52" s="364">
        <f>F21*VLOOKUP($B21,price,7,FALSE)*Parameters!$B$9/1000*SUMPRODUCT(F$29:F$31,'Product Mix'!$B$25:$B$27)*(1+Parameters!$B$3)^(F$35-$C$35)</f>
        <v>515.72193750000008</v>
      </c>
      <c r="G52" s="364">
        <f>G21*VLOOKUP($B21,price,7,FALSE)*Parameters!$B$9/1000*SUMPRODUCT(G$29:G$31,'Product Mix'!$B$25:$B$27)*(1+Parameters!$B$3)^(G$35-$C$35)</f>
        <v>541.50803437499997</v>
      </c>
      <c r="H52" s="364">
        <f>H21*VLOOKUP($B21,price,7,FALSE)*Parameters!$B$9/1000*SUMPRODUCT(H$29:H$31,'Product Mix'!$B$25:$B$27)*(1+Parameters!$B$3)^(H$35-$C$35)</f>
        <v>568.58343609375004</v>
      </c>
      <c r="I52" s="364">
        <f>I21*VLOOKUP($B21,price,7,FALSE)*Parameters!$B$9/1000*SUMPRODUCT(I$29:I$31,'Product Mix'!$B$25:$B$27)*(1+Parameters!$B$3)^(I$35-$C$35)</f>
        <v>597.01260789843752</v>
      </c>
    </row>
    <row r="53" spans="2:9" ht="15" thickBot="1" x14ac:dyDescent="0.25">
      <c r="B53" s="15" t="s">
        <v>16</v>
      </c>
      <c r="C53" s="364">
        <f>C22*VLOOKUP($B22,price,7,FALSE)*Parameters!$B$9/1000*SUMPRODUCT(C$29:C$31,'Product Mix'!$B$25:$B$27)*(1+Parameters!$B$3)^(C$35-$C$35)</f>
        <v>0</v>
      </c>
      <c r="D53" s="364">
        <f>D22*VLOOKUP($B22,price,7,FALSE)*Parameters!$B$9/1000*SUMPRODUCT(D$29:D$31,'Product Mix'!$B$25:$B$27)*(1+Parameters!$B$3)^(D$35-$C$35)</f>
        <v>0</v>
      </c>
      <c r="E53" s="364">
        <f>E22*VLOOKUP($B22,price,7,FALSE)*Parameters!$B$9/1000*SUMPRODUCT(E$29:E$31,'Product Mix'!$B$25:$B$27)*(1+Parameters!$B$3)^(E$35-$C$35)</f>
        <v>336.53812500000004</v>
      </c>
      <c r="F53" s="364">
        <f>F22*VLOOKUP($B22,price,7,FALSE)*Parameters!$B$9/1000*SUMPRODUCT(F$29:F$31,'Product Mix'!$B$25:$B$27)*(1+Parameters!$B$3)^(F$35-$C$35)</f>
        <v>343.81462500000004</v>
      </c>
      <c r="G53" s="364">
        <f>G22*VLOOKUP($B22,price,7,FALSE)*Parameters!$B$9/1000*SUMPRODUCT(G$29:G$31,'Product Mix'!$B$25:$B$27)*(1+Parameters!$B$3)^(G$35-$C$35)</f>
        <v>361.00535624999998</v>
      </c>
      <c r="H53" s="364">
        <f>H22*VLOOKUP($B22,price,7,FALSE)*Parameters!$B$9/1000*SUMPRODUCT(H$29:H$31,'Product Mix'!$B$25:$B$27)*(1+Parameters!$B$3)^(H$35-$C$35)</f>
        <v>379.05562406250004</v>
      </c>
      <c r="I53" s="364">
        <f>I22*VLOOKUP($B22,price,7,FALSE)*Parameters!$B$9/1000*SUMPRODUCT(I$29:I$31,'Product Mix'!$B$25:$B$27)*(1+Parameters!$B$3)^(I$35-$C$35)</f>
        <v>398.00840526562502</v>
      </c>
    </row>
    <row r="54" spans="2:9" ht="15" thickBot="1" x14ac:dyDescent="0.25">
      <c r="B54" s="16" t="s">
        <v>31</v>
      </c>
      <c r="C54" s="19">
        <f>SUM(C47:C53)</f>
        <v>0</v>
      </c>
      <c r="D54" s="19">
        <f t="shared" ref="D54" si="18">SUM(D47:D53)</f>
        <v>506.75625000000008</v>
      </c>
      <c r="E54" s="19">
        <f t="shared" ref="E54" si="19">SUM(E47:E53)</f>
        <v>3365.3812499999999</v>
      </c>
      <c r="F54" s="19">
        <f t="shared" ref="F54" si="20">SUM(F47:F53)</f>
        <v>3438.1462500000002</v>
      </c>
      <c r="G54" s="19">
        <f t="shared" ref="G54" si="21">SUM(G47:G53)</f>
        <v>3610.0535625000002</v>
      </c>
      <c r="H54" s="19">
        <f t="shared" ref="H54:I54" si="22">SUM(H47:H53)</f>
        <v>3790.5562406250006</v>
      </c>
      <c r="I54" s="19">
        <f t="shared" si="22"/>
        <v>3980.0840526562506</v>
      </c>
    </row>
    <row r="55" spans="2:9" ht="15" thickBot="1" x14ac:dyDescent="0.25"/>
    <row r="56" spans="2:9" ht="15" thickBot="1" x14ac:dyDescent="0.25">
      <c r="B56" s="20" t="s">
        <v>33</v>
      </c>
      <c r="C56" s="21">
        <f>SUM(C44,C54)</f>
        <v>0</v>
      </c>
      <c r="D56" s="21">
        <f t="shared" ref="D56:H56" si="23">SUM(D44,D54)</f>
        <v>1520.2687500000002</v>
      </c>
      <c r="E56" s="21">
        <f t="shared" si="23"/>
        <v>6730.7624999999998</v>
      </c>
      <c r="F56" s="21">
        <f t="shared" si="23"/>
        <v>6876.2925000000005</v>
      </c>
      <c r="G56" s="21">
        <f t="shared" si="23"/>
        <v>7220.1071250000005</v>
      </c>
      <c r="H56" s="21">
        <f t="shared" si="23"/>
        <v>7581.1124812500011</v>
      </c>
      <c r="I56" s="21">
        <f t="shared" ref="I56" si="24">SUM(I44,I54)</f>
        <v>7960.1681053125012</v>
      </c>
    </row>
    <row r="58" spans="2:9" x14ac:dyDescent="0.2">
      <c r="B58" s="1" t="s">
        <v>34</v>
      </c>
      <c r="H58" s="28"/>
      <c r="I58" s="28" t="s">
        <v>35</v>
      </c>
    </row>
    <row r="59" spans="2:9" x14ac:dyDescent="0.2">
      <c r="B59" s="12" t="s">
        <v>24</v>
      </c>
      <c r="C59" s="12">
        <v>2019</v>
      </c>
      <c r="D59" s="13">
        <v>2020</v>
      </c>
      <c r="E59" s="13">
        <v>2021</v>
      </c>
      <c r="F59" s="13">
        <v>2022</v>
      </c>
      <c r="G59" s="13">
        <v>2023</v>
      </c>
      <c r="H59" s="14">
        <v>2024</v>
      </c>
      <c r="I59" s="14">
        <v>2025</v>
      </c>
    </row>
    <row r="60" spans="2:9" x14ac:dyDescent="0.2">
      <c r="B60" s="11" t="s">
        <v>25</v>
      </c>
      <c r="C60" s="17">
        <f>C$56*C29</f>
        <v>0</v>
      </c>
      <c r="D60" s="17">
        <f t="shared" ref="D60:H60" si="25">D$56*D29</f>
        <v>1368.2418750000002</v>
      </c>
      <c r="E60" s="17">
        <f t="shared" si="25"/>
        <v>5384.6100000000006</v>
      </c>
      <c r="F60" s="17">
        <f t="shared" si="25"/>
        <v>4813.4047499999997</v>
      </c>
      <c r="G60" s="17">
        <f t="shared" si="25"/>
        <v>5054.0749875000001</v>
      </c>
      <c r="H60" s="17">
        <f t="shared" si="25"/>
        <v>5306.7787368750005</v>
      </c>
      <c r="I60" s="17">
        <f t="shared" ref="I60" si="26">I$56*I29</f>
        <v>5572.1176737187507</v>
      </c>
    </row>
    <row r="61" spans="2:9" x14ac:dyDescent="0.2">
      <c r="B61" s="5" t="s">
        <v>27</v>
      </c>
      <c r="C61" s="18">
        <f t="shared" ref="C61:H61" si="27">C$56*C30</f>
        <v>0</v>
      </c>
      <c r="D61" s="18">
        <f t="shared" si="27"/>
        <v>152.02687500000002</v>
      </c>
      <c r="E61" s="18">
        <f>E$56*E30</f>
        <v>673.07625000000007</v>
      </c>
      <c r="F61" s="18">
        <f t="shared" si="27"/>
        <v>1375.2585000000001</v>
      </c>
      <c r="G61" s="18">
        <f t="shared" si="27"/>
        <v>1444.0214250000001</v>
      </c>
      <c r="H61" s="18">
        <f t="shared" si="27"/>
        <v>1516.2224962500004</v>
      </c>
      <c r="I61" s="18">
        <f t="shared" ref="I61" si="28">I$56*I30</f>
        <v>1592.0336210625003</v>
      </c>
    </row>
    <row r="62" spans="2:9" ht="15" thickBot="1" x14ac:dyDescent="0.25">
      <c r="B62" s="6" t="s">
        <v>26</v>
      </c>
      <c r="C62" s="24">
        <f t="shared" ref="C62:H62" si="29">C$56*C31</f>
        <v>0</v>
      </c>
      <c r="D62" s="24">
        <f t="shared" si="29"/>
        <v>0</v>
      </c>
      <c r="E62" s="24">
        <f t="shared" si="29"/>
        <v>673.07625000000007</v>
      </c>
      <c r="F62" s="24">
        <f t="shared" si="29"/>
        <v>687.62925000000007</v>
      </c>
      <c r="G62" s="24">
        <f t="shared" si="29"/>
        <v>722.01071250000007</v>
      </c>
      <c r="H62" s="24">
        <f t="shared" si="29"/>
        <v>758.1112481250002</v>
      </c>
      <c r="I62" s="24">
        <f t="shared" ref="I62" si="30">I$56*I31</f>
        <v>796.01681053125014</v>
      </c>
    </row>
    <row r="63" spans="2:9" ht="15" thickBot="1" x14ac:dyDescent="0.25">
      <c r="B63" s="20" t="s">
        <v>33</v>
      </c>
      <c r="C63" s="21">
        <f>SUM(C60:C62)</f>
        <v>0</v>
      </c>
      <c r="D63" s="21">
        <f t="shared" ref="D63" si="31">SUM(D60:D62)</f>
        <v>1520.2687500000002</v>
      </c>
      <c r="E63" s="21">
        <f t="shared" ref="E63" si="32">SUM(E60:E62)</f>
        <v>6730.7625000000007</v>
      </c>
      <c r="F63" s="21">
        <f t="shared" ref="F63" si="33">SUM(F60:F62)</f>
        <v>6876.2924999999996</v>
      </c>
      <c r="G63" s="21">
        <f t="shared" ref="G63" si="34">SUM(G60:G62)</f>
        <v>7220.1071250000005</v>
      </c>
      <c r="H63" s="21">
        <f t="shared" ref="H63:I63" si="35">SUM(H60:H62)</f>
        <v>7581.1124812500011</v>
      </c>
      <c r="I63" s="21">
        <f t="shared" si="35"/>
        <v>7960.1681053125012</v>
      </c>
    </row>
  </sheetData>
  <conditionalFormatting sqref="C32:I32">
    <cfRule type="cellIs" dxfId="34" priority="9" operator="lessThan">
      <formula>1</formula>
    </cfRule>
    <cfRule type="cellIs" dxfId="33" priority="10" operator="greaterThan">
      <formula>1</formula>
    </cfRule>
  </conditionalFormatting>
  <conditionalFormatting sqref="L6:L22">
    <cfRule type="cellIs" dxfId="32" priority="6" operator="equal">
      <formula>"Ошибка"</formula>
    </cfRule>
  </conditionalFormatting>
  <conditionalFormatting sqref="C6:I12 C16:I22">
    <cfRule type="expression" dxfId="31" priority="38">
      <formula>OR($K6=C$1,$K6&lt;C$1)</formula>
    </cfRule>
  </conditionalFormatting>
  <pageMargins left="0.7" right="0.7" top="0.75" bottom="0.75" header="0.3" footer="0.3"/>
  <pageSetup paperSize="9" orientation="portrait" r:id="rId1"/>
  <ignoredErrors>
    <ignoredError sqref="C32:H32 B63:H6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W95"/>
  <sheetViews>
    <sheetView showGridLines="0" workbookViewId="0">
      <selection activeCell="H95" sqref="H95"/>
    </sheetView>
  </sheetViews>
  <sheetFormatPr defaultRowHeight="14.25" x14ac:dyDescent="0.2"/>
  <cols>
    <col min="2" max="2" width="21.125" customWidth="1"/>
    <col min="3" max="9" width="11" customWidth="1"/>
    <col min="14" max="14" width="6.125" bestFit="1" customWidth="1"/>
    <col min="15" max="15" width="6.125" customWidth="1"/>
  </cols>
  <sheetData>
    <row r="2" spans="2:23" x14ac:dyDescent="0.2">
      <c r="P2" s="53" t="s">
        <v>43</v>
      </c>
      <c r="Q2" s="53" t="s">
        <v>48</v>
      </c>
      <c r="R2" s="54" t="s">
        <v>38</v>
      </c>
      <c r="S2" s="54" t="s">
        <v>37</v>
      </c>
      <c r="T2" s="54" t="s">
        <v>36</v>
      </c>
      <c r="U2" s="60" t="s">
        <v>39</v>
      </c>
      <c r="V2" s="60" t="s">
        <v>40</v>
      </c>
      <c r="W2" s="370" t="s">
        <v>418</v>
      </c>
    </row>
    <row r="3" spans="2:23" x14ac:dyDescent="0.2">
      <c r="B3" s="1" t="s">
        <v>53</v>
      </c>
      <c r="I3" s="28" t="s">
        <v>66</v>
      </c>
      <c r="P3" s="55" t="str">
        <f>R3&amp;" мес."</f>
        <v>21 мес.</v>
      </c>
      <c r="Q3" s="55" t="s">
        <v>49</v>
      </c>
      <c r="R3" s="52">
        <v>21</v>
      </c>
      <c r="S3" s="56">
        <f>R3/12</f>
        <v>1.75</v>
      </c>
      <c r="T3" s="57">
        <f>ROUNDDOWN(S3,0)+1</f>
        <v>2</v>
      </c>
      <c r="U3" s="58">
        <f>1-V3</f>
        <v>0.25</v>
      </c>
      <c r="V3" s="59">
        <f>S3-ROUNDDOWN(S3,0)</f>
        <v>0.75</v>
      </c>
      <c r="W3" s="55">
        <f>IF(Periods[[#This Row],[Cycle]]&lt;=12,2,IF(Periods[[#This Row],[Cycle]]&gt;24,4,3))</f>
        <v>3</v>
      </c>
    </row>
    <row r="4" spans="2:23" x14ac:dyDescent="0.2">
      <c r="B4" s="12" t="s">
        <v>109</v>
      </c>
      <c r="C4" s="12">
        <v>2019</v>
      </c>
      <c r="D4" s="13">
        <v>2020</v>
      </c>
      <c r="E4" s="13">
        <v>2021</v>
      </c>
      <c r="F4" s="13">
        <v>2022</v>
      </c>
      <c r="G4" s="13">
        <v>2023</v>
      </c>
      <c r="H4" s="14">
        <v>2024</v>
      </c>
      <c r="I4" s="14">
        <v>2025</v>
      </c>
      <c r="P4" s="55" t="str">
        <f t="shared" ref="P4:P5" si="0">R4&amp;" мес."</f>
        <v>18 мес.</v>
      </c>
      <c r="Q4" s="55" t="s">
        <v>50</v>
      </c>
      <c r="R4" s="52">
        <v>18</v>
      </c>
      <c r="S4" s="56">
        <f t="shared" ref="S4:S5" si="1">R4/12</f>
        <v>1.5</v>
      </c>
      <c r="T4" s="57">
        <f t="shared" ref="T4:T5" si="2">ROUNDDOWN(S4,0)+1</f>
        <v>2</v>
      </c>
      <c r="U4" s="58">
        <f t="shared" ref="U4:U5" si="3">1-V4</f>
        <v>0.5</v>
      </c>
      <c r="V4" s="59">
        <f t="shared" ref="V4:V5" si="4">S4-ROUNDDOWN(S4,0)</f>
        <v>0.5</v>
      </c>
      <c r="W4" s="55">
        <f>IF(Periods[[#This Row],[Cycle]]&lt;=12,2,IF(Periods[[#This Row],[Cycle]]&gt;24,4,3))</f>
        <v>3</v>
      </c>
    </row>
    <row r="5" spans="2:23" x14ac:dyDescent="0.2">
      <c r="B5" s="10" t="s">
        <v>7</v>
      </c>
      <c r="C5" s="10"/>
      <c r="D5" s="10"/>
      <c r="E5" s="10"/>
      <c r="F5" s="10"/>
      <c r="G5" s="10"/>
      <c r="H5" s="10"/>
      <c r="I5" s="10"/>
      <c r="L5" s="35"/>
      <c r="P5" s="55" t="str">
        <f t="shared" si="0"/>
        <v>12 мес.</v>
      </c>
      <c r="Q5" s="55" t="s">
        <v>51</v>
      </c>
      <c r="R5" s="52">
        <v>12</v>
      </c>
      <c r="S5" s="56">
        <f t="shared" si="1"/>
        <v>1</v>
      </c>
      <c r="T5" s="57">
        <f t="shared" si="2"/>
        <v>2</v>
      </c>
      <c r="U5" s="58">
        <f t="shared" si="3"/>
        <v>1</v>
      </c>
      <c r="V5" s="59">
        <f t="shared" si="4"/>
        <v>0</v>
      </c>
      <c r="W5" s="55">
        <f>IF(Periods[[#This Row],[Cycle]]&lt;=12,2,IF(Periods[[#This Row],[Cycle]]&gt;24,4,3))</f>
        <v>2</v>
      </c>
    </row>
    <row r="6" spans="2:23" x14ac:dyDescent="0.2">
      <c r="B6" s="4" t="s">
        <v>3</v>
      </c>
      <c r="C6" s="17">
        <f t="array" aca="1" ref="C6:I6" ca="1">TRANSPOSE(MMULT(INDIRECT(VLOOKUP(VLOOKUP(B6,price,8,FALSE),Periods[],2,FALSE)),TRANSPOSE(Sales!C6:I6)))/(1-'Product Mix'!$B$37)</f>
        <v>3246.7532467532469</v>
      </c>
      <c r="D6" s="17">
        <f ca="1"/>
        <v>3246.7532467532469</v>
      </c>
      <c r="E6" s="17">
        <f ca="1"/>
        <v>3246.7532467532469</v>
      </c>
      <c r="F6" s="17">
        <f ca="1"/>
        <v>3246.7532467532469</v>
      </c>
      <c r="G6" s="17">
        <f ca="1"/>
        <v>3246.7532467532469</v>
      </c>
      <c r="H6" s="17">
        <f ca="1"/>
        <v>3246.7532467532469</v>
      </c>
      <c r="I6" s="17">
        <f ca="1"/>
        <v>0</v>
      </c>
      <c r="L6" s="36"/>
    </row>
    <row r="7" spans="2:23" x14ac:dyDescent="0.2">
      <c r="B7" s="5" t="s">
        <v>4</v>
      </c>
      <c r="C7" s="18">
        <f t="array" aca="1" ref="C7:I7" ca="1">TRANSPOSE(MMULT(INDIRECT(VLOOKUP(VLOOKUP(B7,price,8,FALSE),Periods[],2,FALSE)),TRANSPOSE(Sales!C7:I7)))/(1-'Product Mix'!$B$37)</f>
        <v>2435.0649350649351</v>
      </c>
      <c r="D7" s="18">
        <f ca="1"/>
        <v>3246.7532467532469</v>
      </c>
      <c r="E7" s="18">
        <f ca="1"/>
        <v>3246.7532467532469</v>
      </c>
      <c r="F7" s="18">
        <f ca="1"/>
        <v>3246.7532467532469</v>
      </c>
      <c r="G7" s="18">
        <f ca="1"/>
        <v>3246.7532467532469</v>
      </c>
      <c r="H7" s="18">
        <f ca="1"/>
        <v>811.68831168831173</v>
      </c>
      <c r="I7" s="18">
        <f ca="1"/>
        <v>0</v>
      </c>
      <c r="L7" s="50"/>
      <c r="N7" s="51" t="str">
        <f>P3</f>
        <v>21 мес.</v>
      </c>
      <c r="P7" s="43" t="s">
        <v>41</v>
      </c>
    </row>
    <row r="8" spans="2:23" x14ac:dyDescent="0.2">
      <c r="B8" s="5" t="s">
        <v>5</v>
      </c>
      <c r="C8" s="18">
        <f t="array" aca="1" ref="C8:I8" ca="1">TRANSPOSE(MMULT(INDIRECT(VLOOKUP(VLOOKUP(B8,price,8,FALSE),Periods[],2,FALSE)),TRANSPOSE(Sales!C8:I8)))/(1-'Product Mix'!$B$37)</f>
        <v>2435.0649350649351</v>
      </c>
      <c r="D8" s="18">
        <f ca="1"/>
        <v>3246.7532467532469</v>
      </c>
      <c r="E8" s="18">
        <f ca="1"/>
        <v>3246.7532467532469</v>
      </c>
      <c r="F8" s="18">
        <f ca="1"/>
        <v>3246.7532467532469</v>
      </c>
      <c r="G8" s="18">
        <f ca="1"/>
        <v>3246.7532467532469</v>
      </c>
      <c r="H8" s="18">
        <f ca="1"/>
        <v>811.68831168831173</v>
      </c>
      <c r="I8" s="18">
        <f ca="1"/>
        <v>0</v>
      </c>
      <c r="L8" s="35"/>
      <c r="P8" s="12">
        <v>2019</v>
      </c>
      <c r="Q8" s="13">
        <v>2020</v>
      </c>
      <c r="R8" s="13">
        <v>2021</v>
      </c>
      <c r="S8" s="13">
        <v>2022</v>
      </c>
      <c r="T8" s="13">
        <v>2023</v>
      </c>
      <c r="U8" s="14">
        <v>2024</v>
      </c>
      <c r="V8" s="14">
        <v>2025</v>
      </c>
    </row>
    <row r="9" spans="2:23" x14ac:dyDescent="0.2">
      <c r="B9" s="5" t="s">
        <v>19</v>
      </c>
      <c r="C9" s="18">
        <f t="array" aca="1" ref="C9:I9" ca="1">TRANSPOSE(MMULT(INDIRECT(VLOOKUP(VLOOKUP(B9,price,8,FALSE),Periods[],2,FALSE)),TRANSPOSE(Sales!C9:I9)))/(1-'Product Mix'!$B$37)</f>
        <v>1623.3766233766235</v>
      </c>
      <c r="D9" s="18">
        <f ca="1"/>
        <v>3246.7532467532469</v>
      </c>
      <c r="E9" s="18">
        <f ca="1"/>
        <v>3246.7532467532469</v>
      </c>
      <c r="F9" s="18">
        <f ca="1"/>
        <v>3246.7532467532469</v>
      </c>
      <c r="G9" s="18">
        <f ca="1"/>
        <v>3246.7532467532469</v>
      </c>
      <c r="H9" s="18">
        <f ca="1"/>
        <v>1623.3766233766235</v>
      </c>
      <c r="I9" s="18">
        <f ca="1"/>
        <v>0</v>
      </c>
      <c r="L9" s="35"/>
      <c r="N9" s="43" t="s">
        <v>42</v>
      </c>
      <c r="P9" s="44">
        <v>1</v>
      </c>
      <c r="Q9" s="45">
        <v>2</v>
      </c>
      <c r="R9" s="45">
        <v>3</v>
      </c>
      <c r="S9" s="45">
        <v>4</v>
      </c>
      <c r="T9" s="45">
        <v>5</v>
      </c>
      <c r="U9" s="45">
        <v>6</v>
      </c>
      <c r="V9" s="46">
        <v>7</v>
      </c>
    </row>
    <row r="10" spans="2:23" x14ac:dyDescent="0.2">
      <c r="B10" s="5" t="s">
        <v>18</v>
      </c>
      <c r="C10" s="18">
        <f t="array" aca="1" ref="C10:I10" ca="1">TRANSPOSE(MMULT(INDIRECT(VLOOKUP(VLOOKUP(B10,price,8,FALSE),Periods[],2,FALSE)),TRANSPOSE(Sales!C10:I10)))/(1-'Product Mix'!$B$37)</f>
        <v>3246.7532467532469</v>
      </c>
      <c r="D10" s="18">
        <f ca="1"/>
        <v>3246.7532467532469</v>
      </c>
      <c r="E10" s="18">
        <f ca="1"/>
        <v>3246.7532467532469</v>
      </c>
      <c r="F10" s="18">
        <f ca="1"/>
        <v>3246.7532467532469</v>
      </c>
      <c r="G10" s="18">
        <f ca="1"/>
        <v>3246.7532467532469</v>
      </c>
      <c r="H10" s="18">
        <f ca="1"/>
        <v>3246.7532467532469</v>
      </c>
      <c r="I10" s="18">
        <f ca="1"/>
        <v>0</v>
      </c>
      <c r="L10" s="35"/>
      <c r="N10" s="37">
        <v>2019</v>
      </c>
      <c r="O10" s="47">
        <v>1</v>
      </c>
      <c r="P10" s="40">
        <f t="shared" ref="P10:V16" si="5">IF(P$9-$O10=$T$3-1,$U$3,IF(P$9-$O10=$T$3,$V$3,0))</f>
        <v>0</v>
      </c>
      <c r="Q10" s="40">
        <f t="shared" si="5"/>
        <v>0.25</v>
      </c>
      <c r="R10" s="40">
        <f t="shared" si="5"/>
        <v>0.75</v>
      </c>
      <c r="S10" s="40">
        <f t="shared" si="5"/>
        <v>0</v>
      </c>
      <c r="T10" s="40">
        <f t="shared" si="5"/>
        <v>0</v>
      </c>
      <c r="U10" s="40">
        <f t="shared" si="5"/>
        <v>0</v>
      </c>
      <c r="V10" s="40">
        <f t="shared" si="5"/>
        <v>0</v>
      </c>
    </row>
    <row r="11" spans="2:23" x14ac:dyDescent="0.2">
      <c r="B11" s="5" t="s">
        <v>6</v>
      </c>
      <c r="C11" s="18">
        <f t="array" aca="1" ref="C11:I11" ca="1">TRANSPOSE(MMULT(INDIRECT(VLOOKUP(VLOOKUP(B11,price,8,FALSE),Periods[],2,FALSE)),TRANSPOSE(Sales!C11:I11)))/(1-'Product Mix'!$B$37)</f>
        <v>1623.3766233766235</v>
      </c>
      <c r="D11" s="18">
        <f ca="1"/>
        <v>3246.7532467532469</v>
      </c>
      <c r="E11" s="18">
        <f ca="1"/>
        <v>3246.7532467532469</v>
      </c>
      <c r="F11" s="18">
        <f ca="1"/>
        <v>3246.7532467532469</v>
      </c>
      <c r="G11" s="18">
        <f ca="1"/>
        <v>3246.7532467532469</v>
      </c>
      <c r="H11" s="18">
        <f ca="1"/>
        <v>1623.3766233766235</v>
      </c>
      <c r="I11" s="18">
        <f ca="1"/>
        <v>0</v>
      </c>
      <c r="L11" s="35"/>
      <c r="N11" s="38">
        <v>2020</v>
      </c>
      <c r="O11" s="48">
        <v>2</v>
      </c>
      <c r="P11" s="40">
        <f t="shared" si="5"/>
        <v>0</v>
      </c>
      <c r="Q11" s="40">
        <f t="shared" si="5"/>
        <v>0</v>
      </c>
      <c r="R11" s="40">
        <f t="shared" si="5"/>
        <v>0.25</v>
      </c>
      <c r="S11" s="40">
        <f t="shared" si="5"/>
        <v>0.75</v>
      </c>
      <c r="T11" s="40">
        <f t="shared" si="5"/>
        <v>0</v>
      </c>
      <c r="U11" s="40">
        <f t="shared" si="5"/>
        <v>0</v>
      </c>
      <c r="V11" s="40">
        <f t="shared" si="5"/>
        <v>0</v>
      </c>
    </row>
    <row r="12" spans="2:23" ht="15" thickBot="1" x14ac:dyDescent="0.25">
      <c r="B12" s="6" t="s">
        <v>17</v>
      </c>
      <c r="C12" s="24">
        <f t="array" aca="1" ref="C12:I12" ca="1">TRANSPOSE(MMULT(INDIRECT(VLOOKUP(VLOOKUP(B12,price,8,FALSE),Periods[],2,FALSE)),TRANSPOSE(Sales!C12:I12)))/(1-'Product Mix'!$B$37)</f>
        <v>1623.3766233766235</v>
      </c>
      <c r="D12" s="24">
        <f ca="1"/>
        <v>2164.5021645021648</v>
      </c>
      <c r="E12" s="24">
        <f ca="1"/>
        <v>2164.5021645021648</v>
      </c>
      <c r="F12" s="24">
        <f ca="1"/>
        <v>2164.5021645021648</v>
      </c>
      <c r="G12" s="24">
        <f ca="1"/>
        <v>2164.5021645021648</v>
      </c>
      <c r="H12" s="24">
        <f ca="1"/>
        <v>541.12554112554119</v>
      </c>
      <c r="I12" s="24">
        <f ca="1"/>
        <v>0</v>
      </c>
      <c r="N12" s="38">
        <v>2021</v>
      </c>
      <c r="O12" s="48">
        <v>3</v>
      </c>
      <c r="P12" s="40">
        <f t="shared" si="5"/>
        <v>0</v>
      </c>
      <c r="Q12" s="40">
        <f t="shared" si="5"/>
        <v>0</v>
      </c>
      <c r="R12" s="40">
        <f t="shared" si="5"/>
        <v>0</v>
      </c>
      <c r="S12" s="40">
        <f t="shared" si="5"/>
        <v>0.25</v>
      </c>
      <c r="T12" s="40">
        <f t="shared" si="5"/>
        <v>0.75</v>
      </c>
      <c r="U12" s="40">
        <f t="shared" si="5"/>
        <v>0</v>
      </c>
      <c r="V12" s="40">
        <f t="shared" si="5"/>
        <v>0</v>
      </c>
    </row>
    <row r="13" spans="2:23" ht="15" thickBot="1" x14ac:dyDescent="0.25">
      <c r="B13" s="16" t="s">
        <v>30</v>
      </c>
      <c r="C13" s="19">
        <f ca="1">SUM(C6:C12)</f>
        <v>16233.766233766235</v>
      </c>
      <c r="D13" s="19">
        <f t="shared" ref="D13:I13" ca="1" si="6">SUM(D6:D12)</f>
        <v>21645.021645021647</v>
      </c>
      <c r="E13" s="19">
        <f t="shared" ca="1" si="6"/>
        <v>21645.021645021647</v>
      </c>
      <c r="F13" s="19">
        <f t="shared" ca="1" si="6"/>
        <v>21645.021645021647</v>
      </c>
      <c r="G13" s="19">
        <f t="shared" ca="1" si="6"/>
        <v>21645.021645021647</v>
      </c>
      <c r="H13" s="19">
        <f ca="1">SUM(H6:H12)</f>
        <v>11904.761904761905</v>
      </c>
      <c r="I13" s="19">
        <f t="shared" ca="1" si="6"/>
        <v>0</v>
      </c>
      <c r="N13" s="38">
        <v>2022</v>
      </c>
      <c r="O13" s="48">
        <v>4</v>
      </c>
      <c r="P13" s="40">
        <f t="shared" si="5"/>
        <v>0</v>
      </c>
      <c r="Q13" s="40">
        <f t="shared" si="5"/>
        <v>0</v>
      </c>
      <c r="R13" s="40">
        <f t="shared" si="5"/>
        <v>0</v>
      </c>
      <c r="S13" s="40">
        <f t="shared" si="5"/>
        <v>0</v>
      </c>
      <c r="T13" s="40">
        <f t="shared" si="5"/>
        <v>0.25</v>
      </c>
      <c r="U13" s="40">
        <f t="shared" si="5"/>
        <v>0.75</v>
      </c>
      <c r="V13" s="40">
        <f t="shared" si="5"/>
        <v>0</v>
      </c>
    </row>
    <row r="14" spans="2:23" x14ac:dyDescent="0.2">
      <c r="N14" s="38">
        <v>2023</v>
      </c>
      <c r="O14" s="48">
        <v>5</v>
      </c>
      <c r="P14" s="40">
        <f t="shared" si="5"/>
        <v>0</v>
      </c>
      <c r="Q14" s="40">
        <f t="shared" si="5"/>
        <v>0</v>
      </c>
      <c r="R14" s="40">
        <f t="shared" si="5"/>
        <v>0</v>
      </c>
      <c r="S14" s="40">
        <f t="shared" si="5"/>
        <v>0</v>
      </c>
      <c r="T14" s="40">
        <f t="shared" si="5"/>
        <v>0</v>
      </c>
      <c r="U14" s="40">
        <f t="shared" si="5"/>
        <v>0.25</v>
      </c>
      <c r="V14" s="40">
        <f t="shared" si="5"/>
        <v>0.75</v>
      </c>
    </row>
    <row r="15" spans="2:23" x14ac:dyDescent="0.2">
      <c r="B15" s="10" t="s">
        <v>8</v>
      </c>
      <c r="C15" s="10"/>
      <c r="D15" s="10"/>
      <c r="E15" s="10"/>
      <c r="F15" s="10"/>
      <c r="G15" s="10"/>
      <c r="H15" s="10"/>
      <c r="I15" s="10"/>
      <c r="N15" s="38">
        <v>2024</v>
      </c>
      <c r="O15" s="48">
        <v>6</v>
      </c>
      <c r="P15" s="40">
        <f t="shared" si="5"/>
        <v>0</v>
      </c>
      <c r="Q15" s="40">
        <f t="shared" si="5"/>
        <v>0</v>
      </c>
      <c r="R15" s="40">
        <f t="shared" si="5"/>
        <v>0</v>
      </c>
      <c r="S15" s="40">
        <f t="shared" si="5"/>
        <v>0</v>
      </c>
      <c r="T15" s="40">
        <f t="shared" si="5"/>
        <v>0</v>
      </c>
      <c r="U15" s="40">
        <f t="shared" si="5"/>
        <v>0</v>
      </c>
      <c r="V15" s="40">
        <f t="shared" si="5"/>
        <v>0.25</v>
      </c>
    </row>
    <row r="16" spans="2:23" x14ac:dyDescent="0.2">
      <c r="B16" s="4" t="s">
        <v>1</v>
      </c>
      <c r="C16" s="17">
        <f t="array" aca="1" ref="C16:I16" ca="1">TRANSPOSE(MMULT(INDIRECT(VLOOKUP(VLOOKUP(B16,price,8,FALSE),Periods[],2,FALSE)),TRANSPOSE(Sales!C16:I16)))/(1-'Product Mix'!$B$37)</f>
        <v>2435.0649350649351</v>
      </c>
      <c r="D16" s="17">
        <f ca="1"/>
        <v>3246.7532467532469</v>
      </c>
      <c r="E16" s="17">
        <f ca="1"/>
        <v>3246.7532467532469</v>
      </c>
      <c r="F16" s="17">
        <f ca="1"/>
        <v>3246.7532467532469</v>
      </c>
      <c r="G16" s="17">
        <f ca="1"/>
        <v>3246.7532467532469</v>
      </c>
      <c r="H16" s="17">
        <f ca="1"/>
        <v>811.68831168831173</v>
      </c>
      <c r="I16" s="17">
        <f ca="1"/>
        <v>0</v>
      </c>
      <c r="N16" s="39">
        <v>2025</v>
      </c>
      <c r="O16" s="49">
        <v>7</v>
      </c>
      <c r="P16" s="40">
        <f t="shared" si="5"/>
        <v>0</v>
      </c>
      <c r="Q16" s="40">
        <f t="shared" si="5"/>
        <v>0</v>
      </c>
      <c r="R16" s="40">
        <f t="shared" si="5"/>
        <v>0</v>
      </c>
      <c r="S16" s="40">
        <f t="shared" si="5"/>
        <v>0</v>
      </c>
      <c r="T16" s="40">
        <f t="shared" si="5"/>
        <v>0</v>
      </c>
      <c r="U16" s="40">
        <f t="shared" si="5"/>
        <v>0</v>
      </c>
      <c r="V16" s="40">
        <f t="shared" si="5"/>
        <v>0</v>
      </c>
    </row>
    <row r="17" spans="2:22" x14ac:dyDescent="0.2">
      <c r="B17" s="5" t="s">
        <v>12</v>
      </c>
      <c r="C17" s="18">
        <f t="array" aca="1" ref="C17:I17" ca="1">TRANSPOSE(MMULT(INDIRECT(VLOOKUP(VLOOKUP(B17,price,8,FALSE),Periods[],2,FALSE)),TRANSPOSE(Sales!C17:I17)))/(1-'Product Mix'!$B$37)</f>
        <v>3246.7532467532469</v>
      </c>
      <c r="D17" s="18">
        <f ca="1"/>
        <v>3246.7532467532469</v>
      </c>
      <c r="E17" s="18">
        <f ca="1"/>
        <v>3246.7532467532469</v>
      </c>
      <c r="F17" s="18">
        <f ca="1"/>
        <v>3246.7532467532469</v>
      </c>
      <c r="G17" s="18">
        <f ca="1"/>
        <v>3246.7532467532469</v>
      </c>
      <c r="H17" s="18">
        <f ca="1"/>
        <v>3246.7532467532469</v>
      </c>
      <c r="I17" s="18">
        <f ca="1"/>
        <v>0</v>
      </c>
    </row>
    <row r="18" spans="2:22" x14ac:dyDescent="0.2">
      <c r="B18" s="5" t="s">
        <v>13</v>
      </c>
      <c r="C18" s="18">
        <f t="array" aca="1" ref="C18:I18" ca="1">TRANSPOSE(MMULT(INDIRECT(VLOOKUP(VLOOKUP(B18,price,8,FALSE),Periods[],2,FALSE)),TRANSPOSE(Sales!C18:I18)))/(1-'Product Mix'!$B$37)</f>
        <v>1623.3766233766235</v>
      </c>
      <c r="D18" s="18">
        <f ca="1"/>
        <v>3246.7532467532469</v>
      </c>
      <c r="E18" s="18">
        <f ca="1"/>
        <v>3246.7532467532469</v>
      </c>
      <c r="F18" s="18">
        <f ca="1"/>
        <v>3246.7532467532469</v>
      </c>
      <c r="G18" s="18">
        <f ca="1"/>
        <v>3246.7532467532469</v>
      </c>
      <c r="H18" s="18">
        <f ca="1"/>
        <v>1623.3766233766235</v>
      </c>
      <c r="I18" s="18">
        <f ca="1"/>
        <v>0</v>
      </c>
    </row>
    <row r="19" spans="2:22" x14ac:dyDescent="0.2">
      <c r="B19" s="5" t="s">
        <v>14</v>
      </c>
      <c r="C19" s="18">
        <f t="array" aca="1" ref="C19:I19" ca="1">TRANSPOSE(MMULT(INDIRECT(VLOOKUP(VLOOKUP(B19,price,8,FALSE),Periods[],2,FALSE)),TRANSPOSE(Sales!C19:I19)))/(1-'Product Mix'!$B$37)</f>
        <v>2435.0649350649351</v>
      </c>
      <c r="D19" s="18">
        <f ca="1"/>
        <v>3246.7532467532469</v>
      </c>
      <c r="E19" s="18">
        <f ca="1"/>
        <v>3246.7532467532469</v>
      </c>
      <c r="F19" s="18">
        <f ca="1"/>
        <v>3246.7532467532469</v>
      </c>
      <c r="G19" s="18">
        <f ca="1"/>
        <v>3246.7532467532469</v>
      </c>
      <c r="H19" s="18">
        <f ca="1"/>
        <v>811.68831168831173</v>
      </c>
      <c r="I19" s="18">
        <f ca="1"/>
        <v>0</v>
      </c>
      <c r="N19" s="51" t="str">
        <f>P4</f>
        <v>18 мес.</v>
      </c>
      <c r="P19" s="43" t="s">
        <v>41</v>
      </c>
    </row>
    <row r="20" spans="2:22" x14ac:dyDescent="0.2">
      <c r="B20" s="5" t="s">
        <v>15</v>
      </c>
      <c r="C20" s="18">
        <f t="array" aca="1" ref="C20:I20" ca="1">TRANSPOSE(MMULT(INDIRECT(VLOOKUP(VLOOKUP(B20,price,8,FALSE),Periods[],2,FALSE)),TRANSPOSE(Sales!C20:I20)))/(1-'Product Mix'!$B$37)</f>
        <v>1623.3766233766235</v>
      </c>
      <c r="D20" s="18">
        <f ca="1"/>
        <v>3246.7532467532469</v>
      </c>
      <c r="E20" s="18">
        <f ca="1"/>
        <v>3246.7532467532469</v>
      </c>
      <c r="F20" s="18">
        <f ca="1"/>
        <v>3246.7532467532469</v>
      </c>
      <c r="G20" s="18">
        <f ca="1"/>
        <v>3246.7532467532469</v>
      </c>
      <c r="H20" s="18">
        <f ca="1"/>
        <v>1623.3766233766235</v>
      </c>
      <c r="I20" s="18">
        <f ca="1"/>
        <v>0</v>
      </c>
      <c r="P20" s="12">
        <v>2019</v>
      </c>
      <c r="Q20" s="13">
        <v>2020</v>
      </c>
      <c r="R20" s="13">
        <v>2021</v>
      </c>
      <c r="S20" s="13">
        <v>2022</v>
      </c>
      <c r="T20" s="13">
        <v>2023</v>
      </c>
      <c r="U20" s="14">
        <v>2024</v>
      </c>
      <c r="V20" s="14">
        <v>2025</v>
      </c>
    </row>
    <row r="21" spans="2:22" x14ac:dyDescent="0.2">
      <c r="B21" s="5" t="s">
        <v>2</v>
      </c>
      <c r="C21" s="18">
        <f t="array" aca="1" ref="C21:I21" ca="1">TRANSPOSE(MMULT(INDIRECT(VLOOKUP(VLOOKUP(B21,price,8,FALSE),Periods[],2,FALSE)),TRANSPOSE(Sales!C21:I21)))/(1-'Product Mix'!$B$37)</f>
        <v>1623.3766233766235</v>
      </c>
      <c r="D21" s="18">
        <f ca="1"/>
        <v>3246.7532467532469</v>
      </c>
      <c r="E21" s="18">
        <f ca="1"/>
        <v>3246.7532467532469</v>
      </c>
      <c r="F21" s="18">
        <f ca="1"/>
        <v>3246.7532467532469</v>
      </c>
      <c r="G21" s="18">
        <f ca="1"/>
        <v>3246.7532467532469</v>
      </c>
      <c r="H21" s="18">
        <f ca="1"/>
        <v>1623.3766233766235</v>
      </c>
      <c r="I21" s="18">
        <f ca="1"/>
        <v>0</v>
      </c>
      <c r="N21" s="43" t="s">
        <v>42</v>
      </c>
      <c r="P21" s="44">
        <v>1</v>
      </c>
      <c r="Q21" s="45">
        <v>2</v>
      </c>
      <c r="R21" s="45">
        <v>3</v>
      </c>
      <c r="S21" s="45">
        <v>4</v>
      </c>
      <c r="T21" s="45">
        <v>5</v>
      </c>
      <c r="U21" s="45">
        <v>6</v>
      </c>
      <c r="V21" s="46">
        <v>7</v>
      </c>
    </row>
    <row r="22" spans="2:22" ht="15" thickBot="1" x14ac:dyDescent="0.25">
      <c r="B22" s="15" t="s">
        <v>16</v>
      </c>
      <c r="C22" s="24">
        <f t="array" aca="1" ref="C22:I22" ca="1">TRANSPOSE(MMULT(INDIRECT(VLOOKUP(VLOOKUP(B22,price,8,FALSE),Periods[],2,FALSE)),TRANSPOSE(Sales!C22:I22)))/(1-'Product Mix'!$B$37)</f>
        <v>1082.2510822510824</v>
      </c>
      <c r="D22" s="24">
        <f ca="1"/>
        <v>2164.5021645021648</v>
      </c>
      <c r="E22" s="24">
        <f ca="1"/>
        <v>2164.5021645021648</v>
      </c>
      <c r="F22" s="24">
        <f ca="1"/>
        <v>2164.5021645021648</v>
      </c>
      <c r="G22" s="24">
        <f ca="1"/>
        <v>2164.5021645021648</v>
      </c>
      <c r="H22" s="24">
        <f ca="1"/>
        <v>1082.2510822510824</v>
      </c>
      <c r="I22" s="24">
        <f ca="1"/>
        <v>0</v>
      </c>
      <c r="N22" s="37">
        <v>2019</v>
      </c>
      <c r="O22" s="47">
        <v>1</v>
      </c>
      <c r="P22" s="40">
        <f t="shared" ref="P22:V28" si="7">IF(P$9-$O22=$T$4-1,$U$4,IF(P$9-$O22=$T$4,$V$4,0))</f>
        <v>0</v>
      </c>
      <c r="Q22" s="40">
        <f t="shared" si="7"/>
        <v>0.5</v>
      </c>
      <c r="R22" s="40">
        <f t="shared" si="7"/>
        <v>0.5</v>
      </c>
      <c r="S22" s="40">
        <f t="shared" si="7"/>
        <v>0</v>
      </c>
      <c r="T22" s="40">
        <f t="shared" si="7"/>
        <v>0</v>
      </c>
      <c r="U22" s="40">
        <f t="shared" si="7"/>
        <v>0</v>
      </c>
      <c r="V22" s="40">
        <f t="shared" si="7"/>
        <v>0</v>
      </c>
    </row>
    <row r="23" spans="2:22" ht="15" thickBot="1" x14ac:dyDescent="0.25">
      <c r="B23" s="16" t="s">
        <v>31</v>
      </c>
      <c r="C23" s="19">
        <f ca="1">SUM(C16:C22)</f>
        <v>14069.264069264071</v>
      </c>
      <c r="D23" s="19">
        <f t="shared" ref="D23:I23" ca="1" si="8">SUM(D16:D22)</f>
        <v>21645.021645021647</v>
      </c>
      <c r="E23" s="19">
        <f t="shared" ca="1" si="8"/>
        <v>21645.021645021647</v>
      </c>
      <c r="F23" s="19">
        <f t="shared" ca="1" si="8"/>
        <v>21645.021645021647</v>
      </c>
      <c r="G23" s="19">
        <f t="shared" ca="1" si="8"/>
        <v>21645.021645021647</v>
      </c>
      <c r="H23" s="19">
        <f t="shared" ca="1" si="8"/>
        <v>10822.510822510823</v>
      </c>
      <c r="I23" s="19">
        <f t="shared" ca="1" si="8"/>
        <v>0</v>
      </c>
      <c r="N23" s="38">
        <v>2020</v>
      </c>
      <c r="O23" s="48">
        <v>2</v>
      </c>
      <c r="P23" s="40">
        <f t="shared" si="7"/>
        <v>0</v>
      </c>
      <c r="Q23" s="40">
        <f t="shared" si="7"/>
        <v>0</v>
      </c>
      <c r="R23" s="40">
        <f t="shared" si="7"/>
        <v>0.5</v>
      </c>
      <c r="S23" s="40">
        <f t="shared" si="7"/>
        <v>0.5</v>
      </c>
      <c r="T23" s="40">
        <f t="shared" si="7"/>
        <v>0</v>
      </c>
      <c r="U23" s="40">
        <f t="shared" si="7"/>
        <v>0</v>
      </c>
      <c r="V23" s="40">
        <f t="shared" si="7"/>
        <v>0</v>
      </c>
    </row>
    <row r="24" spans="2:22" ht="15" thickBot="1" x14ac:dyDescent="0.25">
      <c r="C24" s="115"/>
      <c r="D24" s="115"/>
      <c r="E24" s="115"/>
      <c r="F24" s="115"/>
      <c r="G24" s="115"/>
      <c r="H24" s="115"/>
      <c r="I24" s="115"/>
      <c r="N24" s="38">
        <v>2021</v>
      </c>
      <c r="O24" s="48">
        <v>3</v>
      </c>
      <c r="P24" s="40">
        <f t="shared" si="7"/>
        <v>0</v>
      </c>
      <c r="Q24" s="40">
        <f t="shared" si="7"/>
        <v>0</v>
      </c>
      <c r="R24" s="40">
        <f t="shared" si="7"/>
        <v>0</v>
      </c>
      <c r="S24" s="40">
        <f t="shared" si="7"/>
        <v>0.5</v>
      </c>
      <c r="T24" s="40">
        <f t="shared" si="7"/>
        <v>0.5</v>
      </c>
      <c r="U24" s="40">
        <f t="shared" si="7"/>
        <v>0</v>
      </c>
      <c r="V24" s="40">
        <f t="shared" si="7"/>
        <v>0</v>
      </c>
    </row>
    <row r="25" spans="2:22" ht="15" thickBot="1" x14ac:dyDescent="0.25">
      <c r="B25" s="20" t="s">
        <v>33</v>
      </c>
      <c r="C25" s="21">
        <f ca="1">SUM(C13,C23)</f>
        <v>30303.030303030304</v>
      </c>
      <c r="D25" s="21">
        <f t="shared" ref="D25:G25" ca="1" si="9">SUM(D13,D23)</f>
        <v>43290.043290043293</v>
      </c>
      <c r="E25" s="21">
        <f t="shared" ca="1" si="9"/>
        <v>43290.043290043293</v>
      </c>
      <c r="F25" s="21">
        <f t="shared" ca="1" si="9"/>
        <v>43290.043290043293</v>
      </c>
      <c r="G25" s="21">
        <f t="shared" ca="1" si="9"/>
        <v>43290.043290043293</v>
      </c>
      <c r="H25" s="21">
        <f ca="1">SUM(H13,H23)</f>
        <v>22727.272727272728</v>
      </c>
      <c r="I25" s="21">
        <f t="shared" ref="I25" ca="1" si="10">SUM(I13,I23)</f>
        <v>0</v>
      </c>
      <c r="N25" s="38">
        <v>2022</v>
      </c>
      <c r="O25" s="48">
        <v>4</v>
      </c>
      <c r="P25" s="40">
        <f t="shared" si="7"/>
        <v>0</v>
      </c>
      <c r="Q25" s="40">
        <f t="shared" si="7"/>
        <v>0</v>
      </c>
      <c r="R25" s="40">
        <f t="shared" si="7"/>
        <v>0</v>
      </c>
      <c r="S25" s="40">
        <f t="shared" si="7"/>
        <v>0</v>
      </c>
      <c r="T25" s="40">
        <f t="shared" si="7"/>
        <v>0.5</v>
      </c>
      <c r="U25" s="40">
        <f t="shared" si="7"/>
        <v>0.5</v>
      </c>
      <c r="V25" s="40">
        <f t="shared" si="7"/>
        <v>0</v>
      </c>
    </row>
    <row r="26" spans="2:22" x14ac:dyDescent="0.2">
      <c r="N26" s="38">
        <v>2023</v>
      </c>
      <c r="O26" s="48">
        <v>5</v>
      </c>
      <c r="P26" s="40">
        <f t="shared" si="7"/>
        <v>0</v>
      </c>
      <c r="Q26" s="40">
        <f t="shared" si="7"/>
        <v>0</v>
      </c>
      <c r="R26" s="40">
        <f t="shared" si="7"/>
        <v>0</v>
      </c>
      <c r="S26" s="40">
        <f t="shared" si="7"/>
        <v>0</v>
      </c>
      <c r="T26" s="40">
        <f t="shared" si="7"/>
        <v>0</v>
      </c>
      <c r="U26" s="40">
        <f t="shared" si="7"/>
        <v>0.5</v>
      </c>
      <c r="V26" s="40">
        <f t="shared" si="7"/>
        <v>0.5</v>
      </c>
    </row>
    <row r="27" spans="2:22" x14ac:dyDescent="0.2">
      <c r="N27" s="38">
        <v>2024</v>
      </c>
      <c r="O27" s="48">
        <v>6</v>
      </c>
      <c r="P27" s="40">
        <f t="shared" si="7"/>
        <v>0</v>
      </c>
      <c r="Q27" s="40">
        <f t="shared" si="7"/>
        <v>0</v>
      </c>
      <c r="R27" s="40">
        <f t="shared" si="7"/>
        <v>0</v>
      </c>
      <c r="S27" s="40">
        <f t="shared" si="7"/>
        <v>0</v>
      </c>
      <c r="T27" s="40">
        <f t="shared" si="7"/>
        <v>0</v>
      </c>
      <c r="U27" s="40">
        <f t="shared" si="7"/>
        <v>0</v>
      </c>
      <c r="V27" s="40">
        <f t="shared" si="7"/>
        <v>0.5</v>
      </c>
    </row>
    <row r="28" spans="2:22" x14ac:dyDescent="0.2">
      <c r="B28" s="1" t="s">
        <v>67</v>
      </c>
      <c r="I28" s="28" t="s">
        <v>54</v>
      </c>
      <c r="N28" s="39">
        <v>2025</v>
      </c>
      <c r="O28" s="49">
        <v>7</v>
      </c>
      <c r="P28" s="40">
        <f t="shared" si="7"/>
        <v>0</v>
      </c>
      <c r="Q28" s="40">
        <f t="shared" si="7"/>
        <v>0</v>
      </c>
      <c r="R28" s="40">
        <f t="shared" si="7"/>
        <v>0</v>
      </c>
      <c r="S28" s="40">
        <f t="shared" si="7"/>
        <v>0</v>
      </c>
      <c r="T28" s="40">
        <f t="shared" si="7"/>
        <v>0</v>
      </c>
      <c r="U28" s="40">
        <f t="shared" si="7"/>
        <v>0</v>
      </c>
      <c r="V28" s="40">
        <f t="shared" si="7"/>
        <v>0</v>
      </c>
    </row>
    <row r="29" spans="2:22" x14ac:dyDescent="0.2">
      <c r="B29" s="12" t="s">
        <v>110</v>
      </c>
      <c r="C29" s="12">
        <v>2019</v>
      </c>
      <c r="D29" s="13">
        <v>2020</v>
      </c>
      <c r="E29" s="13">
        <v>2021</v>
      </c>
      <c r="F29" s="13">
        <v>2022</v>
      </c>
      <c r="G29" s="13">
        <v>2023</v>
      </c>
      <c r="H29" s="14">
        <v>2024</v>
      </c>
      <c r="I29" s="14">
        <v>2025</v>
      </c>
    </row>
    <row r="30" spans="2:22" x14ac:dyDescent="0.2">
      <c r="B30" s="10" t="s">
        <v>7</v>
      </c>
      <c r="C30" s="10"/>
      <c r="D30" s="10"/>
      <c r="E30" s="10"/>
      <c r="F30" s="10"/>
      <c r="G30" s="10"/>
      <c r="H30" s="10"/>
      <c r="I30" s="10"/>
    </row>
    <row r="31" spans="2:22" x14ac:dyDescent="0.2">
      <c r="B31" s="4" t="s">
        <v>3</v>
      </c>
      <c r="C31" s="112">
        <f t="shared" ref="C31:I37" ca="1" si="11">C6/VLOOKUP($B31,price,12,FALSE)</f>
        <v>44.955044955044961</v>
      </c>
      <c r="D31" s="112">
        <f t="shared" ca="1" si="11"/>
        <v>44.955044955044961</v>
      </c>
      <c r="E31" s="112">
        <f t="shared" ca="1" si="11"/>
        <v>44.955044955044961</v>
      </c>
      <c r="F31" s="112">
        <f t="shared" ca="1" si="11"/>
        <v>44.955044955044961</v>
      </c>
      <c r="G31" s="112">
        <f t="shared" ca="1" si="11"/>
        <v>44.955044955044961</v>
      </c>
      <c r="H31" s="112">
        <f t="shared" ca="1" si="11"/>
        <v>44.955044955044961</v>
      </c>
      <c r="I31" s="112">
        <f t="shared" ca="1" si="11"/>
        <v>0</v>
      </c>
      <c r="N31" s="51" t="str">
        <f>P5</f>
        <v>12 мес.</v>
      </c>
      <c r="P31" s="43" t="s">
        <v>41</v>
      </c>
    </row>
    <row r="32" spans="2:22" x14ac:dyDescent="0.2">
      <c r="B32" s="5" t="s">
        <v>4</v>
      </c>
      <c r="C32" s="113">
        <f t="shared" ca="1" si="11"/>
        <v>33.716283716283719</v>
      </c>
      <c r="D32" s="113">
        <f t="shared" ca="1" si="11"/>
        <v>44.955044955044961</v>
      </c>
      <c r="E32" s="113">
        <f t="shared" ca="1" si="11"/>
        <v>44.955044955044961</v>
      </c>
      <c r="F32" s="113">
        <f t="shared" ca="1" si="11"/>
        <v>44.955044955044961</v>
      </c>
      <c r="G32" s="113">
        <f t="shared" ca="1" si="11"/>
        <v>44.955044955044961</v>
      </c>
      <c r="H32" s="113">
        <f t="shared" ca="1" si="11"/>
        <v>11.23876123876124</v>
      </c>
      <c r="I32" s="113">
        <f t="shared" ca="1" si="11"/>
        <v>0</v>
      </c>
      <c r="P32" s="12">
        <v>2019</v>
      </c>
      <c r="Q32" s="13">
        <v>2020</v>
      </c>
      <c r="R32" s="13">
        <v>2021</v>
      </c>
      <c r="S32" s="13">
        <v>2022</v>
      </c>
      <c r="T32" s="13">
        <v>2023</v>
      </c>
      <c r="U32" s="14">
        <v>2024</v>
      </c>
      <c r="V32" s="14">
        <v>2025</v>
      </c>
    </row>
    <row r="33" spans="2:22" x14ac:dyDescent="0.2">
      <c r="B33" s="5" t="s">
        <v>5</v>
      </c>
      <c r="C33" s="113">
        <f t="shared" ca="1" si="11"/>
        <v>33.716283716283719</v>
      </c>
      <c r="D33" s="113">
        <f t="shared" ca="1" si="11"/>
        <v>44.955044955044961</v>
      </c>
      <c r="E33" s="113">
        <f t="shared" ca="1" si="11"/>
        <v>44.955044955044961</v>
      </c>
      <c r="F33" s="113">
        <f t="shared" ca="1" si="11"/>
        <v>44.955044955044961</v>
      </c>
      <c r="G33" s="113">
        <f t="shared" ca="1" si="11"/>
        <v>44.955044955044961</v>
      </c>
      <c r="H33" s="113">
        <f t="shared" ca="1" si="11"/>
        <v>11.23876123876124</v>
      </c>
      <c r="I33" s="113">
        <f t="shared" ca="1" si="11"/>
        <v>0</v>
      </c>
      <c r="N33" s="43" t="s">
        <v>42</v>
      </c>
      <c r="P33" s="44">
        <v>1</v>
      </c>
      <c r="Q33" s="45">
        <v>2</v>
      </c>
      <c r="R33" s="45">
        <v>3</v>
      </c>
      <c r="S33" s="45">
        <v>4</v>
      </c>
      <c r="T33" s="45">
        <v>5</v>
      </c>
      <c r="U33" s="45">
        <v>6</v>
      </c>
      <c r="V33" s="46">
        <v>7</v>
      </c>
    </row>
    <row r="34" spans="2:22" x14ac:dyDescent="0.2">
      <c r="B34" s="5" t="s">
        <v>19</v>
      </c>
      <c r="C34" s="113">
        <f t="shared" ca="1" si="11"/>
        <v>22.477522477522481</v>
      </c>
      <c r="D34" s="113">
        <f t="shared" ca="1" si="11"/>
        <v>44.955044955044961</v>
      </c>
      <c r="E34" s="113">
        <f t="shared" ca="1" si="11"/>
        <v>44.955044955044961</v>
      </c>
      <c r="F34" s="113">
        <f t="shared" ca="1" si="11"/>
        <v>44.955044955044961</v>
      </c>
      <c r="G34" s="113">
        <f t="shared" ca="1" si="11"/>
        <v>44.955044955044961</v>
      </c>
      <c r="H34" s="113">
        <f t="shared" ca="1" si="11"/>
        <v>22.477522477522481</v>
      </c>
      <c r="I34" s="113">
        <f t="shared" ca="1" si="11"/>
        <v>0</v>
      </c>
      <c r="N34" s="37">
        <v>2019</v>
      </c>
      <c r="O34" s="47">
        <v>1</v>
      </c>
      <c r="P34" s="40">
        <f t="shared" ref="P34:V40" si="12">IF(P$9-$O34=$T$5-1,$U$5,IF(P$9-$O34=$T$5,$V$5,0))</f>
        <v>0</v>
      </c>
      <c r="Q34" s="40">
        <f t="shared" si="12"/>
        <v>1</v>
      </c>
      <c r="R34" s="40">
        <f t="shared" si="12"/>
        <v>0</v>
      </c>
      <c r="S34" s="40">
        <f t="shared" si="12"/>
        <v>0</v>
      </c>
      <c r="T34" s="40">
        <f t="shared" si="12"/>
        <v>0</v>
      </c>
      <c r="U34" s="40">
        <f t="shared" si="12"/>
        <v>0</v>
      </c>
      <c r="V34" s="40">
        <f t="shared" si="12"/>
        <v>0</v>
      </c>
    </row>
    <row r="35" spans="2:22" x14ac:dyDescent="0.2">
      <c r="B35" s="5" t="s">
        <v>18</v>
      </c>
      <c r="C35" s="113">
        <f t="shared" ca="1" si="11"/>
        <v>44.955044955044961</v>
      </c>
      <c r="D35" s="113">
        <f t="shared" ca="1" si="11"/>
        <v>44.955044955044961</v>
      </c>
      <c r="E35" s="113">
        <f t="shared" ca="1" si="11"/>
        <v>44.955044955044961</v>
      </c>
      <c r="F35" s="113">
        <f t="shared" ca="1" si="11"/>
        <v>44.955044955044961</v>
      </c>
      <c r="G35" s="113">
        <f t="shared" ca="1" si="11"/>
        <v>44.955044955044961</v>
      </c>
      <c r="H35" s="113">
        <f t="shared" ca="1" si="11"/>
        <v>44.955044955044961</v>
      </c>
      <c r="I35" s="113">
        <f t="shared" ca="1" si="11"/>
        <v>0</v>
      </c>
      <c r="N35" s="38">
        <v>2020</v>
      </c>
      <c r="O35" s="48">
        <v>2</v>
      </c>
      <c r="P35" s="40">
        <f t="shared" si="12"/>
        <v>0</v>
      </c>
      <c r="Q35" s="40">
        <f t="shared" si="12"/>
        <v>0</v>
      </c>
      <c r="R35" s="40">
        <f t="shared" si="12"/>
        <v>1</v>
      </c>
      <c r="S35" s="40">
        <f t="shared" si="12"/>
        <v>0</v>
      </c>
      <c r="T35" s="40">
        <f t="shared" si="12"/>
        <v>0</v>
      </c>
      <c r="U35" s="40">
        <f t="shared" si="12"/>
        <v>0</v>
      </c>
      <c r="V35" s="40">
        <f t="shared" si="12"/>
        <v>0</v>
      </c>
    </row>
    <row r="36" spans="2:22" x14ac:dyDescent="0.2">
      <c r="B36" s="5" t="s">
        <v>6</v>
      </c>
      <c r="C36" s="113">
        <f t="shared" ca="1" si="11"/>
        <v>22.477522477522481</v>
      </c>
      <c r="D36" s="113">
        <f t="shared" ca="1" si="11"/>
        <v>44.955044955044961</v>
      </c>
      <c r="E36" s="113">
        <f t="shared" ca="1" si="11"/>
        <v>44.955044955044961</v>
      </c>
      <c r="F36" s="113">
        <f t="shared" ca="1" si="11"/>
        <v>44.955044955044961</v>
      </c>
      <c r="G36" s="113">
        <f t="shared" ca="1" si="11"/>
        <v>44.955044955044961</v>
      </c>
      <c r="H36" s="113">
        <f t="shared" ca="1" si="11"/>
        <v>22.477522477522481</v>
      </c>
      <c r="I36" s="113">
        <f t="shared" ca="1" si="11"/>
        <v>0</v>
      </c>
      <c r="N36" s="38">
        <v>2021</v>
      </c>
      <c r="O36" s="48">
        <v>3</v>
      </c>
      <c r="P36" s="40">
        <f t="shared" si="12"/>
        <v>0</v>
      </c>
      <c r="Q36" s="40">
        <f t="shared" si="12"/>
        <v>0</v>
      </c>
      <c r="R36" s="40">
        <f t="shared" si="12"/>
        <v>0</v>
      </c>
      <c r="S36" s="40">
        <f t="shared" si="12"/>
        <v>1</v>
      </c>
      <c r="T36" s="40">
        <f t="shared" si="12"/>
        <v>0</v>
      </c>
      <c r="U36" s="40">
        <f t="shared" si="12"/>
        <v>0</v>
      </c>
      <c r="V36" s="40">
        <f t="shared" si="12"/>
        <v>0</v>
      </c>
    </row>
    <row r="37" spans="2:22" ht="15" thickBot="1" x14ac:dyDescent="0.25">
      <c r="B37" s="6" t="s">
        <v>17</v>
      </c>
      <c r="C37" s="114">
        <f t="shared" ca="1" si="11"/>
        <v>22.477522477522481</v>
      </c>
      <c r="D37" s="114">
        <f t="shared" ca="1" si="11"/>
        <v>29.970029970029977</v>
      </c>
      <c r="E37" s="114">
        <f t="shared" ca="1" si="11"/>
        <v>29.970029970029977</v>
      </c>
      <c r="F37" s="114">
        <f t="shared" ca="1" si="11"/>
        <v>29.970029970029977</v>
      </c>
      <c r="G37" s="114">
        <f t="shared" ca="1" si="11"/>
        <v>29.970029970029977</v>
      </c>
      <c r="H37" s="114">
        <f t="shared" ca="1" si="11"/>
        <v>7.4925074925074941</v>
      </c>
      <c r="I37" s="114">
        <f t="shared" ca="1" si="11"/>
        <v>0</v>
      </c>
      <c r="N37" s="38">
        <v>2022</v>
      </c>
      <c r="O37" s="48">
        <v>4</v>
      </c>
      <c r="P37" s="40">
        <f t="shared" si="12"/>
        <v>0</v>
      </c>
      <c r="Q37" s="40">
        <f t="shared" si="12"/>
        <v>0</v>
      </c>
      <c r="R37" s="40">
        <f t="shared" si="12"/>
        <v>0</v>
      </c>
      <c r="S37" s="40">
        <f t="shared" si="12"/>
        <v>0</v>
      </c>
      <c r="T37" s="40">
        <f t="shared" si="12"/>
        <v>1</v>
      </c>
      <c r="U37" s="40">
        <f t="shared" si="12"/>
        <v>0</v>
      </c>
      <c r="V37" s="40">
        <f t="shared" si="12"/>
        <v>0</v>
      </c>
    </row>
    <row r="38" spans="2:22" ht="15" thickBot="1" x14ac:dyDescent="0.25">
      <c r="B38" s="16" t="s">
        <v>30</v>
      </c>
      <c r="C38" s="116">
        <f ca="1">SUM(C31:C37)</f>
        <v>224.77522477522481</v>
      </c>
      <c r="D38" s="116">
        <f t="shared" ref="D38:I38" ca="1" si="13">SUM(D31:D37)</f>
        <v>299.70029970029975</v>
      </c>
      <c r="E38" s="116">
        <f t="shared" ca="1" si="13"/>
        <v>299.70029970029975</v>
      </c>
      <c r="F38" s="116">
        <f t="shared" ca="1" si="13"/>
        <v>299.70029970029975</v>
      </c>
      <c r="G38" s="116">
        <f t="shared" ca="1" si="13"/>
        <v>299.70029970029975</v>
      </c>
      <c r="H38" s="116">
        <f t="shared" ca="1" si="13"/>
        <v>164.83516483516485</v>
      </c>
      <c r="I38" s="116">
        <f t="shared" ca="1" si="13"/>
        <v>0</v>
      </c>
      <c r="N38" s="38">
        <v>2023</v>
      </c>
      <c r="O38" s="48">
        <v>5</v>
      </c>
      <c r="P38" s="40">
        <f t="shared" si="12"/>
        <v>0</v>
      </c>
      <c r="Q38" s="40">
        <f t="shared" si="12"/>
        <v>0</v>
      </c>
      <c r="R38" s="40">
        <f t="shared" si="12"/>
        <v>0</v>
      </c>
      <c r="S38" s="40">
        <f t="shared" si="12"/>
        <v>0</v>
      </c>
      <c r="T38" s="40">
        <f t="shared" si="12"/>
        <v>0</v>
      </c>
      <c r="U38" s="40">
        <f t="shared" si="12"/>
        <v>1</v>
      </c>
      <c r="V38" s="40">
        <f t="shared" si="12"/>
        <v>0</v>
      </c>
    </row>
    <row r="39" spans="2:22" x14ac:dyDescent="0.2">
      <c r="N39" s="38">
        <v>2024</v>
      </c>
      <c r="O39" s="48">
        <v>6</v>
      </c>
      <c r="P39" s="40">
        <f t="shared" si="12"/>
        <v>0</v>
      </c>
      <c r="Q39" s="40">
        <f t="shared" si="12"/>
        <v>0</v>
      </c>
      <c r="R39" s="40">
        <f t="shared" si="12"/>
        <v>0</v>
      </c>
      <c r="S39" s="40">
        <f t="shared" si="12"/>
        <v>0</v>
      </c>
      <c r="T39" s="40">
        <f t="shared" si="12"/>
        <v>0</v>
      </c>
      <c r="U39" s="40">
        <f t="shared" si="12"/>
        <v>0</v>
      </c>
      <c r="V39" s="40">
        <f t="shared" si="12"/>
        <v>1</v>
      </c>
    </row>
    <row r="40" spans="2:22" x14ac:dyDescent="0.2">
      <c r="B40" s="10" t="s">
        <v>8</v>
      </c>
      <c r="C40" s="10"/>
      <c r="D40" s="10"/>
      <c r="E40" s="10"/>
      <c r="F40" s="10"/>
      <c r="G40" s="10"/>
      <c r="H40" s="10"/>
      <c r="I40" s="10"/>
      <c r="N40" s="39">
        <v>2025</v>
      </c>
      <c r="O40" s="49">
        <v>7</v>
      </c>
      <c r="P40" s="40">
        <f t="shared" si="12"/>
        <v>0</v>
      </c>
      <c r="Q40" s="40">
        <f t="shared" si="12"/>
        <v>0</v>
      </c>
      <c r="R40" s="40">
        <f t="shared" si="12"/>
        <v>0</v>
      </c>
      <c r="S40" s="40">
        <f t="shared" si="12"/>
        <v>0</v>
      </c>
      <c r="T40" s="40">
        <f t="shared" si="12"/>
        <v>0</v>
      </c>
      <c r="U40" s="40">
        <f t="shared" si="12"/>
        <v>0</v>
      </c>
      <c r="V40" s="40">
        <f t="shared" si="12"/>
        <v>0</v>
      </c>
    </row>
    <row r="41" spans="2:22" x14ac:dyDescent="0.2">
      <c r="B41" s="4" t="s">
        <v>1</v>
      </c>
      <c r="C41" s="112">
        <f t="shared" ref="C41:I47" ca="1" si="14">C16/VLOOKUP($B41,price,12,FALSE)</f>
        <v>33.716283716283719</v>
      </c>
      <c r="D41" s="112">
        <f t="shared" ca="1" si="14"/>
        <v>44.955044955044961</v>
      </c>
      <c r="E41" s="112">
        <f t="shared" ca="1" si="14"/>
        <v>44.955044955044961</v>
      </c>
      <c r="F41" s="112">
        <f t="shared" ca="1" si="14"/>
        <v>44.955044955044961</v>
      </c>
      <c r="G41" s="112">
        <f t="shared" ca="1" si="14"/>
        <v>44.955044955044961</v>
      </c>
      <c r="H41" s="112">
        <f t="shared" ca="1" si="14"/>
        <v>11.23876123876124</v>
      </c>
      <c r="I41" s="112">
        <f t="shared" ca="1" si="14"/>
        <v>0</v>
      </c>
    </row>
    <row r="42" spans="2:22" x14ac:dyDescent="0.2">
      <c r="B42" s="5" t="s">
        <v>12</v>
      </c>
      <c r="C42" s="113">
        <f t="shared" ca="1" si="14"/>
        <v>44.955044955044961</v>
      </c>
      <c r="D42" s="113">
        <f t="shared" ca="1" si="14"/>
        <v>44.955044955044961</v>
      </c>
      <c r="E42" s="113">
        <f t="shared" ca="1" si="14"/>
        <v>44.955044955044961</v>
      </c>
      <c r="F42" s="113">
        <f t="shared" ca="1" si="14"/>
        <v>44.955044955044961</v>
      </c>
      <c r="G42" s="113">
        <f t="shared" ca="1" si="14"/>
        <v>44.955044955044961</v>
      </c>
      <c r="H42" s="113">
        <f t="shared" ca="1" si="14"/>
        <v>44.955044955044961</v>
      </c>
      <c r="I42" s="113">
        <f t="shared" ca="1" si="14"/>
        <v>0</v>
      </c>
    </row>
    <row r="43" spans="2:22" x14ac:dyDescent="0.2">
      <c r="B43" s="5" t="s">
        <v>13</v>
      </c>
      <c r="C43" s="113">
        <f t="shared" ca="1" si="14"/>
        <v>22.477522477522481</v>
      </c>
      <c r="D43" s="113">
        <f t="shared" ca="1" si="14"/>
        <v>44.955044955044961</v>
      </c>
      <c r="E43" s="113">
        <f t="shared" ca="1" si="14"/>
        <v>44.955044955044961</v>
      </c>
      <c r="F43" s="113">
        <f t="shared" ca="1" si="14"/>
        <v>44.955044955044961</v>
      </c>
      <c r="G43" s="113">
        <f t="shared" ca="1" si="14"/>
        <v>44.955044955044961</v>
      </c>
      <c r="H43" s="113">
        <f t="shared" ca="1" si="14"/>
        <v>22.477522477522481</v>
      </c>
      <c r="I43" s="113">
        <f t="shared" ca="1" si="14"/>
        <v>0</v>
      </c>
    </row>
    <row r="44" spans="2:22" x14ac:dyDescent="0.2">
      <c r="B44" s="5" t="s">
        <v>14</v>
      </c>
      <c r="C44" s="113">
        <f t="shared" ca="1" si="14"/>
        <v>33.716283716283719</v>
      </c>
      <c r="D44" s="113">
        <f t="shared" ca="1" si="14"/>
        <v>44.955044955044961</v>
      </c>
      <c r="E44" s="113">
        <f t="shared" ca="1" si="14"/>
        <v>44.955044955044961</v>
      </c>
      <c r="F44" s="113">
        <f t="shared" ca="1" si="14"/>
        <v>44.955044955044961</v>
      </c>
      <c r="G44" s="113">
        <f t="shared" ca="1" si="14"/>
        <v>44.955044955044961</v>
      </c>
      <c r="H44" s="113">
        <f t="shared" ca="1" si="14"/>
        <v>11.23876123876124</v>
      </c>
      <c r="I44" s="113">
        <f t="shared" ca="1" si="14"/>
        <v>0</v>
      </c>
    </row>
    <row r="45" spans="2:22" x14ac:dyDescent="0.2">
      <c r="B45" s="5" t="s">
        <v>15</v>
      </c>
      <c r="C45" s="113">
        <f t="shared" ca="1" si="14"/>
        <v>22.477522477522481</v>
      </c>
      <c r="D45" s="113">
        <f t="shared" ca="1" si="14"/>
        <v>44.955044955044961</v>
      </c>
      <c r="E45" s="113">
        <f t="shared" ca="1" si="14"/>
        <v>44.955044955044961</v>
      </c>
      <c r="F45" s="113">
        <f t="shared" ca="1" si="14"/>
        <v>44.955044955044961</v>
      </c>
      <c r="G45" s="113">
        <f t="shared" ca="1" si="14"/>
        <v>44.955044955044961</v>
      </c>
      <c r="H45" s="113">
        <f t="shared" ca="1" si="14"/>
        <v>22.477522477522481</v>
      </c>
      <c r="I45" s="113">
        <f t="shared" ca="1" si="14"/>
        <v>0</v>
      </c>
    </row>
    <row r="46" spans="2:22" x14ac:dyDescent="0.2">
      <c r="B46" s="5" t="s">
        <v>2</v>
      </c>
      <c r="C46" s="113">
        <f t="shared" ca="1" si="14"/>
        <v>22.477522477522481</v>
      </c>
      <c r="D46" s="113">
        <f t="shared" ca="1" si="14"/>
        <v>44.955044955044961</v>
      </c>
      <c r="E46" s="113">
        <f t="shared" ca="1" si="14"/>
        <v>44.955044955044961</v>
      </c>
      <c r="F46" s="113">
        <f t="shared" ca="1" si="14"/>
        <v>44.955044955044961</v>
      </c>
      <c r="G46" s="113">
        <f t="shared" ca="1" si="14"/>
        <v>44.955044955044961</v>
      </c>
      <c r="H46" s="113">
        <f t="shared" ca="1" si="14"/>
        <v>22.477522477522481</v>
      </c>
      <c r="I46" s="113">
        <f t="shared" ca="1" si="14"/>
        <v>0</v>
      </c>
    </row>
    <row r="47" spans="2:22" ht="15" thickBot="1" x14ac:dyDescent="0.25">
      <c r="B47" s="15" t="s">
        <v>16</v>
      </c>
      <c r="C47" s="114">
        <f t="shared" ca="1" si="14"/>
        <v>14.985014985014988</v>
      </c>
      <c r="D47" s="114">
        <f t="shared" ca="1" si="14"/>
        <v>29.970029970029977</v>
      </c>
      <c r="E47" s="114">
        <f t="shared" ca="1" si="14"/>
        <v>29.970029970029977</v>
      </c>
      <c r="F47" s="114">
        <f t="shared" ca="1" si="14"/>
        <v>29.970029970029977</v>
      </c>
      <c r="G47" s="114">
        <f t="shared" ca="1" si="14"/>
        <v>29.970029970029977</v>
      </c>
      <c r="H47" s="114">
        <f t="shared" ca="1" si="14"/>
        <v>14.985014985014988</v>
      </c>
      <c r="I47" s="114">
        <f t="shared" ca="1" si="14"/>
        <v>0</v>
      </c>
    </row>
    <row r="48" spans="2:22" ht="15" thickBot="1" x14ac:dyDescent="0.25">
      <c r="B48" s="16" t="s">
        <v>31</v>
      </c>
      <c r="C48" s="116">
        <f ca="1">SUM(C41:C47)</f>
        <v>194.80519480519484</v>
      </c>
      <c r="D48" s="116">
        <f t="shared" ref="D48:I48" ca="1" si="15">SUM(D41:D47)</f>
        <v>299.70029970029975</v>
      </c>
      <c r="E48" s="116">
        <f t="shared" ca="1" si="15"/>
        <v>299.70029970029975</v>
      </c>
      <c r="F48" s="116">
        <f t="shared" ca="1" si="15"/>
        <v>299.70029970029975</v>
      </c>
      <c r="G48" s="116">
        <f t="shared" ca="1" si="15"/>
        <v>299.70029970029975</v>
      </c>
      <c r="H48" s="116">
        <f t="shared" ca="1" si="15"/>
        <v>149.85014985014988</v>
      </c>
      <c r="I48" s="116">
        <f t="shared" ca="1" si="15"/>
        <v>0</v>
      </c>
    </row>
    <row r="49" spans="2:9" ht="15" thickBot="1" x14ac:dyDescent="0.25"/>
    <row r="50" spans="2:9" ht="15" thickBot="1" x14ac:dyDescent="0.25">
      <c r="B50" s="20" t="s">
        <v>33</v>
      </c>
      <c r="C50" s="166">
        <f ca="1">SUM(C38,C48)</f>
        <v>419.58041958041963</v>
      </c>
      <c r="D50" s="166">
        <f t="shared" ref="D50:I50" ca="1" si="16">SUM(D38,D48)</f>
        <v>599.4005994005995</v>
      </c>
      <c r="E50" s="166">
        <f t="shared" ca="1" si="16"/>
        <v>599.4005994005995</v>
      </c>
      <c r="F50" s="166">
        <f t="shared" ca="1" si="16"/>
        <v>599.4005994005995</v>
      </c>
      <c r="G50" s="166">
        <f t="shared" ca="1" si="16"/>
        <v>599.4005994005995</v>
      </c>
      <c r="H50" s="166">
        <f t="shared" ca="1" si="16"/>
        <v>314.68531468531472</v>
      </c>
      <c r="I50" s="166">
        <f t="shared" ca="1" si="16"/>
        <v>0</v>
      </c>
    </row>
    <row r="52" spans="2:9" x14ac:dyDescent="0.2">
      <c r="C52" s="117"/>
    </row>
    <row r="53" spans="2:9" x14ac:dyDescent="0.2">
      <c r="B53" s="1" t="s">
        <v>67</v>
      </c>
      <c r="I53" s="28" t="s">
        <v>35</v>
      </c>
    </row>
    <row r="54" spans="2:9" x14ac:dyDescent="0.2">
      <c r="B54" s="12" t="s">
        <v>110</v>
      </c>
      <c r="C54" s="12">
        <v>2019</v>
      </c>
      <c r="D54" s="13">
        <v>2020</v>
      </c>
      <c r="E54" s="13">
        <v>2021</v>
      </c>
      <c r="F54" s="13">
        <v>2022</v>
      </c>
      <c r="G54" s="13">
        <v>2023</v>
      </c>
      <c r="H54" s="14">
        <v>2024</v>
      </c>
      <c r="I54" s="14">
        <v>2025</v>
      </c>
    </row>
    <row r="55" spans="2:9" x14ac:dyDescent="0.2">
      <c r="B55" s="10" t="s">
        <v>360</v>
      </c>
      <c r="C55" s="10"/>
      <c r="D55" s="10"/>
      <c r="E55" s="10"/>
      <c r="F55" s="10"/>
      <c r="G55" s="10"/>
      <c r="H55" s="10"/>
      <c r="I55" s="10"/>
    </row>
    <row r="56" spans="2:9" x14ac:dyDescent="0.2">
      <c r="B56" s="4" t="s">
        <v>3</v>
      </c>
      <c r="C56" s="112">
        <f ca="1">C31*VLOOKUP($B31,price,13,FALSE)/1000*(1+Parameters!$B$3)^(C$54-$C$54)</f>
        <v>51.698301698301705</v>
      </c>
      <c r="D56" s="112">
        <f ca="1">D31*VLOOKUP($B31,price,13,FALSE)/1000*(1+Parameters!$B$3)^(D$54-$C$54)</f>
        <v>54.283216783216794</v>
      </c>
      <c r="E56" s="112">
        <f ca="1">E31*VLOOKUP($B31,price,13,FALSE)/1000*(1+Parameters!$B$3)^(E$54-$C$54)</f>
        <v>56.997377622377634</v>
      </c>
      <c r="F56" s="112">
        <f ca="1">F31*VLOOKUP($B31,price,13,FALSE)/1000*(1+Parameters!$B$3)^(F$54-$C$54)</f>
        <v>59.847246503496521</v>
      </c>
      <c r="G56" s="112">
        <f ca="1">G31*VLOOKUP($B31,price,13,FALSE)/1000*(1+Parameters!$B$3)^(G$54-$C$54)</f>
        <v>62.839608828671338</v>
      </c>
      <c r="H56" s="112">
        <f ca="1">H31*VLOOKUP($B31,price,13,FALSE)/1000*(1+Parameters!$B$3)^(H$54-$C$54)</f>
        <v>65.981589270104905</v>
      </c>
      <c r="I56" s="112">
        <f ca="1">I31*VLOOKUP($B31,price,13,FALSE)/1000*(1+Parameters!$B$3)^(I$54-$C$54)</f>
        <v>0</v>
      </c>
    </row>
    <row r="57" spans="2:9" x14ac:dyDescent="0.2">
      <c r="B57" s="5" t="s">
        <v>4</v>
      </c>
      <c r="C57" s="113">
        <f ca="1">C32*VLOOKUP($B32,price,13,FALSE)/1000*(1+Parameters!$B$3)^(C$54-$C$54)</f>
        <v>38.773726273726282</v>
      </c>
      <c r="D57" s="113">
        <f ca="1">D32*VLOOKUP($B32,price,13,FALSE)/1000*(1+Parameters!$B$3)^(D$54-$C$54)</f>
        <v>54.283216783216794</v>
      </c>
      <c r="E57" s="113">
        <f ca="1">E32*VLOOKUP($B32,price,13,FALSE)/1000*(1+Parameters!$B$3)^(E$54-$C$54)</f>
        <v>56.997377622377634</v>
      </c>
      <c r="F57" s="113">
        <f ca="1">F32*VLOOKUP($B32,price,13,FALSE)/1000*(1+Parameters!$B$3)^(F$54-$C$54)</f>
        <v>59.847246503496521</v>
      </c>
      <c r="G57" s="113">
        <f ca="1">G32*VLOOKUP($B32,price,13,FALSE)/1000*(1+Parameters!$B$3)^(G$54-$C$54)</f>
        <v>62.839608828671338</v>
      </c>
      <c r="H57" s="113">
        <f ca="1">H32*VLOOKUP($B32,price,13,FALSE)/1000*(1+Parameters!$B$3)^(H$54-$C$54)</f>
        <v>16.495397317526226</v>
      </c>
      <c r="I57" s="113">
        <f ca="1">I32*VLOOKUP($B32,price,13,FALSE)/1000*(1+Parameters!$B$3)^(I$54-$C$54)</f>
        <v>0</v>
      </c>
    </row>
    <row r="58" spans="2:9" x14ac:dyDescent="0.2">
      <c r="B58" s="5" t="s">
        <v>5</v>
      </c>
      <c r="C58" s="113">
        <f ca="1">C33*VLOOKUP($B33,price,13,FALSE)/1000*(1+Parameters!$B$3)^(C$54-$C$54)</f>
        <v>38.773726273726282</v>
      </c>
      <c r="D58" s="113">
        <f ca="1">D33*VLOOKUP($B33,price,13,FALSE)/1000*(1+Parameters!$B$3)^(D$54-$C$54)</f>
        <v>54.283216783216794</v>
      </c>
      <c r="E58" s="113">
        <f ca="1">E33*VLOOKUP($B33,price,13,FALSE)/1000*(1+Parameters!$B$3)^(E$54-$C$54)</f>
        <v>56.997377622377634</v>
      </c>
      <c r="F58" s="113">
        <f ca="1">F33*VLOOKUP($B33,price,13,FALSE)/1000*(1+Parameters!$B$3)^(F$54-$C$54)</f>
        <v>59.847246503496521</v>
      </c>
      <c r="G58" s="113">
        <f ca="1">G33*VLOOKUP($B33,price,13,FALSE)/1000*(1+Parameters!$B$3)^(G$54-$C$54)</f>
        <v>62.839608828671338</v>
      </c>
      <c r="H58" s="113">
        <f ca="1">H33*VLOOKUP($B33,price,13,FALSE)/1000*(1+Parameters!$B$3)^(H$54-$C$54)</f>
        <v>16.495397317526226</v>
      </c>
      <c r="I58" s="113">
        <f ca="1">I33*VLOOKUP($B33,price,13,FALSE)/1000*(1+Parameters!$B$3)^(I$54-$C$54)</f>
        <v>0</v>
      </c>
    </row>
    <row r="59" spans="2:9" x14ac:dyDescent="0.2">
      <c r="B59" s="5" t="s">
        <v>19</v>
      </c>
      <c r="C59" s="113">
        <f ca="1">C34*VLOOKUP($B34,price,13,FALSE)/1000*(1+Parameters!$B$3)^(C$54-$C$54)</f>
        <v>25.849150849150853</v>
      </c>
      <c r="D59" s="113">
        <f ca="1">D34*VLOOKUP($B34,price,13,FALSE)/1000*(1+Parameters!$B$3)^(D$54-$C$54)</f>
        <v>54.283216783216794</v>
      </c>
      <c r="E59" s="113">
        <f ca="1">E34*VLOOKUP($B34,price,13,FALSE)/1000*(1+Parameters!$B$3)^(E$54-$C$54)</f>
        <v>56.997377622377634</v>
      </c>
      <c r="F59" s="113">
        <f ca="1">F34*VLOOKUP($B34,price,13,FALSE)/1000*(1+Parameters!$B$3)^(F$54-$C$54)</f>
        <v>59.847246503496521</v>
      </c>
      <c r="G59" s="113">
        <f ca="1">G34*VLOOKUP($B34,price,13,FALSE)/1000*(1+Parameters!$B$3)^(G$54-$C$54)</f>
        <v>62.839608828671338</v>
      </c>
      <c r="H59" s="113">
        <f ca="1">H34*VLOOKUP($B34,price,13,FALSE)/1000*(1+Parameters!$B$3)^(H$54-$C$54)</f>
        <v>32.990794635052453</v>
      </c>
      <c r="I59" s="113">
        <f ca="1">I34*VLOOKUP($B34,price,13,FALSE)/1000*(1+Parameters!$B$3)^(I$54-$C$54)</f>
        <v>0</v>
      </c>
    </row>
    <row r="60" spans="2:9" x14ac:dyDescent="0.2">
      <c r="B60" s="5" t="s">
        <v>18</v>
      </c>
      <c r="C60" s="113">
        <f ca="1">C35*VLOOKUP($B35,price,13,FALSE)/1000*(1+Parameters!$B$3)^(C$54-$C$54)</f>
        <v>51.698301698301705</v>
      </c>
      <c r="D60" s="113">
        <f ca="1">D35*VLOOKUP($B35,price,13,FALSE)/1000*(1+Parameters!$B$3)^(D$54-$C$54)</f>
        <v>54.283216783216794</v>
      </c>
      <c r="E60" s="113">
        <f ca="1">E35*VLOOKUP($B35,price,13,FALSE)/1000*(1+Parameters!$B$3)^(E$54-$C$54)</f>
        <v>56.997377622377634</v>
      </c>
      <c r="F60" s="113">
        <f ca="1">F35*VLOOKUP($B35,price,13,FALSE)/1000*(1+Parameters!$B$3)^(F$54-$C$54)</f>
        <v>59.847246503496521</v>
      </c>
      <c r="G60" s="113">
        <f ca="1">G35*VLOOKUP($B35,price,13,FALSE)/1000*(1+Parameters!$B$3)^(G$54-$C$54)</f>
        <v>62.839608828671338</v>
      </c>
      <c r="H60" s="113">
        <f ca="1">H35*VLOOKUP($B35,price,13,FALSE)/1000*(1+Parameters!$B$3)^(H$54-$C$54)</f>
        <v>65.981589270104905</v>
      </c>
      <c r="I60" s="113">
        <f ca="1">I35*VLOOKUP($B35,price,13,FALSE)/1000*(1+Parameters!$B$3)^(I$54-$C$54)</f>
        <v>0</v>
      </c>
    </row>
    <row r="61" spans="2:9" x14ac:dyDescent="0.2">
      <c r="B61" s="5" t="s">
        <v>6</v>
      </c>
      <c r="C61" s="113">
        <f ca="1">C36*VLOOKUP($B36,price,13,FALSE)/1000*(1+Parameters!$B$3)^(C$54-$C$54)</f>
        <v>25.849150849150853</v>
      </c>
      <c r="D61" s="113">
        <f ca="1">D36*VLOOKUP($B36,price,13,FALSE)/1000*(1+Parameters!$B$3)^(D$54-$C$54)</f>
        <v>54.283216783216794</v>
      </c>
      <c r="E61" s="113">
        <f ca="1">E36*VLOOKUP($B36,price,13,FALSE)/1000*(1+Parameters!$B$3)^(E$54-$C$54)</f>
        <v>56.997377622377634</v>
      </c>
      <c r="F61" s="113">
        <f ca="1">F36*VLOOKUP($B36,price,13,FALSE)/1000*(1+Parameters!$B$3)^(F$54-$C$54)</f>
        <v>59.847246503496521</v>
      </c>
      <c r="G61" s="113">
        <f ca="1">G36*VLOOKUP($B36,price,13,FALSE)/1000*(1+Parameters!$B$3)^(G$54-$C$54)</f>
        <v>62.839608828671338</v>
      </c>
      <c r="H61" s="113">
        <f ca="1">H36*VLOOKUP($B36,price,13,FALSE)/1000*(1+Parameters!$B$3)^(H$54-$C$54)</f>
        <v>32.990794635052453</v>
      </c>
      <c r="I61" s="113">
        <f ca="1">I36*VLOOKUP($B36,price,13,FALSE)/1000*(1+Parameters!$B$3)^(I$54-$C$54)</f>
        <v>0</v>
      </c>
    </row>
    <row r="62" spans="2:9" ht="15" thickBot="1" x14ac:dyDescent="0.25">
      <c r="B62" s="6" t="s">
        <v>17</v>
      </c>
      <c r="C62" s="114">
        <f ca="1">C37*VLOOKUP($B37,price,13,FALSE)/1000*(1+Parameters!$B$3)^(C$54-$C$54)</f>
        <v>25.849150849150853</v>
      </c>
      <c r="D62" s="114">
        <f ca="1">D37*VLOOKUP($B37,price,13,FALSE)/1000*(1+Parameters!$B$3)^(D$54-$C$54)</f>
        <v>36.188811188811201</v>
      </c>
      <c r="E62" s="114">
        <f ca="1">E37*VLOOKUP($B37,price,13,FALSE)/1000*(1+Parameters!$B$3)^(E$54-$C$54)</f>
        <v>37.998251748251761</v>
      </c>
      <c r="F62" s="114">
        <f ca="1">F37*VLOOKUP($B37,price,13,FALSE)/1000*(1+Parameters!$B$3)^(F$54-$C$54)</f>
        <v>39.898164335664347</v>
      </c>
      <c r="G62" s="114">
        <f ca="1">G37*VLOOKUP($B37,price,13,FALSE)/1000*(1+Parameters!$B$3)^(G$54-$C$54)</f>
        <v>41.893072552447563</v>
      </c>
      <c r="H62" s="114">
        <f ca="1">H37*VLOOKUP($B37,price,13,FALSE)/1000*(1+Parameters!$B$3)^(H$54-$C$54)</f>
        <v>10.996931545017487</v>
      </c>
      <c r="I62" s="114">
        <f ca="1">I37*VLOOKUP($B37,price,13,FALSE)/1000*(1+Parameters!$B$3)^(I$54-$C$54)</f>
        <v>0</v>
      </c>
    </row>
    <row r="63" spans="2:9" ht="15" thickBot="1" x14ac:dyDescent="0.25">
      <c r="B63" s="16" t="s">
        <v>30</v>
      </c>
      <c r="C63" s="116">
        <f ca="1">SUM(C56:C62)</f>
        <v>258.49150849150851</v>
      </c>
      <c r="D63" s="116">
        <f t="shared" ref="D63:I63" ca="1" si="17">SUM(D56:D62)</f>
        <v>361.88811188811195</v>
      </c>
      <c r="E63" s="116">
        <f t="shared" ca="1" si="17"/>
        <v>379.98251748251755</v>
      </c>
      <c r="F63" s="116">
        <f t="shared" ca="1" si="17"/>
        <v>398.98164335664353</v>
      </c>
      <c r="G63" s="116">
        <f t="shared" ca="1" si="17"/>
        <v>418.93072552447558</v>
      </c>
      <c r="H63" s="116">
        <f t="shared" ca="1" si="17"/>
        <v>241.93249399038464</v>
      </c>
      <c r="I63" s="116">
        <f t="shared" ca="1" si="17"/>
        <v>0</v>
      </c>
    </row>
    <row r="65" spans="2:9" x14ac:dyDescent="0.2">
      <c r="B65" s="10" t="s">
        <v>361</v>
      </c>
      <c r="C65" s="10"/>
      <c r="D65" s="10"/>
      <c r="E65" s="10"/>
      <c r="F65" s="10"/>
      <c r="G65" s="10"/>
      <c r="H65" s="10"/>
      <c r="I65" s="10"/>
    </row>
    <row r="66" spans="2:9" x14ac:dyDescent="0.2">
      <c r="B66" s="4" t="s">
        <v>1</v>
      </c>
      <c r="C66" s="112">
        <f ca="1">C41*VLOOKUP($B41,price,13,FALSE)/1000*(1+Parameters!$B$3)^(C$54-$C$54)</f>
        <v>38.773726273726282</v>
      </c>
      <c r="D66" s="112">
        <f ca="1">D41*VLOOKUP($B41,price,13,FALSE)/1000*(1+Parameters!$B$3)^(D$54-$C$54)</f>
        <v>54.283216783216794</v>
      </c>
      <c r="E66" s="112">
        <f ca="1">E41*VLOOKUP($B41,price,13,FALSE)/1000*(1+Parameters!$B$3)^(E$54-$C$54)</f>
        <v>56.997377622377634</v>
      </c>
      <c r="F66" s="112">
        <f ca="1">F41*VLOOKUP($B41,price,13,FALSE)/1000*(1+Parameters!$B$3)^(F$54-$C$54)</f>
        <v>59.847246503496521</v>
      </c>
      <c r="G66" s="112">
        <f ca="1">G41*VLOOKUP($B41,price,13,FALSE)/1000*(1+Parameters!$B$3)^(G$54-$C$54)</f>
        <v>62.839608828671338</v>
      </c>
      <c r="H66" s="112">
        <f ca="1">H41*VLOOKUP($B41,price,13,FALSE)/1000*(1+Parameters!$B$3)^(H$54-$C$54)</f>
        <v>16.495397317526226</v>
      </c>
      <c r="I66" s="112">
        <f ca="1">I41*VLOOKUP($B41,price,13,FALSE)/1000*(1+Parameters!$B$3)^(I$54-$C$54)</f>
        <v>0</v>
      </c>
    </row>
    <row r="67" spans="2:9" x14ac:dyDescent="0.2">
      <c r="B67" s="5" t="s">
        <v>12</v>
      </c>
      <c r="C67" s="113">
        <f ca="1">C42*VLOOKUP($B42,price,13,FALSE)/1000*(1+Parameters!$B$3)^(C$54-$C$54)</f>
        <v>51.698301698301705</v>
      </c>
      <c r="D67" s="113">
        <f ca="1">D42*VLOOKUP($B42,price,13,FALSE)/1000*(1+Parameters!$B$3)^(D$54-$C$54)</f>
        <v>54.283216783216794</v>
      </c>
      <c r="E67" s="113">
        <f ca="1">E42*VLOOKUP($B42,price,13,FALSE)/1000*(1+Parameters!$B$3)^(E$54-$C$54)</f>
        <v>56.997377622377634</v>
      </c>
      <c r="F67" s="113">
        <f ca="1">F42*VLOOKUP($B42,price,13,FALSE)/1000*(1+Parameters!$B$3)^(F$54-$C$54)</f>
        <v>59.847246503496521</v>
      </c>
      <c r="G67" s="113">
        <f ca="1">G42*VLOOKUP($B42,price,13,FALSE)/1000*(1+Parameters!$B$3)^(G$54-$C$54)</f>
        <v>62.839608828671338</v>
      </c>
      <c r="H67" s="113">
        <f ca="1">H42*VLOOKUP($B42,price,13,FALSE)/1000*(1+Parameters!$B$3)^(H$54-$C$54)</f>
        <v>65.981589270104905</v>
      </c>
      <c r="I67" s="113">
        <f ca="1">I42*VLOOKUP($B42,price,13,FALSE)/1000*(1+Parameters!$B$3)^(I$54-$C$54)</f>
        <v>0</v>
      </c>
    </row>
    <row r="68" spans="2:9" x14ac:dyDescent="0.2">
      <c r="B68" s="5" t="s">
        <v>13</v>
      </c>
      <c r="C68" s="113">
        <f ca="1">C43*VLOOKUP($B43,price,13,FALSE)/1000*(1+Parameters!$B$3)^(C$54-$C$54)</f>
        <v>25.849150849150853</v>
      </c>
      <c r="D68" s="113">
        <f ca="1">D43*VLOOKUP($B43,price,13,FALSE)/1000*(1+Parameters!$B$3)^(D$54-$C$54)</f>
        <v>54.283216783216794</v>
      </c>
      <c r="E68" s="113">
        <f ca="1">E43*VLOOKUP($B43,price,13,FALSE)/1000*(1+Parameters!$B$3)^(E$54-$C$54)</f>
        <v>56.997377622377634</v>
      </c>
      <c r="F68" s="113">
        <f ca="1">F43*VLOOKUP($B43,price,13,FALSE)/1000*(1+Parameters!$B$3)^(F$54-$C$54)</f>
        <v>59.847246503496521</v>
      </c>
      <c r="G68" s="113">
        <f ca="1">G43*VLOOKUP($B43,price,13,FALSE)/1000*(1+Parameters!$B$3)^(G$54-$C$54)</f>
        <v>62.839608828671338</v>
      </c>
      <c r="H68" s="113">
        <f ca="1">H43*VLOOKUP($B43,price,13,FALSE)/1000*(1+Parameters!$B$3)^(H$54-$C$54)</f>
        <v>32.990794635052453</v>
      </c>
      <c r="I68" s="113">
        <f ca="1">I43*VLOOKUP($B43,price,13,FALSE)/1000*(1+Parameters!$B$3)^(I$54-$C$54)</f>
        <v>0</v>
      </c>
    </row>
    <row r="69" spans="2:9" x14ac:dyDescent="0.2">
      <c r="B69" s="5" t="s">
        <v>14</v>
      </c>
      <c r="C69" s="113">
        <f ca="1">C44*VLOOKUP($B44,price,13,FALSE)/1000*(1+Parameters!$B$3)^(C$54-$C$54)</f>
        <v>38.773726273726282</v>
      </c>
      <c r="D69" s="113">
        <f ca="1">D44*VLOOKUP($B44,price,13,FALSE)/1000*(1+Parameters!$B$3)^(D$54-$C$54)</f>
        <v>54.283216783216794</v>
      </c>
      <c r="E69" s="113">
        <f ca="1">E44*VLOOKUP($B44,price,13,FALSE)/1000*(1+Parameters!$B$3)^(E$54-$C$54)</f>
        <v>56.997377622377634</v>
      </c>
      <c r="F69" s="113">
        <f ca="1">F44*VLOOKUP($B44,price,13,FALSE)/1000*(1+Parameters!$B$3)^(F$54-$C$54)</f>
        <v>59.847246503496521</v>
      </c>
      <c r="G69" s="113">
        <f ca="1">G44*VLOOKUP($B44,price,13,FALSE)/1000*(1+Parameters!$B$3)^(G$54-$C$54)</f>
        <v>62.839608828671338</v>
      </c>
      <c r="H69" s="113">
        <f ca="1">H44*VLOOKUP($B44,price,13,FALSE)/1000*(1+Parameters!$B$3)^(H$54-$C$54)</f>
        <v>16.495397317526226</v>
      </c>
      <c r="I69" s="113">
        <f ca="1">I44*VLOOKUP($B44,price,13,FALSE)/1000*(1+Parameters!$B$3)^(I$54-$C$54)</f>
        <v>0</v>
      </c>
    </row>
    <row r="70" spans="2:9" x14ac:dyDescent="0.2">
      <c r="B70" s="5" t="s">
        <v>15</v>
      </c>
      <c r="C70" s="113">
        <f ca="1">C45*VLOOKUP($B45,price,13,FALSE)/1000*(1+Parameters!$B$3)^(C$54-$C$54)</f>
        <v>25.849150849150853</v>
      </c>
      <c r="D70" s="113">
        <f ca="1">D45*VLOOKUP($B45,price,13,FALSE)/1000*(1+Parameters!$B$3)^(D$54-$C$54)</f>
        <v>54.283216783216794</v>
      </c>
      <c r="E70" s="113">
        <f ca="1">E45*VLOOKUP($B45,price,13,FALSE)/1000*(1+Parameters!$B$3)^(E$54-$C$54)</f>
        <v>56.997377622377634</v>
      </c>
      <c r="F70" s="113">
        <f ca="1">F45*VLOOKUP($B45,price,13,FALSE)/1000*(1+Parameters!$B$3)^(F$54-$C$54)</f>
        <v>59.847246503496521</v>
      </c>
      <c r="G70" s="113">
        <f ca="1">G45*VLOOKUP($B45,price,13,FALSE)/1000*(1+Parameters!$B$3)^(G$54-$C$54)</f>
        <v>62.839608828671338</v>
      </c>
      <c r="H70" s="113">
        <f ca="1">H45*VLOOKUP($B45,price,13,FALSE)/1000*(1+Parameters!$B$3)^(H$54-$C$54)</f>
        <v>32.990794635052453</v>
      </c>
      <c r="I70" s="113">
        <f ca="1">I45*VLOOKUP($B45,price,13,FALSE)/1000*(1+Parameters!$B$3)^(I$54-$C$54)</f>
        <v>0</v>
      </c>
    </row>
    <row r="71" spans="2:9" x14ac:dyDescent="0.2">
      <c r="B71" s="5" t="s">
        <v>2</v>
      </c>
      <c r="C71" s="113">
        <f ca="1">C46*VLOOKUP($B46,price,13,FALSE)/1000*(1+Parameters!$B$3)^(C$54-$C$54)</f>
        <v>25.849150849150853</v>
      </c>
      <c r="D71" s="113">
        <f ca="1">D46*VLOOKUP($B46,price,13,FALSE)/1000*(1+Parameters!$B$3)^(D$54-$C$54)</f>
        <v>54.283216783216794</v>
      </c>
      <c r="E71" s="113">
        <f ca="1">E46*VLOOKUP($B46,price,13,FALSE)/1000*(1+Parameters!$B$3)^(E$54-$C$54)</f>
        <v>56.997377622377634</v>
      </c>
      <c r="F71" s="113">
        <f ca="1">F46*VLOOKUP($B46,price,13,FALSE)/1000*(1+Parameters!$B$3)^(F$54-$C$54)</f>
        <v>59.847246503496521</v>
      </c>
      <c r="G71" s="113">
        <f ca="1">G46*VLOOKUP($B46,price,13,FALSE)/1000*(1+Parameters!$B$3)^(G$54-$C$54)</f>
        <v>62.839608828671338</v>
      </c>
      <c r="H71" s="113">
        <f ca="1">H46*VLOOKUP($B46,price,13,FALSE)/1000*(1+Parameters!$B$3)^(H$54-$C$54)</f>
        <v>32.990794635052453</v>
      </c>
      <c r="I71" s="113">
        <f ca="1">I46*VLOOKUP($B46,price,13,FALSE)/1000*(1+Parameters!$B$3)^(I$54-$C$54)</f>
        <v>0</v>
      </c>
    </row>
    <row r="72" spans="2:9" ht="15" thickBot="1" x14ac:dyDescent="0.25">
      <c r="B72" s="15" t="s">
        <v>16</v>
      </c>
      <c r="C72" s="114">
        <f ca="1">C47*VLOOKUP($B47,price,13,FALSE)/1000*(1+Parameters!$B$3)^(C$54-$C$54)</f>
        <v>17.232767232767237</v>
      </c>
      <c r="D72" s="114">
        <f ca="1">D47*VLOOKUP($B47,price,13,FALSE)/1000*(1+Parameters!$B$3)^(D$54-$C$54)</f>
        <v>36.188811188811201</v>
      </c>
      <c r="E72" s="114">
        <f ca="1">E47*VLOOKUP($B47,price,13,FALSE)/1000*(1+Parameters!$B$3)^(E$54-$C$54)</f>
        <v>37.998251748251761</v>
      </c>
      <c r="F72" s="114">
        <f ca="1">F47*VLOOKUP($B47,price,13,FALSE)/1000*(1+Parameters!$B$3)^(F$54-$C$54)</f>
        <v>39.898164335664347</v>
      </c>
      <c r="G72" s="114">
        <f ca="1">G47*VLOOKUP($B47,price,13,FALSE)/1000*(1+Parameters!$B$3)^(G$54-$C$54)</f>
        <v>41.893072552447563</v>
      </c>
      <c r="H72" s="114">
        <f ca="1">H47*VLOOKUP($B47,price,13,FALSE)/1000*(1+Parameters!$B$3)^(H$54-$C$54)</f>
        <v>21.993863090034974</v>
      </c>
      <c r="I72" s="114">
        <f ca="1">I47*VLOOKUP($B47,price,13,FALSE)/1000*(1+Parameters!$B$3)^(I$54-$C$54)</f>
        <v>0</v>
      </c>
    </row>
    <row r="73" spans="2:9" ht="15" thickBot="1" x14ac:dyDescent="0.25">
      <c r="B73" s="16" t="s">
        <v>31</v>
      </c>
      <c r="C73" s="41">
        <f ca="1">SUM(C66:C72)</f>
        <v>224.02597402597405</v>
      </c>
      <c r="D73" s="41">
        <f t="shared" ref="D73:I73" ca="1" si="18">SUM(D66:D72)</f>
        <v>361.88811188811195</v>
      </c>
      <c r="E73" s="41">
        <f t="shared" ca="1" si="18"/>
        <v>379.98251748251755</v>
      </c>
      <c r="F73" s="41">
        <f t="shared" ca="1" si="18"/>
        <v>398.98164335664353</v>
      </c>
      <c r="G73" s="41">
        <f t="shared" ca="1" si="18"/>
        <v>418.93072552447558</v>
      </c>
      <c r="H73" s="41">
        <f t="shared" ca="1" si="18"/>
        <v>219.93863090034969</v>
      </c>
      <c r="I73" s="41">
        <f t="shared" ca="1" si="18"/>
        <v>0</v>
      </c>
    </row>
    <row r="74" spans="2:9" ht="15" thickBot="1" x14ac:dyDescent="0.25">
      <c r="C74" s="167"/>
      <c r="D74" s="167"/>
      <c r="E74" s="167"/>
      <c r="F74" s="167"/>
      <c r="G74" s="167"/>
      <c r="H74" s="167"/>
      <c r="I74" s="167"/>
    </row>
    <row r="75" spans="2:9" ht="15" thickBot="1" x14ac:dyDescent="0.25">
      <c r="B75" s="20" t="s">
        <v>33</v>
      </c>
      <c r="C75" s="166">
        <f ca="1">SUM(C63,C73)</f>
        <v>482.51748251748256</v>
      </c>
      <c r="D75" s="166">
        <f t="shared" ref="D75:I75" ca="1" si="19">SUM(D63,D73)</f>
        <v>723.7762237762239</v>
      </c>
      <c r="E75" s="166">
        <f t="shared" ca="1" si="19"/>
        <v>759.9650349650351</v>
      </c>
      <c r="F75" s="166">
        <f t="shared" ca="1" si="19"/>
        <v>797.96328671328706</v>
      </c>
      <c r="G75" s="166">
        <f t="shared" ca="1" si="19"/>
        <v>837.86145104895115</v>
      </c>
      <c r="H75" s="166">
        <f t="shared" ca="1" si="19"/>
        <v>461.87112489073434</v>
      </c>
      <c r="I75" s="166">
        <f t="shared" ca="1" si="19"/>
        <v>0</v>
      </c>
    </row>
    <row r="77" spans="2:9" x14ac:dyDescent="0.2">
      <c r="I77" s="28" t="s">
        <v>66</v>
      </c>
    </row>
    <row r="78" spans="2:9" ht="15" thickBot="1" x14ac:dyDescent="0.25">
      <c r="B78" s="12" t="s">
        <v>409</v>
      </c>
      <c r="C78" s="12">
        <v>2019</v>
      </c>
      <c r="D78" s="13">
        <v>2020</v>
      </c>
      <c r="E78" s="13">
        <v>2021</v>
      </c>
      <c r="F78" s="13">
        <v>2022</v>
      </c>
      <c r="G78" s="13">
        <v>2023</v>
      </c>
      <c r="H78" s="14">
        <v>2024</v>
      </c>
      <c r="I78" s="14">
        <v>2025</v>
      </c>
    </row>
    <row r="79" spans="2:9" ht="15" thickBot="1" x14ac:dyDescent="0.25">
      <c r="B79" s="16" t="s">
        <v>410</v>
      </c>
      <c r="C79" s="19">
        <v>0</v>
      </c>
      <c r="D79" s="19">
        <f ca="1">C83</f>
        <v>30303.030303030304</v>
      </c>
      <c r="E79" s="19">
        <f t="shared" ref="E79:I79" ca="1" si="20">D83</f>
        <v>63852.813852813859</v>
      </c>
      <c r="F79" s="19">
        <f t="shared" ca="1" si="20"/>
        <v>63852.813852813866</v>
      </c>
      <c r="G79" s="19">
        <f t="shared" ca="1" si="20"/>
        <v>63852.813852813866</v>
      </c>
      <c r="H79" s="19">
        <f t="shared" ca="1" si="20"/>
        <v>63852.813852813866</v>
      </c>
      <c r="I79" s="19">
        <f t="shared" ca="1" si="20"/>
        <v>43290.043290043293</v>
      </c>
    </row>
    <row r="80" spans="2:9" x14ac:dyDescent="0.2">
      <c r="B80" t="s">
        <v>411</v>
      </c>
      <c r="C80" s="115">
        <f ca="1">C25</f>
        <v>30303.030303030304</v>
      </c>
      <c r="D80" s="115">
        <f t="shared" ref="D80:I80" ca="1" si="21">D25</f>
        <v>43290.043290043293</v>
      </c>
      <c r="E80" s="115">
        <f t="shared" ca="1" si="21"/>
        <v>43290.043290043293</v>
      </c>
      <c r="F80" s="115">
        <f t="shared" ca="1" si="21"/>
        <v>43290.043290043293</v>
      </c>
      <c r="G80" s="115">
        <f t="shared" ca="1" si="21"/>
        <v>43290.043290043293</v>
      </c>
      <c r="H80" s="115">
        <f t="shared" ca="1" si="21"/>
        <v>22727.272727272728</v>
      </c>
      <c r="I80" s="115">
        <f t="shared" ca="1" si="21"/>
        <v>0</v>
      </c>
    </row>
    <row r="81" spans="2:9" x14ac:dyDescent="0.2">
      <c r="B81" t="s">
        <v>412</v>
      </c>
      <c r="C81" s="115">
        <f>-Sales!C25</f>
        <v>0</v>
      </c>
      <c r="D81" s="115">
        <f>-Sales!D25</f>
        <v>-9000</v>
      </c>
      <c r="E81" s="115">
        <f>-Sales!E25</f>
        <v>-40000</v>
      </c>
      <c r="F81" s="115">
        <f>-Sales!F25</f>
        <v>-40000</v>
      </c>
      <c r="G81" s="115">
        <f>-Sales!G25</f>
        <v>-40000</v>
      </c>
      <c r="H81" s="115">
        <f>-Sales!H25</f>
        <v>-40000</v>
      </c>
      <c r="I81" s="115">
        <f>-Sales!I25</f>
        <v>-40000</v>
      </c>
    </row>
    <row r="82" spans="2:9" ht="15" thickBot="1" x14ac:dyDescent="0.25">
      <c r="B82" t="s">
        <v>413</v>
      </c>
      <c r="C82" s="115">
        <f>C81*'Product Mix'!$B$37/(1-'Product Mix'!$B$37)</f>
        <v>0</v>
      </c>
      <c r="D82" s="115">
        <f>D81*'Product Mix'!$B$37/(1-'Product Mix'!$B$37)</f>
        <v>-740.2597402597404</v>
      </c>
      <c r="E82" s="115">
        <f>E81*'Product Mix'!$B$37/(1-'Product Mix'!$B$37)</f>
        <v>-3290.0432900432907</v>
      </c>
      <c r="F82" s="115">
        <f>F81*'Product Mix'!$B$37/(1-'Product Mix'!$B$37)</f>
        <v>-3290.0432900432907</v>
      </c>
      <c r="G82" s="115">
        <f>G81*'Product Mix'!$B$37/(1-'Product Mix'!$B$37)</f>
        <v>-3290.0432900432907</v>
      </c>
      <c r="H82" s="115">
        <f>H81*'Product Mix'!$B$37/(1-'Product Mix'!$B$37)</f>
        <v>-3290.0432900432907</v>
      </c>
      <c r="I82" s="115">
        <f>I81*'Product Mix'!$B$37/(1-'Product Mix'!$B$37)</f>
        <v>-3290.0432900432907</v>
      </c>
    </row>
    <row r="83" spans="2:9" ht="15" thickBot="1" x14ac:dyDescent="0.25">
      <c r="B83" s="16" t="s">
        <v>414</v>
      </c>
      <c r="C83" s="19">
        <f ca="1">SUM(C79:C82)</f>
        <v>30303.030303030304</v>
      </c>
      <c r="D83" s="19">
        <f t="shared" ref="D83:I83" ca="1" si="22">SUM(D79:D82)</f>
        <v>63852.813852813859</v>
      </c>
      <c r="E83" s="19">
        <f t="shared" ca="1" si="22"/>
        <v>63852.813852813866</v>
      </c>
      <c r="F83" s="19">
        <f t="shared" ca="1" si="22"/>
        <v>63852.813852813866</v>
      </c>
      <c r="G83" s="19">
        <f t="shared" ca="1" si="22"/>
        <v>63852.813852813866</v>
      </c>
      <c r="H83" s="19">
        <f t="shared" ca="1" si="22"/>
        <v>43290.043290043293</v>
      </c>
      <c r="I83" s="19">
        <f t="shared" ca="1" si="22"/>
        <v>0</v>
      </c>
    </row>
    <row r="85" spans="2:9" x14ac:dyDescent="0.2">
      <c r="B85" t="s">
        <v>429</v>
      </c>
      <c r="C85" s="165">
        <f ca="1">Costing!B19</f>
        <v>48.447042480769234</v>
      </c>
      <c r="D85" s="165">
        <f ca="1">(C85*D79+D80*Costing!C19)/SUM(Production!D79:D80)</f>
        <v>46.994384531674214</v>
      </c>
      <c r="E85" s="165">
        <f ca="1">(D85*E79+E80*Costing!D19)/SUM(Production!E79:E80)</f>
        <v>48.10275130753233</v>
      </c>
      <c r="F85" s="165">
        <f ca="1">(E85*F79+F80*Costing!E19)/SUM(Production!F79:F80)</f>
        <v>48.60457291793108</v>
      </c>
      <c r="G85" s="165">
        <f ca="1">(F85*G79+G80*Costing!F19)/SUM(Production!G79:G80)</f>
        <v>50.486904172982236</v>
      </c>
      <c r="H85" s="165">
        <f ca="1">(G85*H79+H80*Costing!G19)/SUM(Production!H79:H80)</f>
        <v>53.809444950729201</v>
      </c>
      <c r="I85" s="165">
        <f ca="1">(H85*I79+I80*Costing!H19)/SUM(Production!I79:I80)</f>
        <v>53.809444950729201</v>
      </c>
    </row>
    <row r="87" spans="2:9" x14ac:dyDescent="0.2">
      <c r="I87" s="28" t="s">
        <v>35</v>
      </c>
    </row>
    <row r="88" spans="2:9" ht="15" thickBot="1" x14ac:dyDescent="0.25">
      <c r="B88" s="12" t="s">
        <v>409</v>
      </c>
      <c r="C88" s="12">
        <v>2019</v>
      </c>
      <c r="D88" s="13">
        <v>2020</v>
      </c>
      <c r="E88" s="13">
        <v>2021</v>
      </c>
      <c r="F88" s="13">
        <v>2022</v>
      </c>
      <c r="G88" s="13">
        <v>2023</v>
      </c>
      <c r="H88" s="14">
        <v>2024</v>
      </c>
      <c r="I88" s="14">
        <v>2025</v>
      </c>
    </row>
    <row r="89" spans="2:9" ht="15" thickBot="1" x14ac:dyDescent="0.25">
      <c r="B89" s="16" t="s">
        <v>410</v>
      </c>
      <c r="C89" s="19">
        <v>0</v>
      </c>
      <c r="D89" s="19">
        <f ca="1">C93</f>
        <v>1468.0921963869466</v>
      </c>
      <c r="E89" s="19">
        <f t="shared" ref="E89" ca="1" si="23">D93</f>
        <v>3000.7236876285488</v>
      </c>
      <c r="F89" s="19">
        <f t="shared" ref="F89" ca="1" si="24">E93</f>
        <v>3071.4960250480617</v>
      </c>
      <c r="G89" s="19">
        <f t="shared" ref="G89" ca="1" si="25">F93</f>
        <v>3103.5387469241723</v>
      </c>
      <c r="H89" s="19">
        <f t="shared" ref="H89" ca="1" si="26">G93</f>
        <v>3223.7308941622878</v>
      </c>
      <c r="I89" s="19">
        <f t="shared" ref="I89" ca="1" si="27">H93</f>
        <v>2329.413201330271</v>
      </c>
    </row>
    <row r="90" spans="2:9" x14ac:dyDescent="0.2">
      <c r="B90" t="s">
        <v>411</v>
      </c>
      <c r="C90" s="405">
        <f ca="1">C80*Costing!B19/1000</f>
        <v>1468.0921963869466</v>
      </c>
      <c r="D90" s="405">
        <f ca="1">D80*Costing!C19/1000</f>
        <v>1990.3690029137533</v>
      </c>
      <c r="E90" s="405">
        <f ca="1">E80*Costing!D19/1000</f>
        <v>2153.1425238927736</v>
      </c>
      <c r="F90" s="405">
        <f ca="1">F80*Costing!E19/1000</f>
        <v>2136.1367875874125</v>
      </c>
      <c r="G90" s="405">
        <f ca="1">G80*Costing!F19/1000</f>
        <v>2305.7724144667836</v>
      </c>
      <c r="H90" s="405">
        <f ca="1">H80*Costing!G19/1000</f>
        <v>1435.0955084982518</v>
      </c>
      <c r="I90" s="405">
        <f ca="1">I80*Costing!H19/1000</f>
        <v>0</v>
      </c>
    </row>
    <row r="91" spans="2:9" x14ac:dyDescent="0.2">
      <c r="B91" t="s">
        <v>412</v>
      </c>
      <c r="C91" s="115">
        <f ca="1">C81*C85/1000</f>
        <v>0</v>
      </c>
      <c r="D91" s="115">
        <f t="shared" ref="D91:I91" ca="1" si="28">D81*D85/1000</f>
        <v>-422.94946078506791</v>
      </c>
      <c r="E91" s="115">
        <f t="shared" ca="1" si="28"/>
        <v>-1924.1100523012933</v>
      </c>
      <c r="F91" s="115">
        <f t="shared" ca="1" si="28"/>
        <v>-1944.1829167172432</v>
      </c>
      <c r="G91" s="115">
        <f t="shared" ca="1" si="28"/>
        <v>-2019.4761669192894</v>
      </c>
      <c r="H91" s="115">
        <f t="shared" ca="1" si="28"/>
        <v>-2152.3777980291679</v>
      </c>
      <c r="I91" s="115">
        <f t="shared" ca="1" si="28"/>
        <v>-2152.3777980291679</v>
      </c>
    </row>
    <row r="92" spans="2:9" ht="15" thickBot="1" x14ac:dyDescent="0.25">
      <c r="B92" t="s">
        <v>413</v>
      </c>
      <c r="C92" s="115">
        <f ca="1">C82*C85/1000</f>
        <v>0</v>
      </c>
      <c r="D92" s="115">
        <f t="shared" ref="D92:I92" ca="1" si="29">D82*D85/1000</f>
        <v>-34.788050887083521</v>
      </c>
      <c r="E92" s="115">
        <f t="shared" ca="1" si="29"/>
        <v>-158.26013417196785</v>
      </c>
      <c r="F92" s="115">
        <f t="shared" ca="1" si="29"/>
        <v>-159.91114899405898</v>
      </c>
      <c r="G92" s="115">
        <f t="shared" ca="1" si="29"/>
        <v>-166.10410030937882</v>
      </c>
      <c r="H92" s="115">
        <f t="shared" ca="1" si="29"/>
        <v>-177.03540330110042</v>
      </c>
      <c r="I92" s="115">
        <f t="shared" ca="1" si="29"/>
        <v>-177.03540330110042</v>
      </c>
    </row>
    <row r="93" spans="2:9" ht="15" thickBot="1" x14ac:dyDescent="0.25">
      <c r="B93" s="16" t="s">
        <v>414</v>
      </c>
      <c r="C93" s="19">
        <f ca="1">SUM(C89:C92)</f>
        <v>1468.0921963869466</v>
      </c>
      <c r="D93" s="19">
        <f t="shared" ref="D93:I93" ca="1" si="30">SUM(D89:D92)</f>
        <v>3000.7236876285488</v>
      </c>
      <c r="E93" s="19">
        <f t="shared" ca="1" si="30"/>
        <v>3071.4960250480617</v>
      </c>
      <c r="F93" s="19">
        <f t="shared" ca="1" si="30"/>
        <v>3103.5387469241723</v>
      </c>
      <c r="G93" s="19">
        <f t="shared" ca="1" si="30"/>
        <v>3223.7308941622878</v>
      </c>
      <c r="H93" s="19">
        <f t="shared" ca="1" si="30"/>
        <v>2329.413201330271</v>
      </c>
      <c r="I93" s="19">
        <f t="shared" ca="1" si="30"/>
        <v>2.6716406864579767E-12</v>
      </c>
    </row>
    <row r="95" spans="2:9" x14ac:dyDescent="0.2">
      <c r="C95" s="165"/>
      <c r="D95" s="165"/>
      <c r="E95" s="165"/>
      <c r="F95" s="165"/>
      <c r="G95" s="165"/>
      <c r="H95" s="165"/>
      <c r="I95" s="165"/>
    </row>
  </sheetData>
  <conditionalFormatting sqref="P10:V16">
    <cfRule type="cellIs" dxfId="30" priority="3" operator="equal">
      <formula>0</formula>
    </cfRule>
  </conditionalFormatting>
  <conditionalFormatting sqref="P22:V28">
    <cfRule type="cellIs" dxfId="29" priority="2" operator="equal">
      <formula>0</formula>
    </cfRule>
  </conditionalFormatting>
  <conditionalFormatting sqref="P34:V40">
    <cfRule type="cellIs" dxfId="28" priority="1" operator="equal">
      <formula>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3"/>
  <sheetViews>
    <sheetView showGridLines="0" workbookViewId="0">
      <selection activeCell="M15" sqref="M15"/>
    </sheetView>
  </sheetViews>
  <sheetFormatPr defaultRowHeight="12.75" outlineLevelCol="1" x14ac:dyDescent="0.2"/>
  <cols>
    <col min="1" max="1" width="19.125" style="62" bestFit="1" customWidth="1"/>
    <col min="2" max="3" width="10" style="62" customWidth="1"/>
    <col min="4" max="4" width="9.875" style="62" bestFit="1" customWidth="1"/>
    <col min="5" max="10" width="9" style="62"/>
    <col min="11" max="11" width="78.5" style="62" hidden="1" customWidth="1" outlineLevel="1"/>
    <col min="12" max="12" width="9" style="62" collapsed="1"/>
    <col min="13" max="16384" width="9" style="62"/>
  </cols>
  <sheetData>
    <row r="1" spans="1:11" ht="18" x14ac:dyDescent="0.25">
      <c r="A1" s="430" t="s">
        <v>491</v>
      </c>
    </row>
    <row r="3" spans="1:11" x14ac:dyDescent="0.2">
      <c r="A3" s="123"/>
    </row>
    <row r="4" spans="1:11" s="124" customFormat="1" ht="18" customHeight="1" x14ac:dyDescent="0.2">
      <c r="A4" s="147" t="s">
        <v>77</v>
      </c>
      <c r="B4" s="148" t="s">
        <v>104</v>
      </c>
      <c r="C4" s="148" t="s">
        <v>105</v>
      </c>
      <c r="D4" s="130">
        <v>2019</v>
      </c>
      <c r="E4" s="131">
        <v>2020</v>
      </c>
      <c r="F4" s="131">
        <v>2021</v>
      </c>
      <c r="G4" s="131">
        <v>2022</v>
      </c>
      <c r="H4" s="131">
        <v>2023</v>
      </c>
      <c r="I4" s="132">
        <v>2024</v>
      </c>
      <c r="J4" s="132">
        <v>2025</v>
      </c>
      <c r="K4" s="133" t="s">
        <v>78</v>
      </c>
    </row>
    <row r="5" spans="1:11" s="124" customFormat="1" ht="18" customHeight="1" x14ac:dyDescent="0.2">
      <c r="A5" s="137" t="s">
        <v>79</v>
      </c>
      <c r="B5" s="151">
        <v>2000</v>
      </c>
      <c r="C5" s="151">
        <f>B5*12</f>
        <v>24000</v>
      </c>
      <c r="D5" s="156">
        <v>1</v>
      </c>
      <c r="E5" s="156">
        <v>1</v>
      </c>
      <c r="F5" s="156">
        <v>1</v>
      </c>
      <c r="G5" s="156">
        <v>1</v>
      </c>
      <c r="H5" s="156">
        <v>1</v>
      </c>
      <c r="I5" s="156">
        <v>1</v>
      </c>
      <c r="J5" s="156">
        <v>1</v>
      </c>
      <c r="K5" s="138" t="s">
        <v>80</v>
      </c>
    </row>
    <row r="6" spans="1:11" s="124" customFormat="1" ht="18" customHeight="1" x14ac:dyDescent="0.2">
      <c r="A6" s="140" t="s">
        <v>81</v>
      </c>
      <c r="B6" s="152">
        <v>1500</v>
      </c>
      <c r="C6" s="152">
        <f t="shared" ref="C6:C14" si="0">B6*12</f>
        <v>18000</v>
      </c>
      <c r="D6" s="157">
        <v>2</v>
      </c>
      <c r="E6" s="157">
        <v>2</v>
      </c>
      <c r="F6" s="157">
        <v>2</v>
      </c>
      <c r="G6" s="157">
        <v>2</v>
      </c>
      <c r="H6" s="157">
        <v>2</v>
      </c>
      <c r="I6" s="157">
        <v>2</v>
      </c>
      <c r="J6" s="157">
        <v>2</v>
      </c>
      <c r="K6" s="141" t="s">
        <v>82</v>
      </c>
    </row>
    <row r="7" spans="1:11" s="124" customFormat="1" ht="18" customHeight="1" x14ac:dyDescent="0.2">
      <c r="A7" s="140" t="s">
        <v>83</v>
      </c>
      <c r="B7" s="152">
        <v>1000</v>
      </c>
      <c r="C7" s="152">
        <f t="shared" si="0"/>
        <v>12000</v>
      </c>
      <c r="D7" s="157">
        <v>3</v>
      </c>
      <c r="E7" s="157">
        <v>3</v>
      </c>
      <c r="F7" s="157">
        <v>3</v>
      </c>
      <c r="G7" s="157">
        <v>3</v>
      </c>
      <c r="H7" s="157">
        <v>3</v>
      </c>
      <c r="I7" s="157">
        <v>3</v>
      </c>
      <c r="J7" s="157">
        <v>3</v>
      </c>
      <c r="K7" s="141" t="s">
        <v>84</v>
      </c>
    </row>
    <row r="8" spans="1:11" s="124" customFormat="1" ht="18" customHeight="1" x14ac:dyDescent="0.2">
      <c r="A8" s="140" t="s">
        <v>85</v>
      </c>
      <c r="B8" s="152">
        <v>750</v>
      </c>
      <c r="C8" s="152">
        <f t="shared" si="0"/>
        <v>9000</v>
      </c>
      <c r="D8" s="157">
        <v>3</v>
      </c>
      <c r="E8" s="157">
        <v>3</v>
      </c>
      <c r="F8" s="157">
        <v>3</v>
      </c>
      <c r="G8" s="157">
        <v>3</v>
      </c>
      <c r="H8" s="157">
        <v>3</v>
      </c>
      <c r="I8" s="157">
        <v>3</v>
      </c>
      <c r="J8" s="157">
        <v>3</v>
      </c>
      <c r="K8" s="141" t="s">
        <v>86</v>
      </c>
    </row>
    <row r="9" spans="1:11" s="124" customFormat="1" ht="18" customHeight="1" x14ac:dyDescent="0.2">
      <c r="A9" s="140" t="s">
        <v>87</v>
      </c>
      <c r="B9" s="152">
        <v>500</v>
      </c>
      <c r="C9" s="152">
        <f t="shared" si="0"/>
        <v>6000</v>
      </c>
      <c r="D9" s="157">
        <v>3</v>
      </c>
      <c r="E9" s="157">
        <v>3</v>
      </c>
      <c r="F9" s="157">
        <v>3</v>
      </c>
      <c r="G9" s="157">
        <v>3</v>
      </c>
      <c r="H9" s="157">
        <v>3</v>
      </c>
      <c r="I9" s="157">
        <v>3</v>
      </c>
      <c r="J9" s="157">
        <v>3</v>
      </c>
      <c r="K9" s="141" t="s">
        <v>88</v>
      </c>
    </row>
    <row r="10" spans="1:11" s="124" customFormat="1" ht="18" customHeight="1" x14ac:dyDescent="0.2">
      <c r="A10" s="140" t="s">
        <v>89</v>
      </c>
      <c r="B10" s="152">
        <v>1000</v>
      </c>
      <c r="C10" s="152">
        <f t="shared" si="0"/>
        <v>12000</v>
      </c>
      <c r="D10" s="157">
        <v>1</v>
      </c>
      <c r="E10" s="157">
        <v>2</v>
      </c>
      <c r="F10" s="157">
        <v>2</v>
      </c>
      <c r="G10" s="157">
        <v>2</v>
      </c>
      <c r="H10" s="157">
        <v>2</v>
      </c>
      <c r="I10" s="157">
        <v>2</v>
      </c>
      <c r="J10" s="157">
        <v>2</v>
      </c>
      <c r="K10" s="141" t="s">
        <v>90</v>
      </c>
    </row>
    <row r="11" spans="1:11" s="124" customFormat="1" ht="18" customHeight="1" x14ac:dyDescent="0.2">
      <c r="A11" s="140" t="s">
        <v>91</v>
      </c>
      <c r="B11" s="152">
        <v>750</v>
      </c>
      <c r="C11" s="152">
        <f t="shared" si="0"/>
        <v>9000</v>
      </c>
      <c r="D11" s="157">
        <v>1</v>
      </c>
      <c r="E11" s="157">
        <v>2</v>
      </c>
      <c r="F11" s="157">
        <v>2</v>
      </c>
      <c r="G11" s="157">
        <v>2</v>
      </c>
      <c r="H11" s="157">
        <v>2</v>
      </c>
      <c r="I11" s="157">
        <v>2</v>
      </c>
      <c r="J11" s="157">
        <v>2</v>
      </c>
      <c r="K11" s="141" t="s">
        <v>92</v>
      </c>
    </row>
    <row r="12" spans="1:11" s="124" customFormat="1" ht="18" customHeight="1" x14ac:dyDescent="0.2">
      <c r="A12" s="140" t="s">
        <v>93</v>
      </c>
      <c r="B12" s="152">
        <v>1500</v>
      </c>
      <c r="C12" s="152">
        <f t="shared" si="0"/>
        <v>18000</v>
      </c>
      <c r="D12" s="157">
        <v>1</v>
      </c>
      <c r="E12" s="157">
        <v>3</v>
      </c>
      <c r="F12" s="157">
        <v>3</v>
      </c>
      <c r="G12" s="157">
        <v>3</v>
      </c>
      <c r="H12" s="157">
        <v>3</v>
      </c>
      <c r="I12" s="157">
        <v>3</v>
      </c>
      <c r="J12" s="157">
        <v>3</v>
      </c>
      <c r="K12" s="141" t="s">
        <v>94</v>
      </c>
    </row>
    <row r="13" spans="1:11" s="124" customFormat="1" ht="18" customHeight="1" x14ac:dyDescent="0.2">
      <c r="A13" s="140" t="s">
        <v>95</v>
      </c>
      <c r="B13" s="152">
        <v>750</v>
      </c>
      <c r="C13" s="152">
        <f t="shared" si="0"/>
        <v>9000</v>
      </c>
      <c r="D13" s="157">
        <v>1</v>
      </c>
      <c r="E13" s="157">
        <v>1</v>
      </c>
      <c r="F13" s="157">
        <v>1</v>
      </c>
      <c r="G13" s="157">
        <v>1</v>
      </c>
      <c r="H13" s="157">
        <v>1</v>
      </c>
      <c r="I13" s="157">
        <v>1</v>
      </c>
      <c r="J13" s="157">
        <v>1</v>
      </c>
      <c r="K13" s="141" t="s">
        <v>96</v>
      </c>
    </row>
    <row r="14" spans="1:11" s="124" customFormat="1" ht="18" customHeight="1" thickBot="1" x14ac:dyDescent="0.25">
      <c r="A14" s="142" t="s">
        <v>97</v>
      </c>
      <c r="B14" s="153">
        <v>500</v>
      </c>
      <c r="C14" s="153">
        <f t="shared" si="0"/>
        <v>6000</v>
      </c>
      <c r="D14" s="158">
        <v>1</v>
      </c>
      <c r="E14" s="158">
        <v>1</v>
      </c>
      <c r="F14" s="158">
        <v>1</v>
      </c>
      <c r="G14" s="158">
        <v>1</v>
      </c>
      <c r="H14" s="158">
        <v>1</v>
      </c>
      <c r="I14" s="158">
        <v>1</v>
      </c>
      <c r="J14" s="158">
        <v>1</v>
      </c>
      <c r="K14" s="143" t="s">
        <v>98</v>
      </c>
    </row>
    <row r="15" spans="1:11" s="124" customFormat="1" ht="18" customHeight="1" thickBot="1" x14ac:dyDescent="0.25">
      <c r="A15" s="122" t="s">
        <v>99</v>
      </c>
      <c r="B15" s="135"/>
      <c r="C15" s="135"/>
      <c r="D15" s="136">
        <f>SUM(D5:D14)</f>
        <v>17</v>
      </c>
      <c r="E15" s="136">
        <f t="shared" ref="E15:J15" si="1">SUM(E5:E14)</f>
        <v>21</v>
      </c>
      <c r="F15" s="136">
        <f t="shared" si="1"/>
        <v>21</v>
      </c>
      <c r="G15" s="136">
        <f t="shared" si="1"/>
        <v>21</v>
      </c>
      <c r="H15" s="136">
        <f t="shared" si="1"/>
        <v>21</v>
      </c>
      <c r="I15" s="136">
        <f t="shared" si="1"/>
        <v>21</v>
      </c>
      <c r="J15" s="136">
        <f t="shared" si="1"/>
        <v>21</v>
      </c>
      <c r="K15" s="122"/>
    </row>
    <row r="16" spans="1:11" s="124" customFormat="1" ht="18" customHeight="1" x14ac:dyDescent="0.2">
      <c r="A16" s="125"/>
      <c r="B16" s="126"/>
      <c r="C16" s="126"/>
      <c r="D16" s="134"/>
      <c r="E16" s="134"/>
      <c r="F16" s="134"/>
      <c r="G16" s="134"/>
      <c r="H16" s="134"/>
      <c r="I16" s="134"/>
      <c r="J16" s="134"/>
      <c r="K16" s="125"/>
    </row>
    <row r="17" spans="1:11" s="124" customFormat="1" ht="18" customHeight="1" x14ac:dyDescent="0.2">
      <c r="A17" s="147" t="s">
        <v>100</v>
      </c>
      <c r="B17" s="148" t="s">
        <v>106</v>
      </c>
      <c r="C17" s="148" t="s">
        <v>107</v>
      </c>
      <c r="D17" s="130">
        <v>2019</v>
      </c>
      <c r="E17" s="131">
        <v>2020</v>
      </c>
      <c r="F17" s="131">
        <v>2021</v>
      </c>
      <c r="G17" s="131">
        <v>2022</v>
      </c>
      <c r="H17" s="131">
        <v>2023</v>
      </c>
      <c r="I17" s="132">
        <v>2024</v>
      </c>
      <c r="J17" s="132">
        <v>2025</v>
      </c>
      <c r="K17" s="133" t="s">
        <v>78</v>
      </c>
    </row>
    <row r="18" spans="1:11" s="124" customFormat="1" ht="18" customHeight="1" thickBot="1" x14ac:dyDescent="0.25">
      <c r="A18" s="124" t="s">
        <v>91</v>
      </c>
      <c r="B18" s="154">
        <v>2</v>
      </c>
      <c r="C18" s="155">
        <v>1040</v>
      </c>
      <c r="D18" s="159">
        <v>3</v>
      </c>
      <c r="E18" s="159">
        <v>4</v>
      </c>
      <c r="F18" s="159">
        <v>5</v>
      </c>
      <c r="G18" s="159">
        <v>5</v>
      </c>
      <c r="H18" s="159">
        <v>5</v>
      </c>
      <c r="I18" s="159">
        <v>5</v>
      </c>
      <c r="J18" s="159">
        <v>5</v>
      </c>
      <c r="K18" s="127" t="s">
        <v>92</v>
      </c>
    </row>
    <row r="19" spans="1:11" s="124" customFormat="1" ht="18" customHeight="1" thickBot="1" x14ac:dyDescent="0.25">
      <c r="A19" s="122" t="s">
        <v>101</v>
      </c>
      <c r="B19" s="135"/>
      <c r="C19" s="135"/>
      <c r="D19" s="136">
        <f>SUM(D18)</f>
        <v>3</v>
      </c>
      <c r="E19" s="136">
        <f t="shared" ref="E19:J19" si="2">SUM(E18)</f>
        <v>4</v>
      </c>
      <c r="F19" s="136">
        <f t="shared" si="2"/>
        <v>5</v>
      </c>
      <c r="G19" s="136">
        <f t="shared" si="2"/>
        <v>5</v>
      </c>
      <c r="H19" s="136">
        <f t="shared" si="2"/>
        <v>5</v>
      </c>
      <c r="I19" s="136">
        <f t="shared" si="2"/>
        <v>5</v>
      </c>
      <c r="J19" s="136">
        <f t="shared" si="2"/>
        <v>5</v>
      </c>
      <c r="K19" s="122"/>
    </row>
    <row r="20" spans="1:11" s="124" customFormat="1" ht="18" customHeight="1" thickBot="1" x14ac:dyDescent="0.25">
      <c r="A20" s="122"/>
      <c r="B20" s="135"/>
      <c r="C20" s="135"/>
      <c r="D20" s="136"/>
      <c r="E20" s="136"/>
      <c r="F20" s="136"/>
      <c r="G20" s="136"/>
      <c r="H20" s="136"/>
      <c r="I20" s="136"/>
      <c r="J20" s="136"/>
      <c r="K20" s="122"/>
    </row>
    <row r="21" spans="1:11" s="124" customFormat="1" ht="18" customHeight="1" thickBot="1" x14ac:dyDescent="0.25">
      <c r="A21" s="144" t="s">
        <v>102</v>
      </c>
      <c r="B21" s="145"/>
      <c r="C21" s="145"/>
      <c r="D21" s="146">
        <f>D15+D19</f>
        <v>20</v>
      </c>
      <c r="E21" s="146">
        <f t="shared" ref="E21:J21" si="3">E15+E19</f>
        <v>25</v>
      </c>
      <c r="F21" s="146">
        <f t="shared" si="3"/>
        <v>26</v>
      </c>
      <c r="G21" s="146">
        <f t="shared" si="3"/>
        <v>26</v>
      </c>
      <c r="H21" s="146">
        <f t="shared" si="3"/>
        <v>26</v>
      </c>
      <c r="I21" s="146">
        <f t="shared" si="3"/>
        <v>26</v>
      </c>
      <c r="J21" s="146">
        <f t="shared" si="3"/>
        <v>26</v>
      </c>
      <c r="K21" s="144"/>
    </row>
    <row r="24" spans="1:11" ht="18.95" customHeight="1" x14ac:dyDescent="0.2">
      <c r="A24" s="147" t="s">
        <v>77</v>
      </c>
      <c r="B24" s="148" t="s">
        <v>104</v>
      </c>
      <c r="C24" s="148" t="s">
        <v>105</v>
      </c>
      <c r="D24" s="130">
        <v>2019</v>
      </c>
      <c r="E24" s="131">
        <v>2020</v>
      </c>
      <c r="F24" s="131">
        <v>2021</v>
      </c>
      <c r="G24" s="131">
        <v>2022</v>
      </c>
      <c r="H24" s="131">
        <v>2023</v>
      </c>
      <c r="I24" s="132">
        <v>2024</v>
      </c>
      <c r="J24" s="132">
        <v>2025</v>
      </c>
    </row>
    <row r="25" spans="1:11" ht="18.95" customHeight="1" x14ac:dyDescent="0.2">
      <c r="A25" s="137" t="s">
        <v>79</v>
      </c>
      <c r="B25" s="139">
        <f>B5</f>
        <v>2000</v>
      </c>
      <c r="C25" s="139">
        <f>C5</f>
        <v>24000</v>
      </c>
      <c r="D25" s="149">
        <f>D5*$C25*(1+Parameters!$B$3)^(D$4-$D$4)</f>
        <v>24000</v>
      </c>
      <c r="E25" s="149">
        <f>E5*$C25*(1+Parameters!$B$3)^(E$4-$D$4)</f>
        <v>25200</v>
      </c>
      <c r="F25" s="149">
        <f>F5*$C25*(1+Parameters!$B$3)^(F$4-$D$4)</f>
        <v>26460</v>
      </c>
      <c r="G25" s="149">
        <f>G5*$C25*(1+Parameters!$B$3)^(G$4-$D$4)</f>
        <v>27783.000000000004</v>
      </c>
      <c r="H25" s="149">
        <f>H5*$C25*(1+Parameters!$B$3)^(H$4-$D$4)</f>
        <v>29172.15</v>
      </c>
      <c r="I25" s="149">
        <f>I5*$C25*(1+Parameters!$B$3)^(I$4-$D$4)</f>
        <v>30630.757500000003</v>
      </c>
      <c r="J25" s="149">
        <f>J5*$C25*(1+Parameters!$B$3)^(J$4-$D$4)</f>
        <v>32162.295374999998</v>
      </c>
    </row>
    <row r="26" spans="1:11" ht="18.95" customHeight="1" x14ac:dyDescent="0.2">
      <c r="A26" s="140" t="s">
        <v>81</v>
      </c>
      <c r="B26" s="139">
        <f t="shared" ref="B26:C34" si="4">B6</f>
        <v>1500</v>
      </c>
      <c r="C26" s="139">
        <f t="shared" si="4"/>
        <v>18000</v>
      </c>
      <c r="D26" s="149">
        <f t="shared" ref="D26" si="5">D6*$C26</f>
        <v>36000</v>
      </c>
      <c r="E26" s="149">
        <f>E6*$C26*(1+Parameters!$B$3)^(E$4-$D$4)</f>
        <v>37800</v>
      </c>
      <c r="F26" s="149">
        <f>F6*$C26*(1+Parameters!$B$3)^(F$4-$D$4)</f>
        <v>39690</v>
      </c>
      <c r="G26" s="149">
        <f>G6*$C26*(1+Parameters!$B$3)^(G$4-$D$4)</f>
        <v>41674.500000000007</v>
      </c>
      <c r="H26" s="149">
        <f>H6*$C26*(1+Parameters!$B$3)^(H$4-$D$4)</f>
        <v>43758.224999999999</v>
      </c>
      <c r="I26" s="149">
        <f>I6*$C26*(1+Parameters!$B$3)^(I$4-$D$4)</f>
        <v>45946.136250000003</v>
      </c>
      <c r="J26" s="149">
        <f>J6*$C26*(1+Parameters!$B$3)^(J$4-$D$4)</f>
        <v>48243.443062500002</v>
      </c>
    </row>
    <row r="27" spans="1:11" ht="18.95" customHeight="1" x14ac:dyDescent="0.2">
      <c r="A27" s="140" t="s">
        <v>83</v>
      </c>
      <c r="B27" s="139">
        <f t="shared" si="4"/>
        <v>1000</v>
      </c>
      <c r="C27" s="139">
        <f t="shared" si="4"/>
        <v>12000</v>
      </c>
      <c r="D27" s="149">
        <f t="shared" ref="D27" si="6">D7*$C27</f>
        <v>36000</v>
      </c>
      <c r="E27" s="149">
        <f>E7*$C27*(1+Parameters!$B$3)^(E$4-$D$4)</f>
        <v>37800</v>
      </c>
      <c r="F27" s="149">
        <f>F7*$C27*(1+Parameters!$B$3)^(F$4-$D$4)</f>
        <v>39690</v>
      </c>
      <c r="G27" s="149">
        <f>G7*$C27*(1+Parameters!$B$3)^(G$4-$D$4)</f>
        <v>41674.500000000007</v>
      </c>
      <c r="H27" s="149">
        <f>H7*$C27*(1+Parameters!$B$3)^(H$4-$D$4)</f>
        <v>43758.224999999999</v>
      </c>
      <c r="I27" s="149">
        <f>I7*$C27*(1+Parameters!$B$3)^(I$4-$D$4)</f>
        <v>45946.136250000003</v>
      </c>
      <c r="J27" s="149">
        <f>J7*$C27*(1+Parameters!$B$3)^(J$4-$D$4)</f>
        <v>48243.443062500002</v>
      </c>
    </row>
    <row r="28" spans="1:11" ht="18.95" customHeight="1" x14ac:dyDescent="0.2">
      <c r="A28" s="140" t="s">
        <v>85</v>
      </c>
      <c r="B28" s="139">
        <f t="shared" si="4"/>
        <v>750</v>
      </c>
      <c r="C28" s="139">
        <f t="shared" si="4"/>
        <v>9000</v>
      </c>
      <c r="D28" s="149">
        <f t="shared" ref="D28" si="7">D8*$C28</f>
        <v>27000</v>
      </c>
      <c r="E28" s="149">
        <f>E8*$C28*(1+Parameters!$B$3)^(E$4-$D$4)</f>
        <v>28350</v>
      </c>
      <c r="F28" s="149">
        <f>F8*$C28*(1+Parameters!$B$3)^(F$4-$D$4)</f>
        <v>29767.5</v>
      </c>
      <c r="G28" s="149">
        <f>G8*$C28*(1+Parameters!$B$3)^(G$4-$D$4)</f>
        <v>31255.875000000004</v>
      </c>
      <c r="H28" s="149">
        <f>H8*$C28*(1+Parameters!$B$3)^(H$4-$D$4)</f>
        <v>32818.668749999997</v>
      </c>
      <c r="I28" s="149">
        <f>I8*$C28*(1+Parameters!$B$3)^(I$4-$D$4)</f>
        <v>34459.602187500001</v>
      </c>
      <c r="J28" s="149">
        <f>J8*$C28*(1+Parameters!$B$3)^(J$4-$D$4)</f>
        <v>36182.582296875</v>
      </c>
    </row>
    <row r="29" spans="1:11" ht="18.95" customHeight="1" x14ac:dyDescent="0.2">
      <c r="A29" s="140" t="s">
        <v>87</v>
      </c>
      <c r="B29" s="139">
        <f t="shared" si="4"/>
        <v>500</v>
      </c>
      <c r="C29" s="139">
        <f t="shared" si="4"/>
        <v>6000</v>
      </c>
      <c r="D29" s="149">
        <f t="shared" ref="D29" si="8">D9*$C29</f>
        <v>18000</v>
      </c>
      <c r="E29" s="149">
        <f>E9*$C29*(1+Parameters!$B$3)^(E$4-$D$4)</f>
        <v>18900</v>
      </c>
      <c r="F29" s="149">
        <f>F9*$C29*(1+Parameters!$B$3)^(F$4-$D$4)</f>
        <v>19845</v>
      </c>
      <c r="G29" s="149">
        <f>G9*$C29*(1+Parameters!$B$3)^(G$4-$D$4)</f>
        <v>20837.250000000004</v>
      </c>
      <c r="H29" s="149">
        <f>H9*$C29*(1+Parameters!$B$3)^(H$4-$D$4)</f>
        <v>21879.112499999999</v>
      </c>
      <c r="I29" s="149">
        <f>I9*$C29*(1+Parameters!$B$3)^(I$4-$D$4)</f>
        <v>22973.068125000002</v>
      </c>
      <c r="J29" s="149">
        <f>J9*$C29*(1+Parameters!$B$3)^(J$4-$D$4)</f>
        <v>24121.721531250001</v>
      </c>
    </row>
    <row r="30" spans="1:11" ht="18.95" customHeight="1" x14ac:dyDescent="0.2">
      <c r="A30" s="140" t="s">
        <v>89</v>
      </c>
      <c r="B30" s="139">
        <f t="shared" si="4"/>
        <v>1000</v>
      </c>
      <c r="C30" s="139">
        <f t="shared" si="4"/>
        <v>12000</v>
      </c>
      <c r="D30" s="149">
        <f t="shared" ref="D30" si="9">D10*$C30</f>
        <v>12000</v>
      </c>
      <c r="E30" s="149">
        <f>E10*$C30*(1+Parameters!$B$3)^(E$4-$D$4)</f>
        <v>25200</v>
      </c>
      <c r="F30" s="149">
        <f>F10*$C30*(1+Parameters!$B$3)^(F$4-$D$4)</f>
        <v>26460</v>
      </c>
      <c r="G30" s="149">
        <f>G10*$C30*(1+Parameters!$B$3)^(G$4-$D$4)</f>
        <v>27783.000000000004</v>
      </c>
      <c r="H30" s="149">
        <f>H10*$C30*(1+Parameters!$B$3)^(H$4-$D$4)</f>
        <v>29172.15</v>
      </c>
      <c r="I30" s="149">
        <f>I10*$C30*(1+Parameters!$B$3)^(I$4-$D$4)</f>
        <v>30630.757500000003</v>
      </c>
      <c r="J30" s="149">
        <f>J10*$C30*(1+Parameters!$B$3)^(J$4-$D$4)</f>
        <v>32162.295374999998</v>
      </c>
    </row>
    <row r="31" spans="1:11" ht="18.95" customHeight="1" x14ac:dyDescent="0.2">
      <c r="A31" s="140" t="s">
        <v>91</v>
      </c>
      <c r="B31" s="139">
        <f t="shared" si="4"/>
        <v>750</v>
      </c>
      <c r="C31" s="139">
        <f t="shared" si="4"/>
        <v>9000</v>
      </c>
      <c r="D31" s="149">
        <f t="shared" ref="D31" si="10">D11*$C31</f>
        <v>9000</v>
      </c>
      <c r="E31" s="149">
        <f>E11*$C31*(1+Parameters!$B$3)^(E$4-$D$4)</f>
        <v>18900</v>
      </c>
      <c r="F31" s="149">
        <f>F11*$C31*(1+Parameters!$B$3)^(F$4-$D$4)</f>
        <v>19845</v>
      </c>
      <c r="G31" s="149">
        <f>G11*$C31*(1+Parameters!$B$3)^(G$4-$D$4)</f>
        <v>20837.250000000004</v>
      </c>
      <c r="H31" s="149">
        <f>H11*$C31*(1+Parameters!$B$3)^(H$4-$D$4)</f>
        <v>21879.112499999999</v>
      </c>
      <c r="I31" s="149">
        <f>I11*$C31*(1+Parameters!$B$3)^(I$4-$D$4)</f>
        <v>22973.068125000002</v>
      </c>
      <c r="J31" s="149">
        <f>J11*$C31*(1+Parameters!$B$3)^(J$4-$D$4)</f>
        <v>24121.721531250001</v>
      </c>
    </row>
    <row r="32" spans="1:11" ht="18.95" customHeight="1" x14ac:dyDescent="0.2">
      <c r="A32" s="140" t="s">
        <v>93</v>
      </c>
      <c r="B32" s="139">
        <f t="shared" si="4"/>
        <v>1500</v>
      </c>
      <c r="C32" s="139">
        <f t="shared" si="4"/>
        <v>18000</v>
      </c>
      <c r="D32" s="149">
        <f t="shared" ref="D32" si="11">D12*$C32</f>
        <v>18000</v>
      </c>
      <c r="E32" s="149">
        <f>E12*$C32*(1+Parameters!$B$3)^(E$4-$D$4)</f>
        <v>56700</v>
      </c>
      <c r="F32" s="149">
        <f>F12*$C32*(1+Parameters!$B$3)^(F$4-$D$4)</f>
        <v>59535</v>
      </c>
      <c r="G32" s="149">
        <f>G12*$C32*(1+Parameters!$B$3)^(G$4-$D$4)</f>
        <v>62511.750000000007</v>
      </c>
      <c r="H32" s="149">
        <f>H12*$C32*(1+Parameters!$B$3)^(H$4-$D$4)</f>
        <v>65637.337499999994</v>
      </c>
      <c r="I32" s="149">
        <f>I12*$C32*(1+Parameters!$B$3)^(I$4-$D$4)</f>
        <v>68919.204375000001</v>
      </c>
      <c r="J32" s="149">
        <f>J12*$C32*(1+Parameters!$B$3)^(J$4-$D$4)</f>
        <v>72365.16459375</v>
      </c>
    </row>
    <row r="33" spans="1:11" ht="18.95" customHeight="1" x14ac:dyDescent="0.2">
      <c r="A33" s="140" t="s">
        <v>95</v>
      </c>
      <c r="B33" s="139">
        <f t="shared" si="4"/>
        <v>750</v>
      </c>
      <c r="C33" s="139">
        <f t="shared" si="4"/>
        <v>9000</v>
      </c>
      <c r="D33" s="149">
        <f t="shared" ref="D33" si="12">D13*$C33</f>
        <v>9000</v>
      </c>
      <c r="E33" s="149">
        <f>E13*$C33*(1+Parameters!$B$3)^(E$4-$D$4)</f>
        <v>9450</v>
      </c>
      <c r="F33" s="149">
        <f>F13*$C33*(1+Parameters!$B$3)^(F$4-$D$4)</f>
        <v>9922.5</v>
      </c>
      <c r="G33" s="149">
        <f>G13*$C33*(1+Parameters!$B$3)^(G$4-$D$4)</f>
        <v>10418.625000000002</v>
      </c>
      <c r="H33" s="149">
        <f>H13*$C33*(1+Parameters!$B$3)^(H$4-$D$4)</f>
        <v>10939.55625</v>
      </c>
      <c r="I33" s="149">
        <f>I13*$C33*(1+Parameters!$B$3)^(I$4-$D$4)</f>
        <v>11486.534062500001</v>
      </c>
      <c r="J33" s="149">
        <f>J13*$C33*(1+Parameters!$B$3)^(J$4-$D$4)</f>
        <v>12060.860765625001</v>
      </c>
    </row>
    <row r="34" spans="1:11" ht="18.95" customHeight="1" thickBot="1" x14ac:dyDescent="0.25">
      <c r="A34" s="142" t="s">
        <v>97</v>
      </c>
      <c r="B34" s="139">
        <f t="shared" si="4"/>
        <v>500</v>
      </c>
      <c r="C34" s="139">
        <f t="shared" si="4"/>
        <v>6000</v>
      </c>
      <c r="D34" s="149">
        <f t="shared" ref="D34" si="13">D14*$C34</f>
        <v>6000</v>
      </c>
      <c r="E34" s="149">
        <f>E14*$C34*(1+Parameters!$B$3)^(E$4-$D$4)</f>
        <v>6300</v>
      </c>
      <c r="F34" s="149">
        <f>F14*$C34*(1+Parameters!$B$3)^(F$4-$D$4)</f>
        <v>6615</v>
      </c>
      <c r="G34" s="149">
        <f>G14*$C34*(1+Parameters!$B$3)^(G$4-$D$4)</f>
        <v>6945.7500000000009</v>
      </c>
      <c r="H34" s="149">
        <f>H14*$C34*(1+Parameters!$B$3)^(H$4-$D$4)</f>
        <v>7293.0375000000004</v>
      </c>
      <c r="I34" s="149">
        <f>I14*$C34*(1+Parameters!$B$3)^(I$4-$D$4)</f>
        <v>7657.6893750000008</v>
      </c>
      <c r="J34" s="149">
        <f>J14*$C34*(1+Parameters!$B$3)^(J$4-$D$4)</f>
        <v>8040.5738437499995</v>
      </c>
    </row>
    <row r="35" spans="1:11" ht="18.95" customHeight="1" thickBot="1" x14ac:dyDescent="0.25">
      <c r="A35" s="122" t="s">
        <v>99</v>
      </c>
      <c r="B35" s="135"/>
      <c r="C35" s="135"/>
      <c r="D35" s="150">
        <f>SUM(D25:D34)</f>
        <v>195000</v>
      </c>
      <c r="E35" s="150">
        <f t="shared" ref="E35" si="14">SUM(E25:E34)</f>
        <v>264600</v>
      </c>
      <c r="F35" s="150">
        <f t="shared" ref="F35" si="15">SUM(F25:F34)</f>
        <v>277830</v>
      </c>
      <c r="G35" s="150">
        <f t="shared" ref="G35" si="16">SUM(G25:G34)</f>
        <v>291721.50000000006</v>
      </c>
      <c r="H35" s="150">
        <f t="shared" ref="H35" si="17">SUM(H25:H34)</f>
        <v>306307.57499999995</v>
      </c>
      <c r="I35" s="150">
        <f t="shared" ref="I35" si="18">SUM(I25:I34)</f>
        <v>321622.95375000004</v>
      </c>
      <c r="J35" s="150">
        <f t="shared" ref="J35" si="19">SUM(J25:J34)</f>
        <v>337704.10143750004</v>
      </c>
    </row>
    <row r="36" spans="1:11" ht="18.95" customHeight="1" x14ac:dyDescent="0.2">
      <c r="A36" s="125"/>
      <c r="B36" s="126"/>
      <c r="C36" s="126"/>
      <c r="D36" s="134"/>
      <c r="E36" s="134"/>
      <c r="F36" s="134"/>
      <c r="G36" s="134"/>
      <c r="H36" s="134"/>
      <c r="I36" s="134"/>
      <c r="J36" s="134"/>
      <c r="K36" s="134"/>
    </row>
    <row r="37" spans="1:11" ht="18.95" customHeight="1" x14ac:dyDescent="0.2">
      <c r="A37" s="162" t="s">
        <v>108</v>
      </c>
      <c r="B37" s="163"/>
      <c r="C37" s="163"/>
      <c r="D37" s="164">
        <f>D35/D15</f>
        <v>11470.588235294117</v>
      </c>
      <c r="E37" s="164">
        <f t="shared" ref="E37:J37" si="20">E35/E15</f>
        <v>12600</v>
      </c>
      <c r="F37" s="164">
        <f t="shared" si="20"/>
        <v>13230</v>
      </c>
      <c r="G37" s="164">
        <f t="shared" si="20"/>
        <v>13891.500000000004</v>
      </c>
      <c r="H37" s="164">
        <f t="shared" si="20"/>
        <v>14586.074999999997</v>
      </c>
      <c r="I37" s="164">
        <f t="shared" si="20"/>
        <v>15315.378750000002</v>
      </c>
      <c r="J37" s="164">
        <f t="shared" si="20"/>
        <v>16081.147687500003</v>
      </c>
    </row>
    <row r="38" spans="1:11" ht="18.95" customHeight="1" x14ac:dyDescent="0.2"/>
    <row r="39" spans="1:11" ht="18" customHeight="1" x14ac:dyDescent="0.2">
      <c r="A39" s="147" t="s">
        <v>100</v>
      </c>
      <c r="B39" s="148" t="s">
        <v>106</v>
      </c>
      <c r="C39" s="148" t="s">
        <v>107</v>
      </c>
      <c r="D39" s="130">
        <v>2019</v>
      </c>
      <c r="E39" s="131">
        <v>2020</v>
      </c>
      <c r="F39" s="131">
        <v>2021</v>
      </c>
      <c r="G39" s="131">
        <v>2022</v>
      </c>
      <c r="H39" s="131">
        <v>2023</v>
      </c>
      <c r="I39" s="132">
        <v>2024</v>
      </c>
      <c r="J39" s="132">
        <v>2025</v>
      </c>
    </row>
    <row r="40" spans="1:11" ht="18" customHeight="1" thickBot="1" x14ac:dyDescent="0.25">
      <c r="A40" s="124" t="s">
        <v>91</v>
      </c>
      <c r="B40" s="129">
        <f>B18</f>
        <v>2</v>
      </c>
      <c r="C40" s="128">
        <f>C18</f>
        <v>1040</v>
      </c>
      <c r="D40" s="161">
        <f>$B40*$C40*D18*(1+Parameters!$B$3)^(D$39-$D$39)</f>
        <v>6240</v>
      </c>
      <c r="E40" s="161">
        <f>$B40*$C40*E18*(1+Parameters!$B$3)^(E$39-$D$39)</f>
        <v>8736</v>
      </c>
      <c r="F40" s="161">
        <f>$B40*$C40*F18*(1+Parameters!$B$3)^(F$39-$D$39)</f>
        <v>11466</v>
      </c>
      <c r="G40" s="161">
        <f>$B40*$C40*G18*(1+Parameters!$B$3)^(G$39-$D$39)</f>
        <v>12039.300000000001</v>
      </c>
      <c r="H40" s="161">
        <f>$B40*$C40*H18*(1+Parameters!$B$3)^(H$39-$D$39)</f>
        <v>12641.264999999999</v>
      </c>
      <c r="I40" s="161">
        <f>$B40*$C40*I18*(1+Parameters!$B$3)^(I$39-$D$39)</f>
        <v>13273.32825</v>
      </c>
      <c r="J40" s="161">
        <f>$B40*$C40*J18*(1+Parameters!$B$3)^(J$39-$D$39)</f>
        <v>13936.994662499999</v>
      </c>
    </row>
    <row r="41" spans="1:11" ht="18" customHeight="1" thickBot="1" x14ac:dyDescent="0.25">
      <c r="A41" s="122" t="s">
        <v>101</v>
      </c>
      <c r="B41" s="135"/>
      <c r="C41" s="135"/>
      <c r="D41" s="150">
        <f>SUM(D40)</f>
        <v>6240</v>
      </c>
      <c r="E41" s="150">
        <f t="shared" ref="E41" si="21">SUM(E40)</f>
        <v>8736</v>
      </c>
      <c r="F41" s="150">
        <f t="shared" ref="F41" si="22">SUM(F40)</f>
        <v>11466</v>
      </c>
      <c r="G41" s="150">
        <f t="shared" ref="G41" si="23">SUM(G40)</f>
        <v>12039.300000000001</v>
      </c>
      <c r="H41" s="150">
        <f t="shared" ref="H41" si="24">SUM(H40)</f>
        <v>12641.264999999999</v>
      </c>
      <c r="I41" s="150">
        <f t="shared" ref="I41" si="25">SUM(I40)</f>
        <v>13273.32825</v>
      </c>
      <c r="J41" s="150">
        <f t="shared" ref="J41" si="26">SUM(J40)</f>
        <v>13936.994662499999</v>
      </c>
    </row>
    <row r="42" spans="1:11" ht="18" customHeight="1" thickBot="1" x14ac:dyDescent="0.25">
      <c r="A42" s="122"/>
      <c r="B42" s="135"/>
      <c r="C42" s="135"/>
      <c r="D42" s="136"/>
      <c r="E42" s="136"/>
      <c r="F42" s="136"/>
      <c r="G42" s="136"/>
      <c r="H42" s="136"/>
      <c r="I42" s="136"/>
      <c r="J42" s="136"/>
    </row>
    <row r="43" spans="1:11" ht="18" customHeight="1" thickBot="1" x14ac:dyDescent="0.25">
      <c r="A43" s="144" t="s">
        <v>102</v>
      </c>
      <c r="B43" s="145"/>
      <c r="C43" s="145"/>
      <c r="D43" s="160">
        <f t="shared" ref="D43:J43" si="27">D35+D41</f>
        <v>201240</v>
      </c>
      <c r="E43" s="160">
        <f t="shared" si="27"/>
        <v>273336</v>
      </c>
      <c r="F43" s="160">
        <f t="shared" si="27"/>
        <v>289296</v>
      </c>
      <c r="G43" s="160">
        <f t="shared" si="27"/>
        <v>303760.80000000005</v>
      </c>
      <c r="H43" s="160">
        <f t="shared" si="27"/>
        <v>318948.83999999997</v>
      </c>
      <c r="I43" s="160">
        <f t="shared" si="27"/>
        <v>334896.28200000006</v>
      </c>
      <c r="J43" s="160">
        <f t="shared" si="27"/>
        <v>351641.09610000002</v>
      </c>
    </row>
  </sheetData>
  <pageMargins left="0.7" right="0.7" top="0.75" bottom="0.75" header="0.3" footer="0.3"/>
  <pageSetup paperSize="9" orientation="portrait" r:id="rId1"/>
  <ignoredErrors>
    <ignoredError sqref="D15:J15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4:J54"/>
  <sheetViews>
    <sheetView showGridLines="0" topLeftCell="A10" workbookViewId="0">
      <selection activeCell="A6" sqref="A6:XFD6"/>
    </sheetView>
  </sheetViews>
  <sheetFormatPr defaultRowHeight="14.25" outlineLevelRow="2" x14ac:dyDescent="0.2"/>
  <cols>
    <col min="1" max="1" width="32.75" style="70" bestFit="1" customWidth="1"/>
    <col min="2" max="8" width="10.125" style="70" customWidth="1"/>
    <col min="9" max="16384" width="9" style="70"/>
  </cols>
  <sheetData>
    <row r="4" spans="1:8" ht="18" customHeight="1" x14ac:dyDescent="0.2">
      <c r="A4" s="313" t="s">
        <v>359</v>
      </c>
      <c r="B4" s="130">
        <v>2019</v>
      </c>
      <c r="C4" s="131">
        <v>2020</v>
      </c>
      <c r="D4" s="131">
        <v>2021</v>
      </c>
      <c r="E4" s="131">
        <v>2022</v>
      </c>
      <c r="F4" s="131">
        <v>2023</v>
      </c>
      <c r="G4" s="132">
        <v>2024</v>
      </c>
      <c r="H4" s="132">
        <v>2025</v>
      </c>
    </row>
    <row r="5" spans="1:8" customFormat="1" ht="18" customHeight="1" thickBot="1" x14ac:dyDescent="0.25">
      <c r="B5" s="326"/>
    </row>
    <row r="6" spans="1:8" ht="15" thickBot="1" x14ac:dyDescent="0.25">
      <c r="A6" s="325" t="s">
        <v>363</v>
      </c>
      <c r="B6" s="328">
        <f ca="1">SUM(B7,B24,B29:B33)</f>
        <v>1122.8536130536131</v>
      </c>
      <c r="C6" s="328">
        <f t="shared" ref="C6:H6" ca="1" si="0">SUM(C7,C24,C29:C33)</f>
        <v>1631.63041958042</v>
      </c>
      <c r="D6" s="328">
        <f t="shared" ca="1" si="0"/>
        <v>1713.2119405594406</v>
      </c>
      <c r="E6" s="328">
        <f t="shared" ca="1" si="0"/>
        <v>1798.872537587413</v>
      </c>
      <c r="F6" s="328">
        <f t="shared" ca="1" si="0"/>
        <v>1888.8161644667837</v>
      </c>
      <c r="G6" s="328">
        <f t="shared" ca="1" si="0"/>
        <v>1112.1392584982518</v>
      </c>
      <c r="H6" s="328">
        <f t="shared" ca="1" si="0"/>
        <v>156.79118995312498</v>
      </c>
    </row>
    <row r="7" spans="1:8" x14ac:dyDescent="0.2">
      <c r="A7" s="323" t="s">
        <v>21</v>
      </c>
      <c r="B7" s="324">
        <f t="shared" ref="B7:H7" ca="1" si="1">SUM(B8,B16)</f>
        <v>482.51748251748256</v>
      </c>
      <c r="C7" s="324">
        <f t="shared" ca="1" si="1"/>
        <v>723.7762237762239</v>
      </c>
      <c r="D7" s="324">
        <f t="shared" ca="1" si="1"/>
        <v>759.9650349650351</v>
      </c>
      <c r="E7" s="324">
        <f t="shared" ca="1" si="1"/>
        <v>797.96328671328706</v>
      </c>
      <c r="F7" s="324">
        <f t="shared" ca="1" si="1"/>
        <v>837.86145104895115</v>
      </c>
      <c r="G7" s="324">
        <f t="shared" ca="1" si="1"/>
        <v>461.87112489073434</v>
      </c>
      <c r="H7" s="324">
        <f t="shared" ca="1" si="1"/>
        <v>0</v>
      </c>
    </row>
    <row r="8" spans="1:8" outlineLevel="1" x14ac:dyDescent="0.2">
      <c r="A8" s="162" t="s">
        <v>360</v>
      </c>
      <c r="B8" s="322">
        <f ca="1">SUM(B9:B15)</f>
        <v>258.49150849150851</v>
      </c>
      <c r="C8" s="322">
        <f t="shared" ref="C8:H8" ca="1" si="2">SUM(C9:C15)</f>
        <v>361.88811188811195</v>
      </c>
      <c r="D8" s="322">
        <f t="shared" ca="1" si="2"/>
        <v>379.98251748251755</v>
      </c>
      <c r="E8" s="322">
        <f t="shared" ca="1" si="2"/>
        <v>398.98164335664353</v>
      </c>
      <c r="F8" s="322">
        <f t="shared" ca="1" si="2"/>
        <v>418.93072552447558</v>
      </c>
      <c r="G8" s="322">
        <f t="shared" ca="1" si="2"/>
        <v>241.93249399038464</v>
      </c>
      <c r="H8" s="322">
        <f t="shared" ca="1" si="2"/>
        <v>0</v>
      </c>
    </row>
    <row r="9" spans="1:8" outlineLevel="2" x14ac:dyDescent="0.2">
      <c r="A9" s="316" t="s">
        <v>3</v>
      </c>
      <c r="B9" s="317">
        <f ca="1">Production!C56</f>
        <v>51.698301698301705</v>
      </c>
      <c r="C9" s="317">
        <f ca="1">Production!D56</f>
        <v>54.283216783216794</v>
      </c>
      <c r="D9" s="317">
        <f ca="1">Production!E56</f>
        <v>56.997377622377634</v>
      </c>
      <c r="E9" s="317">
        <f ca="1">Production!F56</f>
        <v>59.847246503496521</v>
      </c>
      <c r="F9" s="317">
        <f ca="1">Production!G56</f>
        <v>62.839608828671338</v>
      </c>
      <c r="G9" s="317">
        <f ca="1">Production!H56</f>
        <v>65.981589270104905</v>
      </c>
      <c r="H9" s="317">
        <f ca="1">Production!I56</f>
        <v>0</v>
      </c>
    </row>
    <row r="10" spans="1:8" outlineLevel="2" x14ac:dyDescent="0.2">
      <c r="A10" s="318" t="s">
        <v>4</v>
      </c>
      <c r="B10" s="319">
        <f ca="1">Production!C57</f>
        <v>38.773726273726282</v>
      </c>
      <c r="C10" s="319">
        <f ca="1">Production!D57</f>
        <v>54.283216783216794</v>
      </c>
      <c r="D10" s="319">
        <f ca="1">Production!E57</f>
        <v>56.997377622377634</v>
      </c>
      <c r="E10" s="319">
        <f ca="1">Production!F57</f>
        <v>59.847246503496521</v>
      </c>
      <c r="F10" s="319">
        <f ca="1">Production!G57</f>
        <v>62.839608828671338</v>
      </c>
      <c r="G10" s="319">
        <f ca="1">Production!H57</f>
        <v>16.495397317526226</v>
      </c>
      <c r="H10" s="319">
        <f ca="1">Production!I57</f>
        <v>0</v>
      </c>
    </row>
    <row r="11" spans="1:8" outlineLevel="2" x14ac:dyDescent="0.2">
      <c r="A11" s="318" t="s">
        <v>5</v>
      </c>
      <c r="B11" s="319">
        <f ca="1">Production!C58</f>
        <v>38.773726273726282</v>
      </c>
      <c r="C11" s="319">
        <f ca="1">Production!D58</f>
        <v>54.283216783216794</v>
      </c>
      <c r="D11" s="319">
        <f ca="1">Production!E58</f>
        <v>56.997377622377634</v>
      </c>
      <c r="E11" s="319">
        <f ca="1">Production!F58</f>
        <v>59.847246503496521</v>
      </c>
      <c r="F11" s="319">
        <f ca="1">Production!G58</f>
        <v>62.839608828671338</v>
      </c>
      <c r="G11" s="319">
        <f ca="1">Production!H58</f>
        <v>16.495397317526226</v>
      </c>
      <c r="H11" s="319">
        <f ca="1">Production!I58</f>
        <v>0</v>
      </c>
    </row>
    <row r="12" spans="1:8" outlineLevel="2" x14ac:dyDescent="0.2">
      <c r="A12" s="318" t="s">
        <v>19</v>
      </c>
      <c r="B12" s="319">
        <f ca="1">Production!C59</f>
        <v>25.849150849150853</v>
      </c>
      <c r="C12" s="319">
        <f ca="1">Production!D59</f>
        <v>54.283216783216794</v>
      </c>
      <c r="D12" s="319">
        <f ca="1">Production!E59</f>
        <v>56.997377622377634</v>
      </c>
      <c r="E12" s="319">
        <f ca="1">Production!F59</f>
        <v>59.847246503496521</v>
      </c>
      <c r="F12" s="319">
        <f ca="1">Production!G59</f>
        <v>62.839608828671338</v>
      </c>
      <c r="G12" s="319">
        <f ca="1">Production!H59</f>
        <v>32.990794635052453</v>
      </c>
      <c r="H12" s="319">
        <f ca="1">Production!I59</f>
        <v>0</v>
      </c>
    </row>
    <row r="13" spans="1:8" outlineLevel="2" x14ac:dyDescent="0.2">
      <c r="A13" s="318" t="s">
        <v>18</v>
      </c>
      <c r="B13" s="319">
        <f ca="1">Production!C60</f>
        <v>51.698301698301705</v>
      </c>
      <c r="C13" s="319">
        <f ca="1">Production!D60</f>
        <v>54.283216783216794</v>
      </c>
      <c r="D13" s="319">
        <f ca="1">Production!E60</f>
        <v>56.997377622377634</v>
      </c>
      <c r="E13" s="319">
        <f ca="1">Production!F60</f>
        <v>59.847246503496521</v>
      </c>
      <c r="F13" s="319">
        <f ca="1">Production!G60</f>
        <v>62.839608828671338</v>
      </c>
      <c r="G13" s="319">
        <f ca="1">Production!H60</f>
        <v>65.981589270104905</v>
      </c>
      <c r="H13" s="319">
        <f ca="1">Production!I60</f>
        <v>0</v>
      </c>
    </row>
    <row r="14" spans="1:8" outlineLevel="2" x14ac:dyDescent="0.2">
      <c r="A14" s="318" t="s">
        <v>6</v>
      </c>
      <c r="B14" s="319">
        <f ca="1">Production!C61</f>
        <v>25.849150849150853</v>
      </c>
      <c r="C14" s="319">
        <f ca="1">Production!D61</f>
        <v>54.283216783216794</v>
      </c>
      <c r="D14" s="319">
        <f ca="1">Production!E61</f>
        <v>56.997377622377634</v>
      </c>
      <c r="E14" s="319">
        <f ca="1">Production!F61</f>
        <v>59.847246503496521</v>
      </c>
      <c r="F14" s="319">
        <f ca="1">Production!G61</f>
        <v>62.839608828671338</v>
      </c>
      <c r="G14" s="319">
        <f ca="1">Production!H61</f>
        <v>32.990794635052453</v>
      </c>
      <c r="H14" s="319">
        <f ca="1">Production!I61</f>
        <v>0</v>
      </c>
    </row>
    <row r="15" spans="1:8" outlineLevel="2" x14ac:dyDescent="0.2">
      <c r="A15" s="320" t="s">
        <v>17</v>
      </c>
      <c r="B15" s="321">
        <f ca="1">Production!C62</f>
        <v>25.849150849150853</v>
      </c>
      <c r="C15" s="321">
        <f ca="1">Production!D62</f>
        <v>36.188811188811201</v>
      </c>
      <c r="D15" s="321">
        <f ca="1">Production!E62</f>
        <v>37.998251748251761</v>
      </c>
      <c r="E15" s="321">
        <f ca="1">Production!F62</f>
        <v>39.898164335664347</v>
      </c>
      <c r="F15" s="321">
        <f ca="1">Production!G62</f>
        <v>41.893072552447563</v>
      </c>
      <c r="G15" s="321">
        <f ca="1">Production!H62</f>
        <v>10.996931545017487</v>
      </c>
      <c r="H15" s="321">
        <f ca="1">Production!I62</f>
        <v>0</v>
      </c>
    </row>
    <row r="16" spans="1:8" outlineLevel="1" x14ac:dyDescent="0.2">
      <c r="A16" s="162" t="s">
        <v>361</v>
      </c>
      <c r="B16" s="322">
        <f t="shared" ref="B16:H16" ca="1" si="3">SUM(B17:B23)</f>
        <v>224.02597402597405</v>
      </c>
      <c r="C16" s="322">
        <f t="shared" ca="1" si="3"/>
        <v>361.88811188811195</v>
      </c>
      <c r="D16" s="322">
        <f t="shared" ca="1" si="3"/>
        <v>379.98251748251755</v>
      </c>
      <c r="E16" s="322">
        <f t="shared" ca="1" si="3"/>
        <v>398.98164335664353</v>
      </c>
      <c r="F16" s="322">
        <f t="shared" ca="1" si="3"/>
        <v>418.93072552447558</v>
      </c>
      <c r="G16" s="322">
        <f t="shared" ca="1" si="3"/>
        <v>219.93863090034969</v>
      </c>
      <c r="H16" s="322">
        <f t="shared" ca="1" si="3"/>
        <v>0</v>
      </c>
    </row>
    <row r="17" spans="1:10" outlineLevel="2" x14ac:dyDescent="0.2">
      <c r="A17" s="316" t="s">
        <v>1</v>
      </c>
      <c r="B17" s="317">
        <f ca="1">Production!C66</f>
        <v>38.773726273726282</v>
      </c>
      <c r="C17" s="317">
        <f ca="1">Production!D66</f>
        <v>54.283216783216794</v>
      </c>
      <c r="D17" s="317">
        <f ca="1">Production!E66</f>
        <v>56.997377622377634</v>
      </c>
      <c r="E17" s="317">
        <f ca="1">Production!F66</f>
        <v>59.847246503496521</v>
      </c>
      <c r="F17" s="317">
        <f ca="1">Production!G66</f>
        <v>62.839608828671338</v>
      </c>
      <c r="G17" s="317">
        <f ca="1">Production!H66</f>
        <v>16.495397317526226</v>
      </c>
      <c r="H17" s="317">
        <f ca="1">Production!I66</f>
        <v>0</v>
      </c>
      <c r="J17" s="327"/>
    </row>
    <row r="18" spans="1:10" outlineLevel="2" x14ac:dyDescent="0.2">
      <c r="A18" s="318" t="s">
        <v>12</v>
      </c>
      <c r="B18" s="319">
        <f ca="1">Production!C67</f>
        <v>51.698301698301705</v>
      </c>
      <c r="C18" s="319">
        <f ca="1">Production!D67</f>
        <v>54.283216783216794</v>
      </c>
      <c r="D18" s="319">
        <f ca="1">Production!E67</f>
        <v>56.997377622377634</v>
      </c>
      <c r="E18" s="319">
        <f ca="1">Production!F67</f>
        <v>59.847246503496521</v>
      </c>
      <c r="F18" s="319">
        <f ca="1">Production!G67</f>
        <v>62.839608828671338</v>
      </c>
      <c r="G18" s="319">
        <f ca="1">Production!H67</f>
        <v>65.981589270104905</v>
      </c>
      <c r="H18" s="319">
        <f ca="1">Production!I67</f>
        <v>0</v>
      </c>
    </row>
    <row r="19" spans="1:10" outlineLevel="2" x14ac:dyDescent="0.2">
      <c r="A19" s="318" t="s">
        <v>13</v>
      </c>
      <c r="B19" s="319">
        <f ca="1">Production!C68</f>
        <v>25.849150849150853</v>
      </c>
      <c r="C19" s="319">
        <f ca="1">Production!D68</f>
        <v>54.283216783216794</v>
      </c>
      <c r="D19" s="319">
        <f ca="1">Production!E68</f>
        <v>56.997377622377634</v>
      </c>
      <c r="E19" s="319">
        <f ca="1">Production!F68</f>
        <v>59.847246503496521</v>
      </c>
      <c r="F19" s="319">
        <f ca="1">Production!G68</f>
        <v>62.839608828671338</v>
      </c>
      <c r="G19" s="319">
        <f ca="1">Production!H68</f>
        <v>32.990794635052453</v>
      </c>
      <c r="H19" s="319">
        <f ca="1">Production!I68</f>
        <v>0</v>
      </c>
    </row>
    <row r="20" spans="1:10" outlineLevel="2" x14ac:dyDescent="0.2">
      <c r="A20" s="318" t="s">
        <v>14</v>
      </c>
      <c r="B20" s="319">
        <f ca="1">Production!C69</f>
        <v>38.773726273726282</v>
      </c>
      <c r="C20" s="319">
        <f ca="1">Production!D69</f>
        <v>54.283216783216794</v>
      </c>
      <c r="D20" s="319">
        <f ca="1">Production!E69</f>
        <v>56.997377622377634</v>
      </c>
      <c r="E20" s="319">
        <f ca="1">Production!F69</f>
        <v>59.847246503496521</v>
      </c>
      <c r="F20" s="319">
        <f ca="1">Production!G69</f>
        <v>62.839608828671338</v>
      </c>
      <c r="G20" s="319">
        <f ca="1">Production!H69</f>
        <v>16.495397317526226</v>
      </c>
      <c r="H20" s="319">
        <f ca="1">Production!I69</f>
        <v>0</v>
      </c>
    </row>
    <row r="21" spans="1:10" outlineLevel="2" x14ac:dyDescent="0.2">
      <c r="A21" s="318" t="s">
        <v>15</v>
      </c>
      <c r="B21" s="319">
        <f ca="1">Production!C70</f>
        <v>25.849150849150853</v>
      </c>
      <c r="C21" s="319">
        <f ca="1">Production!D70</f>
        <v>54.283216783216794</v>
      </c>
      <c r="D21" s="319">
        <f ca="1">Production!E70</f>
        <v>56.997377622377634</v>
      </c>
      <c r="E21" s="319">
        <f ca="1">Production!F70</f>
        <v>59.847246503496521</v>
      </c>
      <c r="F21" s="319">
        <f ca="1">Production!G70</f>
        <v>62.839608828671338</v>
      </c>
      <c r="G21" s="319">
        <f ca="1">Production!H70</f>
        <v>32.990794635052453</v>
      </c>
      <c r="H21" s="319">
        <f ca="1">Production!I70</f>
        <v>0</v>
      </c>
    </row>
    <row r="22" spans="1:10" outlineLevel="2" x14ac:dyDescent="0.2">
      <c r="A22" s="318" t="s">
        <v>2</v>
      </c>
      <c r="B22" s="319">
        <f ca="1">Production!C71</f>
        <v>25.849150849150853</v>
      </c>
      <c r="C22" s="319">
        <f ca="1">Production!D71</f>
        <v>54.283216783216794</v>
      </c>
      <c r="D22" s="319">
        <f ca="1">Production!E71</f>
        <v>56.997377622377634</v>
      </c>
      <c r="E22" s="319">
        <f ca="1">Production!F71</f>
        <v>59.847246503496521</v>
      </c>
      <c r="F22" s="319">
        <f ca="1">Production!G71</f>
        <v>62.839608828671338</v>
      </c>
      <c r="G22" s="319">
        <f ca="1">Production!H71</f>
        <v>32.990794635052453</v>
      </c>
      <c r="H22" s="319">
        <f ca="1">Production!I71</f>
        <v>0</v>
      </c>
    </row>
    <row r="23" spans="1:10" outlineLevel="2" x14ac:dyDescent="0.2">
      <c r="A23" s="320" t="s">
        <v>16</v>
      </c>
      <c r="B23" s="321">
        <f ca="1">Production!C72</f>
        <v>17.232767232767237</v>
      </c>
      <c r="C23" s="321">
        <f ca="1">Production!D72</f>
        <v>36.188811188811201</v>
      </c>
      <c r="D23" s="321">
        <f ca="1">Production!E72</f>
        <v>37.998251748251761</v>
      </c>
      <c r="E23" s="321">
        <f ca="1">Production!F72</f>
        <v>39.898164335664347</v>
      </c>
      <c r="F23" s="321">
        <f ca="1">Production!G72</f>
        <v>41.893072552447563</v>
      </c>
      <c r="G23" s="321">
        <f ca="1">Production!H72</f>
        <v>21.993863090034974</v>
      </c>
      <c r="H23" s="321">
        <f ca="1">Production!I72</f>
        <v>0</v>
      </c>
    </row>
    <row r="24" spans="1:10" x14ac:dyDescent="0.2">
      <c r="A24" s="314" t="s">
        <v>362</v>
      </c>
      <c r="B24" s="315">
        <f>SUM(B25:B28)</f>
        <v>117</v>
      </c>
      <c r="C24" s="315">
        <f t="shared" ref="C24:H24" si="4">SUM(C25:C28)</f>
        <v>122.85</v>
      </c>
      <c r="D24" s="315">
        <f t="shared" si="4"/>
        <v>128.99250000000001</v>
      </c>
      <c r="E24" s="315">
        <f t="shared" si="4"/>
        <v>135.44212500000003</v>
      </c>
      <c r="F24" s="315">
        <f t="shared" si="4"/>
        <v>142.21423124999998</v>
      </c>
      <c r="G24" s="315">
        <f t="shared" si="4"/>
        <v>149.32494281250001</v>
      </c>
      <c r="H24" s="315">
        <f t="shared" si="4"/>
        <v>156.79118995312498</v>
      </c>
    </row>
    <row r="25" spans="1:10" outlineLevel="1" x14ac:dyDescent="0.2">
      <c r="A25" s="162" t="str">
        <f>Staff!A6</f>
        <v xml:space="preserve">Winemaker </v>
      </c>
      <c r="B25" s="322">
        <f>Staff!D26/1000</f>
        <v>36</v>
      </c>
      <c r="C25" s="322">
        <f>Staff!E26/1000</f>
        <v>37.799999999999997</v>
      </c>
      <c r="D25" s="322">
        <f>Staff!F26/1000</f>
        <v>39.69</v>
      </c>
      <c r="E25" s="322">
        <f>Staff!G26/1000</f>
        <v>41.674500000000009</v>
      </c>
      <c r="F25" s="322">
        <f>Staff!H26/1000</f>
        <v>43.758224999999996</v>
      </c>
      <c r="G25" s="322">
        <f>Staff!I26/1000</f>
        <v>45.946136250000002</v>
      </c>
      <c r="H25" s="322">
        <f>Staff!J26/1000</f>
        <v>48.243443062499999</v>
      </c>
    </row>
    <row r="26" spans="1:10" outlineLevel="1" x14ac:dyDescent="0.2">
      <c r="A26" s="162" t="str">
        <f>Staff!A7</f>
        <v xml:space="preserve">Assistant Winemaker </v>
      </c>
      <c r="B26" s="322">
        <f>Staff!D27/1000</f>
        <v>36</v>
      </c>
      <c r="C26" s="322">
        <f>Staff!E27/1000</f>
        <v>37.799999999999997</v>
      </c>
      <c r="D26" s="322">
        <f>Staff!F27/1000</f>
        <v>39.69</v>
      </c>
      <c r="E26" s="322">
        <f>Staff!G27/1000</f>
        <v>41.674500000000009</v>
      </c>
      <c r="F26" s="322">
        <f>Staff!H27/1000</f>
        <v>43.758224999999996</v>
      </c>
      <c r="G26" s="322">
        <f>Staff!I27/1000</f>
        <v>45.946136250000002</v>
      </c>
      <c r="H26" s="322">
        <f>Staff!J27/1000</f>
        <v>48.243443062499999</v>
      </c>
    </row>
    <row r="27" spans="1:10" outlineLevel="1" x14ac:dyDescent="0.2">
      <c r="A27" s="162" t="str">
        <f>Staff!A8</f>
        <v xml:space="preserve">Cellerman </v>
      </c>
      <c r="B27" s="322">
        <f>Staff!D28/1000</f>
        <v>27</v>
      </c>
      <c r="C27" s="322">
        <f>Staff!E28/1000</f>
        <v>28.35</v>
      </c>
      <c r="D27" s="322">
        <f>Staff!F28/1000</f>
        <v>29.767499999999998</v>
      </c>
      <c r="E27" s="322">
        <f>Staff!G28/1000</f>
        <v>31.255875000000003</v>
      </c>
      <c r="F27" s="322">
        <f>Staff!H28/1000</f>
        <v>32.818668750000001</v>
      </c>
      <c r="G27" s="322">
        <f>Staff!I28/1000</f>
        <v>34.459602187500003</v>
      </c>
      <c r="H27" s="322">
        <f>Staff!J28/1000</f>
        <v>36.182582296874997</v>
      </c>
    </row>
    <row r="28" spans="1:10" outlineLevel="1" x14ac:dyDescent="0.2">
      <c r="A28" s="162" t="str">
        <f>Staff!A9</f>
        <v xml:space="preserve">Warehouse </v>
      </c>
      <c r="B28" s="322">
        <f>Staff!D29/1000</f>
        <v>18</v>
      </c>
      <c r="C28" s="322">
        <f>Staff!E29/1000</f>
        <v>18.899999999999999</v>
      </c>
      <c r="D28" s="322">
        <f>Staff!F29/1000</f>
        <v>19.844999999999999</v>
      </c>
      <c r="E28" s="322">
        <f>Staff!G29/1000</f>
        <v>20.837250000000004</v>
      </c>
      <c r="F28" s="322">
        <f>Staff!H29/1000</f>
        <v>21.879112499999998</v>
      </c>
      <c r="G28" s="322">
        <f>Staff!I29/1000</f>
        <v>22.973068125000001</v>
      </c>
      <c r="H28" s="322">
        <f>Staff!J29/1000</f>
        <v>24.12172153125</v>
      </c>
    </row>
    <row r="29" spans="1:10" x14ac:dyDescent="0.2">
      <c r="A29" s="314" t="s">
        <v>407</v>
      </c>
      <c r="B29" s="315">
        <f ca="1">Production!C50*Parameters!$B$14/1000*(1+Parameters!$B$3)^(B4-$B$4)</f>
        <v>8.4377622377622394</v>
      </c>
      <c r="C29" s="315">
        <f ca="1">Production!D50*Parameters!$B$14/1000*(1+Parameters!$B$3)^(C4-$B$4)</f>
        <v>12.656643356643359</v>
      </c>
      <c r="D29" s="315">
        <f ca="1">Production!E50*Parameters!$B$14/1000*(1+Parameters!$B$3)^(D4-$B$4)</f>
        <v>13.289475524475527</v>
      </c>
      <c r="E29" s="315">
        <f ca="1">Production!F50*Parameters!$B$14/1000*(1+Parameters!$B$3)^(E4-$B$4)</f>
        <v>13.953949300699305</v>
      </c>
      <c r="F29" s="315">
        <f ca="1">Production!G50*Parameters!$B$14/1000*(1+Parameters!$B$3)^(F4-$B$4)</f>
        <v>14.651646765734268</v>
      </c>
      <c r="G29" s="315">
        <f ca="1">Production!H50*Parameters!$B$14/1000*(1+Parameters!$B$3)^(G4-$B$4)</f>
        <v>8.0767202796110151</v>
      </c>
      <c r="H29" s="315">
        <f ca="1">Production!I50*Parameters!$B$14/1000*(1+Parameters!$B$3)^(H4-$B$4)</f>
        <v>0</v>
      </c>
    </row>
    <row r="30" spans="1:10" x14ac:dyDescent="0.2">
      <c r="A30" s="314" t="s">
        <v>408</v>
      </c>
      <c r="B30" s="315">
        <f ca="1">Parameters!$B$22*Production!C50/1000*(1+Parameters!$B$3)^(B4-$B$4)</f>
        <v>4.292307692307693</v>
      </c>
      <c r="C30" s="315">
        <f ca="1">Parameters!$B$22*Production!D50/1000*(1+Parameters!$B$3)^(C4-$B$4)</f>
        <v>6.4384615384615405</v>
      </c>
      <c r="D30" s="315">
        <f ca="1">Parameters!$B$22*Production!E50/1000*(1+Parameters!$B$3)^(D4-$B$4)</f>
        <v>6.7603846153846172</v>
      </c>
      <c r="E30" s="315">
        <f ca="1">Parameters!$B$22*Production!F50/1000*(1+Parameters!$B$3)^(E4-$B$4)</f>
        <v>7.0984038461538486</v>
      </c>
      <c r="F30" s="315">
        <f ca="1">Parameters!$B$22*Production!G50/1000*(1+Parameters!$B$3)^(F4-$B$4)</f>
        <v>7.45332403846154</v>
      </c>
      <c r="G30" s="315">
        <f ca="1">Parameters!$B$22*Production!H50/1000*(1+Parameters!$B$3)^(G4-$B$4)</f>
        <v>4.1086448762019243</v>
      </c>
      <c r="H30" s="315">
        <f ca="1">Parameters!$B$22*Production!I50/1000*(1+Parameters!$B$3)^(H4-$B$4)</f>
        <v>0</v>
      </c>
    </row>
    <row r="31" spans="1:10" x14ac:dyDescent="0.2">
      <c r="A31" s="314" t="s">
        <v>366</v>
      </c>
      <c r="B31" s="315">
        <f ca="1">Production!C25*Parameters!$B$25/1000*(1+Parameters!$B$3)^(B4-$B4)</f>
        <v>328.78787878787881</v>
      </c>
      <c r="C31" s="315">
        <f ca="1">Production!D25*Parameters!$B$25/1000*(1+Parameters!$B$3)^(C4-$B4)</f>
        <v>493.18181818181824</v>
      </c>
      <c r="D31" s="315">
        <f ca="1">Production!E25*Parameters!$B$25/1000*(1+Parameters!$B$3)^(D4-$B4)</f>
        <v>517.84090909090912</v>
      </c>
      <c r="E31" s="315">
        <f ca="1">Production!F25*Parameters!$B$25/1000*(1+Parameters!$B$3)^(E4-$B4)</f>
        <v>543.73295454545462</v>
      </c>
      <c r="F31" s="315">
        <f ca="1">Production!G25*Parameters!$B$25/1000*(1+Parameters!$B$3)^(F4-$B4)</f>
        <v>570.91960227272739</v>
      </c>
      <c r="G31" s="315">
        <f ca="1">Production!H25*Parameters!$B$25/1000*(1+Parameters!$B$3)^(G4-$B4)</f>
        <v>314.71943075284094</v>
      </c>
      <c r="H31" s="315">
        <f ca="1">Production!I25*Parameters!$B$25/1000*(1+Parameters!$B$3)^(H4-$B4)</f>
        <v>0</v>
      </c>
    </row>
    <row r="32" spans="1:10" x14ac:dyDescent="0.2">
      <c r="A32" s="314" t="s">
        <v>427</v>
      </c>
      <c r="B32" s="315">
        <f ca="1">Production!C25*Parameters!$B$33/10^6*(1+Parameters!$B$3)^(B4-$B$4)</f>
        <v>75.757575757575765</v>
      </c>
      <c r="C32" s="315">
        <f ca="1">Production!D25*Parameters!$B$33/10^6*(1+Parameters!$B$3)^(C4-$B$4)</f>
        <v>113.63636363636364</v>
      </c>
      <c r="D32" s="315">
        <f ca="1">Production!E25*Parameters!$B$33/10^6*(1+Parameters!$B$3)^(D4-$B$4)</f>
        <v>119.31818181818183</v>
      </c>
      <c r="E32" s="315">
        <f ca="1">Production!F25*Parameters!$B$33/10^6*(1+Parameters!$B$3)^(E4-$B$4)</f>
        <v>125.28409090909092</v>
      </c>
      <c r="F32" s="315">
        <f ca="1">Production!G25*Parameters!$B$33/10^6*(1+Parameters!$B$3)^(F4-$B$4)</f>
        <v>131.54829545454547</v>
      </c>
      <c r="G32" s="315">
        <f ca="1">Production!H25*Parameters!$B$33/10^6*(1+Parameters!$B$3)^(G4-$B$4)</f>
        <v>72.515997869318198</v>
      </c>
      <c r="H32" s="315">
        <f ca="1">Production!I25*Parameters!$B$33/10^6*(1+Parameters!$B$3)^(H4-$B$4)</f>
        <v>0</v>
      </c>
    </row>
    <row r="33" spans="1:8" x14ac:dyDescent="0.2">
      <c r="A33" s="314" t="s">
        <v>367</v>
      </c>
      <c r="B33" s="315">
        <f ca="1">Production!C25*Parameters!$B$30/1000*(1+Parameters!$B$3)^(B4-$B$4)</f>
        <v>106.06060606060606</v>
      </c>
      <c r="C33" s="315">
        <f ca="1">Production!D25*Parameters!$B$30/1000*(1+Parameters!$B$3)^(C4-$B$4)</f>
        <v>159.09090909090912</v>
      </c>
      <c r="D33" s="315">
        <f ca="1">Production!E25*Parameters!$B$30/1000*(1+Parameters!$B$3)^(D4-$B$4)</f>
        <v>167.04545454545456</v>
      </c>
      <c r="E33" s="315">
        <f ca="1">Production!F25*Parameters!$B$30/1000*(1+Parameters!$B$3)^(E4-$B$4)</f>
        <v>175.39772727272731</v>
      </c>
      <c r="F33" s="315">
        <f ca="1">Production!G25*Parameters!$B$30/1000*(1+Parameters!$B$3)^(F4-$B$4)</f>
        <v>184.16761363636365</v>
      </c>
      <c r="G33" s="315">
        <f ca="1">Production!H25*Parameters!$B$30/1000*(1+Parameters!$B$3)^(G4-$B$4)</f>
        <v>101.52239701704546</v>
      </c>
      <c r="H33" s="315">
        <f ca="1">Production!I25*Parameters!$B$30/1000*(1+Parameters!$B$3)^(H4-$B$4)</f>
        <v>0</v>
      </c>
    </row>
    <row r="35" spans="1:8" ht="15" thickBot="1" x14ac:dyDescent="0.25"/>
    <row r="36" spans="1:8" ht="15" thickBot="1" x14ac:dyDescent="0.25">
      <c r="A36" s="325" t="s">
        <v>364</v>
      </c>
      <c r="B36" s="328">
        <f ca="1">SUM(B37,B44:B52)</f>
        <v>701.50805999999989</v>
      </c>
      <c r="C36" s="328">
        <f t="shared" ref="C36:H36" ca="1" si="5">SUM(C37,C44:C52)</f>
        <v>819.9435166666666</v>
      </c>
      <c r="D36" s="328">
        <f t="shared" ca="1" si="5"/>
        <v>1075.3298333333332</v>
      </c>
      <c r="E36" s="328">
        <f t="shared" ca="1" si="5"/>
        <v>977.74630500000001</v>
      </c>
      <c r="F36" s="328">
        <f t="shared" ca="1" si="5"/>
        <v>1069.7604087499999</v>
      </c>
      <c r="G36" s="328">
        <f t="shared" ca="1" si="5"/>
        <v>983.25188818750019</v>
      </c>
      <c r="H36" s="328">
        <f t="shared" ca="1" si="5"/>
        <v>990.89740409687499</v>
      </c>
    </row>
    <row r="37" spans="1:8" x14ac:dyDescent="0.2">
      <c r="A37" s="314" t="s">
        <v>365</v>
      </c>
      <c r="B37" s="315">
        <f>SUM(B38:B43)</f>
        <v>84.240000000000009</v>
      </c>
      <c r="C37" s="315">
        <f t="shared" ref="C37:H37" si="6">SUM(C38:C43)</f>
        <v>150.48599999999999</v>
      </c>
      <c r="D37" s="315">
        <f t="shared" si="6"/>
        <v>160.30349999999999</v>
      </c>
      <c r="E37" s="315">
        <f t="shared" si="6"/>
        <v>168.31867500000001</v>
      </c>
      <c r="F37" s="315">
        <f t="shared" si="6"/>
        <v>176.73460875000001</v>
      </c>
      <c r="G37" s="315">
        <f t="shared" si="6"/>
        <v>185.57133918750003</v>
      </c>
      <c r="H37" s="315">
        <f t="shared" si="6"/>
        <v>194.84990614687499</v>
      </c>
    </row>
    <row r="38" spans="1:8" outlineLevel="1" x14ac:dyDescent="0.2">
      <c r="A38" s="162" t="str">
        <f>Staff!A25</f>
        <v xml:space="preserve">General Manager </v>
      </c>
      <c r="B38" s="322">
        <f>Staff!D25/1000</f>
        <v>24</v>
      </c>
      <c r="C38" s="322">
        <f>Staff!E25/1000</f>
        <v>25.2</v>
      </c>
      <c r="D38" s="322">
        <f>Staff!F25/1000</f>
        <v>26.46</v>
      </c>
      <c r="E38" s="322">
        <f>Staff!G25/1000</f>
        <v>27.783000000000005</v>
      </c>
      <c r="F38" s="322">
        <f>Staff!H25/1000</f>
        <v>29.172150000000002</v>
      </c>
      <c r="G38" s="322">
        <f>Staff!I25/1000</f>
        <v>30.630757500000005</v>
      </c>
      <c r="H38" s="322">
        <f>Staff!J25/1000</f>
        <v>32.162295374999999</v>
      </c>
    </row>
    <row r="39" spans="1:8" outlineLevel="1" x14ac:dyDescent="0.2">
      <c r="A39" s="162" t="str">
        <f>Staff!A30</f>
        <v xml:space="preserve">Public Relations </v>
      </c>
      <c r="B39" s="322">
        <f>Staff!D30/1000</f>
        <v>12</v>
      </c>
      <c r="C39" s="322">
        <f>Staff!E30/1000</f>
        <v>25.2</v>
      </c>
      <c r="D39" s="322">
        <f>Staff!F30/1000</f>
        <v>26.46</v>
      </c>
      <c r="E39" s="322">
        <f>Staff!G30/1000</f>
        <v>27.783000000000005</v>
      </c>
      <c r="F39" s="322">
        <f>Staff!H30/1000</f>
        <v>29.172150000000002</v>
      </c>
      <c r="G39" s="322">
        <f>Staff!I30/1000</f>
        <v>30.630757500000005</v>
      </c>
      <c r="H39" s="322">
        <f>Staff!J30/1000</f>
        <v>32.162295374999999</v>
      </c>
    </row>
    <row r="40" spans="1:8" outlineLevel="1" x14ac:dyDescent="0.2">
      <c r="A40" s="162" t="str">
        <f>Staff!A31</f>
        <v xml:space="preserve">Customer Service </v>
      </c>
      <c r="B40" s="322">
        <f>(Staff!D31+Staff!D40)/1000</f>
        <v>15.24</v>
      </c>
      <c r="C40" s="322">
        <f>(Staff!E31+Staff!E40)/1000</f>
        <v>27.635999999999999</v>
      </c>
      <c r="D40" s="322">
        <f>(Staff!F31+Staff!F40)/1000</f>
        <v>31.311</v>
      </c>
      <c r="E40" s="322">
        <f>(Staff!G31+Staff!G40)/1000</f>
        <v>32.876550000000002</v>
      </c>
      <c r="F40" s="322">
        <f>(Staff!H31+Staff!H40)/1000</f>
        <v>34.520377500000002</v>
      </c>
      <c r="G40" s="322">
        <f>(Staff!I31+Staff!I40)/1000</f>
        <v>36.246396375000003</v>
      </c>
      <c r="H40" s="322">
        <f>(Staff!J31+Staff!J40)/1000</f>
        <v>38.058716193750001</v>
      </c>
    </row>
    <row r="41" spans="1:8" outlineLevel="1" x14ac:dyDescent="0.2">
      <c r="A41" s="162" t="str">
        <f>Staff!A32</f>
        <v xml:space="preserve">Sales Manager </v>
      </c>
      <c r="B41" s="322">
        <f>Staff!D32/1000</f>
        <v>18</v>
      </c>
      <c r="C41" s="322">
        <f>Staff!E32/1000</f>
        <v>56.7</v>
      </c>
      <c r="D41" s="322">
        <f>Staff!F32/1000</f>
        <v>59.534999999999997</v>
      </c>
      <c r="E41" s="322">
        <f>Staff!G32/1000</f>
        <v>62.511750000000006</v>
      </c>
      <c r="F41" s="322">
        <f>Staff!H32/1000</f>
        <v>65.637337500000001</v>
      </c>
      <c r="G41" s="322">
        <f>Staff!I32/1000</f>
        <v>68.919204375000007</v>
      </c>
      <c r="H41" s="322">
        <f>Staff!J32/1000</f>
        <v>72.365164593749995</v>
      </c>
    </row>
    <row r="42" spans="1:8" outlineLevel="1" x14ac:dyDescent="0.2">
      <c r="A42" s="162" t="str">
        <f>Staff!A33</f>
        <v xml:space="preserve">Office Manager </v>
      </c>
      <c r="B42" s="322">
        <f>Staff!D33/1000</f>
        <v>9</v>
      </c>
      <c r="C42" s="322">
        <f>Staff!E33/1000</f>
        <v>9.4499999999999993</v>
      </c>
      <c r="D42" s="322">
        <f>Staff!F33/1000</f>
        <v>9.9224999999999994</v>
      </c>
      <c r="E42" s="322">
        <f>Staff!G33/1000</f>
        <v>10.418625000000002</v>
      </c>
      <c r="F42" s="322">
        <f>Staff!H33/1000</f>
        <v>10.939556249999999</v>
      </c>
      <c r="G42" s="322">
        <f>Staff!I33/1000</f>
        <v>11.486534062500001</v>
      </c>
      <c r="H42" s="322">
        <f>Staff!J33/1000</f>
        <v>12.060860765625</v>
      </c>
    </row>
    <row r="43" spans="1:8" outlineLevel="1" x14ac:dyDescent="0.2">
      <c r="A43" s="162" t="str">
        <f>Staff!A34</f>
        <v xml:space="preserve">Clerical </v>
      </c>
      <c r="B43" s="322">
        <f>Staff!D34/1000</f>
        <v>6</v>
      </c>
      <c r="C43" s="322">
        <f>Staff!E34/1000</f>
        <v>6.3</v>
      </c>
      <c r="D43" s="322">
        <f>Staff!F34/1000</f>
        <v>6.6150000000000002</v>
      </c>
      <c r="E43" s="322">
        <f>Staff!G34/1000</f>
        <v>6.9457500000000012</v>
      </c>
      <c r="F43" s="322">
        <f>Staff!H34/1000</f>
        <v>7.2930375000000005</v>
      </c>
      <c r="G43" s="322">
        <f>Staff!I34/1000</f>
        <v>7.6576893750000012</v>
      </c>
      <c r="H43" s="322">
        <f>Staff!J34/1000</f>
        <v>8.0405738437499998</v>
      </c>
    </row>
    <row r="44" spans="1:8" x14ac:dyDescent="0.2">
      <c r="A44" s="314" t="s">
        <v>381</v>
      </c>
      <c r="B44" s="315">
        <f>Parameters!$B$34*12/1000*(1+Parameters!$B$3)^(B4-$B$4)</f>
        <v>12</v>
      </c>
      <c r="C44" s="315">
        <f>Parameters!$B$34*12/1000*(1+Parameters!$B$3)^(C4-$B$4)</f>
        <v>12.600000000000001</v>
      </c>
      <c r="D44" s="315">
        <f>Parameters!$B$34*12/1000*(1+Parameters!$B$3)^(D4-$B$4)</f>
        <v>13.23</v>
      </c>
      <c r="E44" s="315">
        <f>Parameters!$B$34*12/1000*(1+Parameters!$B$3)^(E4-$B$4)</f>
        <v>13.891500000000001</v>
      </c>
      <c r="F44" s="315">
        <f>Parameters!$B$34*12/1000*(1+Parameters!$B$3)^(F4-$B$4)</f>
        <v>14.586075000000001</v>
      </c>
      <c r="G44" s="315">
        <f>Parameters!$B$34*12/1000*(1+Parameters!$B$3)^(G4-$B$4)</f>
        <v>15.315378750000001</v>
      </c>
      <c r="H44" s="315">
        <f>Parameters!$B$34*12/1000*(1+Parameters!$B$3)^(H4-$B$4)</f>
        <v>16.0811476875</v>
      </c>
    </row>
    <row r="45" spans="1:8" x14ac:dyDescent="0.2">
      <c r="A45" s="314" t="s">
        <v>383</v>
      </c>
      <c r="B45" s="315">
        <f>Parameters!$B$36*12/1000*(1+Parameters!$B$3)^(B4-$B$4)</f>
        <v>10.8</v>
      </c>
      <c r="C45" s="315">
        <f>Parameters!$B$36*12/1000*(1+Parameters!$B$3)^(C4-$B$4)</f>
        <v>11.340000000000002</v>
      </c>
      <c r="D45" s="315">
        <f>Parameters!$B$36*12/1000*(1+Parameters!$B$3)^(D4-$B$4)</f>
        <v>11.907000000000002</v>
      </c>
      <c r="E45" s="315">
        <f>Parameters!$B$36*12/1000*(1+Parameters!$B$3)^(E4-$B$4)</f>
        <v>12.502350000000002</v>
      </c>
      <c r="F45" s="315">
        <f>Parameters!$B$36*12/1000*(1+Parameters!$B$3)^(F4-$B$4)</f>
        <v>13.127467500000002</v>
      </c>
      <c r="G45" s="315">
        <f>Parameters!$B$36*12/1000*(1+Parameters!$B$3)^(G4-$B$4)</f>
        <v>13.783840875000003</v>
      </c>
      <c r="H45" s="315">
        <f>Parameters!$B$36*12/1000*(1+Parameters!$B$3)^(H4-$B$4)</f>
        <v>14.47303291875</v>
      </c>
    </row>
    <row r="46" spans="1:8" x14ac:dyDescent="0.2">
      <c r="A46" s="314" t="s">
        <v>369</v>
      </c>
      <c r="B46" s="315">
        <f>Sales!C25*Parameters!$B$31/1000*(1+Parameters!$B$3)^(B4-$B$4)</f>
        <v>0</v>
      </c>
      <c r="C46" s="315">
        <f>Sales!D25*Parameters!$B$31/1000*(1+Parameters!$B$3)^(C4-$B$4)</f>
        <v>47.25</v>
      </c>
      <c r="D46" s="315">
        <f>Sales!E25*Parameters!$B$31/1000*(1+Parameters!$B$3)^(D4-$B$4)</f>
        <v>220.5</v>
      </c>
      <c r="E46" s="315">
        <f>Sales!F25*Parameters!$B$31/1000*(1+Parameters!$B$3)^(E4-$B$4)</f>
        <v>231.52500000000003</v>
      </c>
      <c r="F46" s="315">
        <f>Sales!G25*Parameters!$B$31/1000*(1+Parameters!$B$3)^(F4-$B$4)</f>
        <v>243.10124999999999</v>
      </c>
      <c r="G46" s="315">
        <f>Sales!H25*Parameters!$B$31/1000*(1+Parameters!$B$3)^(G4-$B$4)</f>
        <v>255.25631250000004</v>
      </c>
      <c r="H46" s="315">
        <f>Sales!I25*Parameters!$B$31/1000*(1+Parameters!$B$3)^(H4-$B$4)</f>
        <v>268.01912812500001</v>
      </c>
    </row>
    <row r="47" spans="1:8" x14ac:dyDescent="0.2">
      <c r="A47" s="314" t="s">
        <v>396</v>
      </c>
      <c r="B47" s="315">
        <f ca="1">'PL-CF-BS'!B60*Parameters!$B$40</f>
        <v>47.082928750000001</v>
      </c>
      <c r="C47" s="315">
        <f ca="1">'PL-CF-BS'!C60*Parameters!$B$40</f>
        <v>42.470224999999999</v>
      </c>
      <c r="D47" s="315">
        <f ca="1">'PL-CF-BS'!D60*Parameters!$B$40</f>
        <v>38.103281250000002</v>
      </c>
      <c r="E47" s="315">
        <f ca="1">'PL-CF-BS'!E60*Parameters!$B$40</f>
        <v>31.777792499999997</v>
      </c>
      <c r="F47" s="315">
        <f ca="1">'PL-CF-BS'!F60*Parameters!$B$40</f>
        <v>27.755463750000001</v>
      </c>
      <c r="G47" s="315">
        <f ca="1">'PL-CF-BS'!G60*Parameters!$B$40</f>
        <v>21.489494999999998</v>
      </c>
      <c r="H47" s="315">
        <f ca="1">'PL-CF-BS'!H60*Parameters!$B$40</f>
        <v>15.24002625</v>
      </c>
    </row>
    <row r="48" spans="1:8" x14ac:dyDescent="0.2">
      <c r="A48" s="314" t="s">
        <v>426</v>
      </c>
      <c r="B48" s="315">
        <f>Parameters!$B$32*12/1000*(1+Parameters!$B$3)^(B4-$B$4)</f>
        <v>12</v>
      </c>
      <c r="C48" s="315">
        <f>Parameters!$B$32*12/1000*(1+Parameters!$B$3)^(C4-$B$4)</f>
        <v>12.600000000000001</v>
      </c>
      <c r="D48" s="315">
        <f>Parameters!$B$32*12/1000*(1+Parameters!$B$3)^(D4-$B$4)</f>
        <v>13.23</v>
      </c>
      <c r="E48" s="315">
        <f>Parameters!$B$32*12/1000*(1+Parameters!$B$3)^(E4-$B$4)</f>
        <v>13.891500000000001</v>
      </c>
      <c r="F48" s="315">
        <f>Parameters!$B$32*12/1000*(1+Parameters!$B$3)^(F4-$B$4)</f>
        <v>14.586075000000001</v>
      </c>
      <c r="G48" s="315">
        <f>Parameters!$B$32*12/1000*(1+Parameters!$B$3)^(G4-$B$4)</f>
        <v>15.315378750000001</v>
      </c>
      <c r="H48" s="315">
        <f>Parameters!$B$32*12/1000*(1+Parameters!$B$3)^(H4-$B$4)</f>
        <v>16.0811476875</v>
      </c>
    </row>
    <row r="49" spans="1:8" x14ac:dyDescent="0.2">
      <c r="A49" s="314" t="s">
        <v>382</v>
      </c>
      <c r="B49" s="315">
        <f>Parameters!$B$35/1000*12*(1+Parameters!$B$3)^(B4-$B$4)</f>
        <v>18</v>
      </c>
      <c r="C49" s="315">
        <f>Parameters!$B$35/1000*12*(1+Parameters!$B$3)^(C4-$B$4)</f>
        <v>18.900000000000002</v>
      </c>
      <c r="D49" s="315">
        <f>Parameters!$B$35/1000*12*(1+Parameters!$B$3)^(D4-$B$4)</f>
        <v>19.844999999999999</v>
      </c>
      <c r="E49" s="315">
        <f>Parameters!$B$35/1000*12*(1+Parameters!$B$3)^(E4-$B$4)</f>
        <v>20.837250000000001</v>
      </c>
      <c r="F49" s="315">
        <f>Parameters!$B$35/1000*12*(1+Parameters!$B$3)^(F4-$B$4)</f>
        <v>21.879112500000002</v>
      </c>
      <c r="G49" s="315">
        <f>Parameters!$B$35/1000*12*(1+Parameters!$B$3)^(G4-$B$4)</f>
        <v>22.973068125000001</v>
      </c>
      <c r="H49" s="315">
        <f>Parameters!$B$35/1000*12*(1+Parameters!$B$3)^(H4-$B$4)</f>
        <v>24.12172153125</v>
      </c>
    </row>
    <row r="50" spans="1:8" x14ac:dyDescent="0.2">
      <c r="A50" s="314" t="s">
        <v>390</v>
      </c>
      <c r="B50" s="315">
        <f ca="1">'PL-CF-BS'!B60*Parameters!$B$39</f>
        <v>78.47154791666668</v>
      </c>
      <c r="C50" s="315">
        <f ca="1">'PL-CF-BS'!C60*Parameters!$B$39</f>
        <v>70.783708333333337</v>
      </c>
      <c r="D50" s="315">
        <f ca="1">'PL-CF-BS'!D60*Parameters!$B$39</f>
        <v>63.505468750000006</v>
      </c>
      <c r="E50" s="315">
        <f ca="1">'PL-CF-BS'!E60*Parameters!$B$39</f>
        <v>52.962987499999997</v>
      </c>
      <c r="F50" s="315">
        <f ca="1">'PL-CF-BS'!F60*Parameters!$B$39</f>
        <v>46.259106250000002</v>
      </c>
      <c r="G50" s="315">
        <f ca="1">'PL-CF-BS'!G60*Parameters!$B$39</f>
        <v>35.815825000000004</v>
      </c>
      <c r="H50" s="315">
        <f ca="1">'PL-CF-BS'!H60*Parameters!$B$39</f>
        <v>25.400043750000002</v>
      </c>
    </row>
    <row r="51" spans="1:8" x14ac:dyDescent="0.2">
      <c r="A51" s="314" t="s">
        <v>421</v>
      </c>
      <c r="B51" s="315">
        <f ca="1">(CAPEX!AD103-CAPEX!AD91)/1000</f>
        <v>345.23858333333334</v>
      </c>
      <c r="C51" s="315">
        <f ca="1">(CAPEX!AE103-CAPEX!AE91)/1000</f>
        <v>358.73858333333334</v>
      </c>
      <c r="D51" s="315">
        <f ca="1">(CAPEX!AF103-CAPEX!AF91)/1000</f>
        <v>439.93058333333323</v>
      </c>
      <c r="E51" s="315">
        <f ca="1">(CAPEX!AG103-CAPEX!AG91)/1000</f>
        <v>337.26425</v>
      </c>
      <c r="F51" s="315">
        <f ca="1">(CAPEX!AH103-CAPEX!AH91)/1000</f>
        <v>416.95624999999995</v>
      </c>
      <c r="G51" s="315">
        <f ca="1">(CAPEX!AI103-CAPEX!AI91)/1000</f>
        <v>322.95625000000001</v>
      </c>
      <c r="H51" s="315">
        <f ca="1">(CAPEX!AJ103-CAPEX!AJ91)/1000</f>
        <v>321.85624999999999</v>
      </c>
    </row>
    <row r="52" spans="1:8" x14ac:dyDescent="0.2">
      <c r="A52" s="314" t="s">
        <v>422</v>
      </c>
      <c r="B52" s="315">
        <f ca="1">CAPEX!AD91/1000</f>
        <v>93.674999999999997</v>
      </c>
      <c r="C52" s="315">
        <f ca="1">CAPEX!AE91/1000</f>
        <v>94.775000000000006</v>
      </c>
      <c r="D52" s="315">
        <f ca="1">CAPEX!AF91/1000</f>
        <v>94.775000000000006</v>
      </c>
      <c r="E52" s="315">
        <f ca="1">CAPEX!AG91/1000</f>
        <v>94.775000000000006</v>
      </c>
      <c r="F52" s="315">
        <f ca="1">CAPEX!AH91/1000</f>
        <v>94.775000000000006</v>
      </c>
      <c r="G52" s="315">
        <f ca="1">CAPEX!AI91/1000</f>
        <v>94.775000000000006</v>
      </c>
      <c r="H52" s="315">
        <f ca="1">CAPEX!AJ91/1000</f>
        <v>94.775000000000006</v>
      </c>
    </row>
    <row r="53" spans="1:8" ht="15" thickBot="1" x14ac:dyDescent="0.25"/>
    <row r="54" spans="1:8" ht="15" thickBot="1" x14ac:dyDescent="0.25">
      <c r="A54" s="359" t="s">
        <v>33</v>
      </c>
      <c r="B54" s="360">
        <f ca="1">B6+B36</f>
        <v>1824.361673053613</v>
      </c>
      <c r="C54" s="360">
        <f t="shared" ref="C54:H54" ca="1" si="7">C6+C36</f>
        <v>2451.5739362470867</v>
      </c>
      <c r="D54" s="360">
        <f t="shared" ca="1" si="7"/>
        <v>2788.5417738927736</v>
      </c>
      <c r="E54" s="360">
        <f t="shared" ca="1" si="7"/>
        <v>2776.6188425874129</v>
      </c>
      <c r="F54" s="360">
        <f t="shared" ca="1" si="7"/>
        <v>2958.5765732167838</v>
      </c>
      <c r="G54" s="360">
        <f t="shared" ca="1" si="7"/>
        <v>2095.3911466857521</v>
      </c>
      <c r="H54" s="360">
        <f t="shared" ca="1" si="7"/>
        <v>1147.6885940499999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P103"/>
  <sheetViews>
    <sheetView showGridLines="0" zoomScale="85" zoomScaleNormal="85" workbookViewId="0">
      <pane xSplit="4" ySplit="2" topLeftCell="E3" activePane="bottomRight" state="frozen"/>
      <selection pane="topRight" activeCell="D1" sqref="D1"/>
      <selection pane="bottomLeft" activeCell="A2" sqref="A2"/>
      <selection pane="bottomRight" activeCell="R11" sqref="R11"/>
    </sheetView>
  </sheetViews>
  <sheetFormatPr defaultRowHeight="14.25" outlineLevelRow="1" outlineLevelCol="1" x14ac:dyDescent="0.2"/>
  <cols>
    <col min="1" max="1" width="4.5" customWidth="1"/>
    <col min="2" max="2" width="45" style="66" bestFit="1" customWidth="1"/>
    <col min="3" max="3" width="36.5" style="285" hidden="1" customWidth="1"/>
    <col min="4" max="4" width="53.125" style="285" hidden="1" customWidth="1"/>
    <col min="5" max="7" width="10.25" style="66" customWidth="1"/>
    <col min="8" max="8" width="3.625" customWidth="1"/>
    <col min="9" max="10" width="8.375" style="194" hidden="1" customWidth="1"/>
    <col min="11" max="11" width="3.625" hidden="1" customWidth="1"/>
    <col min="12" max="18" width="6.625" style="194" customWidth="1" outlineLevel="1"/>
    <col min="19" max="19" width="3.625" customWidth="1" outlineLevel="1"/>
    <col min="20" max="26" width="9.25" style="194" customWidth="1"/>
    <col min="27" max="27" width="3.625" customWidth="1"/>
    <col min="28" max="28" width="11.125" style="194" bestFit="1" customWidth="1"/>
    <col min="29" max="29" width="3.625" customWidth="1"/>
    <col min="30" max="36" width="9.25" style="194" customWidth="1"/>
    <col min="43" max="16384" width="9" style="66"/>
  </cols>
  <sheetData>
    <row r="1" spans="2:36" x14ac:dyDescent="0.2">
      <c r="L1" s="194" t="s">
        <v>103</v>
      </c>
      <c r="T1" s="194" t="s">
        <v>35</v>
      </c>
      <c r="AD1" s="194" t="s">
        <v>35</v>
      </c>
    </row>
    <row r="2" spans="2:36" ht="25.5" customHeight="1" x14ac:dyDescent="0.2">
      <c r="B2" s="181" t="s">
        <v>233</v>
      </c>
      <c r="C2" s="286" t="s">
        <v>232</v>
      </c>
      <c r="D2" s="286" t="s">
        <v>180</v>
      </c>
      <c r="E2" s="308" t="s">
        <v>351</v>
      </c>
      <c r="F2" s="308" t="s">
        <v>352</v>
      </c>
      <c r="G2" s="308" t="s">
        <v>353</v>
      </c>
      <c r="I2" s="264" t="s">
        <v>308</v>
      </c>
      <c r="J2" s="264" t="s">
        <v>231</v>
      </c>
      <c r="L2" s="310">
        <v>2019</v>
      </c>
      <c r="M2" s="311">
        <v>2020</v>
      </c>
      <c r="N2" s="311">
        <v>2021</v>
      </c>
      <c r="O2" s="311">
        <v>2022</v>
      </c>
      <c r="P2" s="311">
        <v>2023</v>
      </c>
      <c r="Q2" s="312">
        <v>2024</v>
      </c>
      <c r="R2" s="312">
        <v>2025</v>
      </c>
      <c r="T2" s="310">
        <v>2019</v>
      </c>
      <c r="U2" s="311">
        <v>2020</v>
      </c>
      <c r="V2" s="311">
        <v>2021</v>
      </c>
      <c r="W2" s="311">
        <v>2022</v>
      </c>
      <c r="X2" s="311">
        <v>2023</v>
      </c>
      <c r="Y2" s="312">
        <v>2024</v>
      </c>
      <c r="Z2" s="312">
        <v>2025</v>
      </c>
      <c r="AB2" s="366" t="s">
        <v>416</v>
      </c>
      <c r="AD2" s="310">
        <v>2019</v>
      </c>
      <c r="AE2" s="311">
        <v>2020</v>
      </c>
      <c r="AF2" s="311">
        <v>2021</v>
      </c>
      <c r="AG2" s="311">
        <v>2022</v>
      </c>
      <c r="AH2" s="311">
        <v>2023</v>
      </c>
      <c r="AI2" s="312">
        <v>2024</v>
      </c>
      <c r="AJ2" s="312">
        <v>2025</v>
      </c>
    </row>
    <row r="3" spans="2:36" x14ac:dyDescent="0.2">
      <c r="I3" s="183">
        <v>20000</v>
      </c>
      <c r="J3" s="183"/>
      <c r="AD3" s="399">
        <v>1</v>
      </c>
      <c r="AE3" s="399">
        <v>1</v>
      </c>
      <c r="AF3" s="399">
        <v>1</v>
      </c>
      <c r="AG3" s="399">
        <v>1</v>
      </c>
      <c r="AH3" s="399">
        <v>1</v>
      </c>
      <c r="AI3" s="399">
        <v>1</v>
      </c>
      <c r="AJ3" s="399">
        <v>1</v>
      </c>
    </row>
    <row r="4" spans="2:36" x14ac:dyDescent="0.2">
      <c r="B4" s="184" t="s">
        <v>234</v>
      </c>
      <c r="C4" s="287" t="s">
        <v>181</v>
      </c>
      <c r="D4" s="288"/>
      <c r="E4" s="301"/>
      <c r="F4" s="301"/>
      <c r="G4" s="301"/>
      <c r="I4" s="183"/>
      <c r="J4" s="183"/>
      <c r="L4" s="200"/>
      <c r="M4" s="200"/>
      <c r="N4" s="200"/>
      <c r="O4" s="200"/>
      <c r="P4" s="200"/>
      <c r="Q4" s="200"/>
      <c r="R4" s="200"/>
      <c r="T4" s="280">
        <f t="shared" ref="T4:Z4" si="0">SUM(T6:T12)</f>
        <v>196190</v>
      </c>
      <c r="U4" s="280">
        <f t="shared" si="0"/>
        <v>0</v>
      </c>
      <c r="V4" s="280">
        <f t="shared" si="0"/>
        <v>0</v>
      </c>
      <c r="W4" s="280">
        <f t="shared" si="0"/>
        <v>4040</v>
      </c>
      <c r="X4" s="280">
        <f t="shared" si="0"/>
        <v>0</v>
      </c>
      <c r="Y4" s="280">
        <f t="shared" si="0"/>
        <v>0</v>
      </c>
      <c r="Z4" s="280">
        <f t="shared" si="0"/>
        <v>0</v>
      </c>
      <c r="AB4" s="367"/>
      <c r="AD4" s="280">
        <f t="shared" ref="AD4:AJ4" ca="1" si="1">SUM(AD6:AD12)</f>
        <v>26723</v>
      </c>
      <c r="AE4" s="280">
        <f t="shared" ca="1" si="1"/>
        <v>26723</v>
      </c>
      <c r="AF4" s="280">
        <f t="shared" ca="1" si="1"/>
        <v>26723</v>
      </c>
      <c r="AG4" s="280">
        <f t="shared" ca="1" si="1"/>
        <v>26931</v>
      </c>
      <c r="AH4" s="280">
        <f t="shared" ca="1" si="1"/>
        <v>26931</v>
      </c>
      <c r="AI4" s="280">
        <f t="shared" ca="1" si="1"/>
        <v>14123</v>
      </c>
      <c r="AJ4" s="280">
        <f t="shared" ca="1" si="1"/>
        <v>13123</v>
      </c>
    </row>
    <row r="5" spans="2:36" outlineLevel="1" x14ac:dyDescent="0.2">
      <c r="B5" s="195" t="s">
        <v>238</v>
      </c>
      <c r="C5" s="289" t="s">
        <v>186</v>
      </c>
      <c r="D5" s="289" t="s">
        <v>356</v>
      </c>
      <c r="E5" s="302">
        <v>39000</v>
      </c>
      <c r="F5" s="302">
        <v>1950</v>
      </c>
      <c r="G5" s="302">
        <f>E5+F5</f>
        <v>40950</v>
      </c>
      <c r="I5" s="267">
        <v>1</v>
      </c>
      <c r="J5" s="267">
        <v>1</v>
      </c>
      <c r="L5" s="266">
        <v>2</v>
      </c>
      <c r="M5" s="266"/>
      <c r="N5" s="266"/>
      <c r="O5" s="266"/>
      <c r="P5" s="266"/>
      <c r="Q5" s="266"/>
      <c r="R5" s="266"/>
      <c r="T5" s="277">
        <f t="shared" ref="T5:Z7" si="2">L5*$G5</f>
        <v>81900</v>
      </c>
      <c r="U5" s="277">
        <f t="shared" si="2"/>
        <v>0</v>
      </c>
      <c r="V5" s="277">
        <f t="shared" si="2"/>
        <v>0</v>
      </c>
      <c r="W5" s="277">
        <f t="shared" si="2"/>
        <v>0</v>
      </c>
      <c r="X5" s="277">
        <f t="shared" si="2"/>
        <v>0</v>
      </c>
      <c r="Y5" s="277">
        <f t="shared" si="2"/>
        <v>0</v>
      </c>
      <c r="Z5" s="277">
        <f t="shared" si="2"/>
        <v>0</v>
      </c>
      <c r="AB5" s="266">
        <v>10</v>
      </c>
      <c r="AD5" s="278">
        <f ca="1">IF(SUM($AD$3:AD$3)&lt;=$AB5,SUM($T5:T5),SUM(OFFSET(T5,0,0,1,-$AB5)))/$AB5</f>
        <v>8190</v>
      </c>
      <c r="AE5" s="278">
        <f ca="1">IF(SUM($AD$3:AE$3)&lt;=$AB5,SUM($T5:U5),SUM(OFFSET(U5,0,0,1,-$AB5)))/$AB5</f>
        <v>8190</v>
      </c>
      <c r="AF5" s="278">
        <f ca="1">IF(SUM($AD$3:AF$3)&lt;=$AB5,SUM($T5:V5),SUM(OFFSET(V5,0,0,1,-$AB5)))/$AB5</f>
        <v>8190</v>
      </c>
      <c r="AG5" s="278">
        <f ca="1">IF(SUM($AD$3:AG$3)&lt;=$AB5,SUM($T5:W5),SUM(OFFSET(W5,0,0,1,-$AB5)))/$AB5</f>
        <v>8190</v>
      </c>
      <c r="AH5" s="278">
        <f ca="1">IF(SUM($AD$3:AH$3)&lt;=$AB5,SUM($T5:X5),SUM(OFFSET(X5,0,0,1,-$AB5)))/$AB5</f>
        <v>8190</v>
      </c>
      <c r="AI5" s="278">
        <f ca="1">IF(SUM($AD$3:AI$3)&lt;=$AB5,SUM($T5:Y5),SUM(OFFSET(Y5,0,0,1,-$AB5)))/$AB5</f>
        <v>8190</v>
      </c>
      <c r="AJ5" s="278">
        <f ca="1">IF(SUM($AD$3:AJ$3)&lt;=$AB5,SUM($T5:Z5),SUM(OFFSET(Z5,0,0,1,-$AB5)))/$AB5</f>
        <v>8190</v>
      </c>
    </row>
    <row r="6" spans="2:36" outlineLevel="1" x14ac:dyDescent="0.2">
      <c r="B6" s="196" t="s">
        <v>235</v>
      </c>
      <c r="C6" s="290" t="s">
        <v>182</v>
      </c>
      <c r="D6" s="290" t="s">
        <v>183</v>
      </c>
      <c r="E6" s="303">
        <v>300</v>
      </c>
      <c r="F6" s="303">
        <v>15</v>
      </c>
      <c r="G6" s="303">
        <f>E6+F6</f>
        <v>315</v>
      </c>
      <c r="I6" s="265">
        <v>100</v>
      </c>
      <c r="J6" s="265">
        <v>1</v>
      </c>
      <c r="L6" s="268">
        <v>200</v>
      </c>
      <c r="M6" s="268"/>
      <c r="N6" s="268"/>
      <c r="O6" s="268"/>
      <c r="P6" s="268"/>
      <c r="Q6" s="268"/>
      <c r="R6" s="268"/>
      <c r="T6" s="278">
        <f t="shared" si="2"/>
        <v>63000</v>
      </c>
      <c r="U6" s="278">
        <f t="shared" si="2"/>
        <v>0</v>
      </c>
      <c r="V6" s="278">
        <f t="shared" si="2"/>
        <v>0</v>
      </c>
      <c r="W6" s="278">
        <f t="shared" si="2"/>
        <v>0</v>
      </c>
      <c r="X6" s="278">
        <f t="shared" si="2"/>
        <v>0</v>
      </c>
      <c r="Y6" s="278">
        <f t="shared" si="2"/>
        <v>0</v>
      </c>
      <c r="Z6" s="278">
        <f t="shared" si="2"/>
        <v>0</v>
      </c>
      <c r="AB6" s="268">
        <v>5</v>
      </c>
      <c r="AD6" s="278">
        <f ca="1">IF(SUM($AD$3:AD$3)&lt;=$AB6,SUM($T6:T6),SUM(OFFSET(T6,0,0,1,-$AB6)))/$AB6</f>
        <v>12600</v>
      </c>
      <c r="AE6" s="278">
        <f ca="1">IF(SUM($AD$3:AE$3)&lt;=$AB6,SUM($T6:U6),SUM(OFFSET(U6,0,0,1,-$AB6)))/$AB6</f>
        <v>12600</v>
      </c>
      <c r="AF6" s="278">
        <f ca="1">IF(SUM($AD$3:AF$3)&lt;=$AB6,SUM($T6:V6),SUM(OFFSET(V6,0,0,1,-$AB6)))/$AB6</f>
        <v>12600</v>
      </c>
      <c r="AG6" s="278">
        <f ca="1">IF(SUM($AD$3:AG$3)&lt;=$AB6,SUM($T6:W6),SUM(OFFSET(W6,0,0,1,-$AB6)))/$AB6</f>
        <v>12600</v>
      </c>
      <c r="AH6" s="278">
        <f ca="1">IF(SUM($AD$3:AH$3)&lt;=$AB6,SUM($T6:X6),SUM(OFFSET(X6,0,0,1,-$AB6)))/$AB6</f>
        <v>12600</v>
      </c>
      <c r="AI6" s="278">
        <f ca="1">IF(SUM($AD$3:AI$3)&lt;=$AB6,SUM($T6:Y6),SUM(OFFSET(Y6,0,0,1,-$AB6)))/$AB6</f>
        <v>0</v>
      </c>
      <c r="AJ6" s="278">
        <f ca="1">IF(SUM($AD$3:AJ$3)&lt;=$AB6,SUM($T6:Z6),SUM(OFFSET(Z6,0,0,1,-$AB6)))/$AB6</f>
        <v>0</v>
      </c>
    </row>
    <row r="7" spans="2:36" outlineLevel="1" x14ac:dyDescent="0.2">
      <c r="B7" s="196" t="s">
        <v>240</v>
      </c>
      <c r="C7" s="290" t="s">
        <v>189</v>
      </c>
      <c r="D7" s="294" t="s">
        <v>118</v>
      </c>
      <c r="E7" s="303">
        <v>18000</v>
      </c>
      <c r="F7" s="303">
        <v>900</v>
      </c>
      <c r="G7" s="303">
        <f>E7+F7</f>
        <v>18900</v>
      </c>
      <c r="I7" s="267">
        <v>1</v>
      </c>
      <c r="J7" s="267">
        <v>1</v>
      </c>
      <c r="L7" s="268">
        <v>2</v>
      </c>
      <c r="M7" s="268"/>
      <c r="N7" s="268"/>
      <c r="O7" s="268"/>
      <c r="P7" s="268"/>
      <c r="Q7" s="268"/>
      <c r="R7" s="268"/>
      <c r="T7" s="278">
        <f t="shared" si="2"/>
        <v>37800</v>
      </c>
      <c r="U7" s="278">
        <f t="shared" si="2"/>
        <v>0</v>
      </c>
      <c r="V7" s="278">
        <f t="shared" si="2"/>
        <v>0</v>
      </c>
      <c r="W7" s="278">
        <f t="shared" si="2"/>
        <v>0</v>
      </c>
      <c r="X7" s="278">
        <f t="shared" si="2"/>
        <v>0</v>
      </c>
      <c r="Y7" s="278">
        <f t="shared" si="2"/>
        <v>0</v>
      </c>
      <c r="Z7" s="278">
        <f t="shared" si="2"/>
        <v>0</v>
      </c>
      <c r="AB7" s="268">
        <v>10</v>
      </c>
      <c r="AD7" s="278">
        <f ca="1">IF(SUM($AD$3:AD$3)&lt;=$AB7,SUM($T7:T7),SUM(OFFSET(T7,0,0,1,-$AB7)))/$AB7</f>
        <v>3780</v>
      </c>
      <c r="AE7" s="278">
        <f ca="1">IF(SUM($AD$3:AE$3)&lt;=$AB7,SUM($T7:U7),SUM(OFFSET(U7,0,0,1,-$AB7)))/$AB7</f>
        <v>3780</v>
      </c>
      <c r="AF7" s="278">
        <f ca="1">IF(SUM($AD$3:AF$3)&lt;=$AB7,SUM($T7:V7),SUM(OFFSET(V7,0,0,1,-$AB7)))/$AB7</f>
        <v>3780</v>
      </c>
      <c r="AG7" s="278">
        <f ca="1">IF(SUM($AD$3:AG$3)&lt;=$AB7,SUM($T7:W7),SUM(OFFSET(W7,0,0,1,-$AB7)))/$AB7</f>
        <v>3780</v>
      </c>
      <c r="AH7" s="278">
        <f ca="1">IF(SUM($AD$3:AH$3)&lt;=$AB7,SUM($T7:X7),SUM(OFFSET(X7,0,0,1,-$AB7)))/$AB7</f>
        <v>3780</v>
      </c>
      <c r="AI7" s="278">
        <f ca="1">IF(SUM($AD$3:AI$3)&lt;=$AB7,SUM($T7:Y7),SUM(OFFSET(Y7,0,0,1,-$AB7)))/$AB7</f>
        <v>3780</v>
      </c>
      <c r="AJ7" s="278">
        <f ca="1">IF(SUM($AD$3:AJ$3)&lt;=$AB7,SUM($T7:Z7),SUM(OFFSET(Z7,0,0,1,-$AB7)))/$AB7</f>
        <v>3780</v>
      </c>
    </row>
    <row r="8" spans="2:36" outlineLevel="1" x14ac:dyDescent="0.2">
      <c r="B8" s="196" t="s">
        <v>236</v>
      </c>
      <c r="C8" s="290" t="s">
        <v>184</v>
      </c>
      <c r="D8" s="290" t="s">
        <v>354</v>
      </c>
      <c r="E8" s="303">
        <v>16500</v>
      </c>
      <c r="F8" s="303">
        <v>825</v>
      </c>
      <c r="G8" s="303">
        <f t="shared" ref="G8:G12" si="3">E8+F8</f>
        <v>17325</v>
      </c>
      <c r="I8" s="267">
        <v>1</v>
      </c>
      <c r="J8" s="267">
        <v>1</v>
      </c>
      <c r="L8" s="268">
        <v>2</v>
      </c>
      <c r="M8" s="268"/>
      <c r="N8" s="268"/>
      <c r="O8" s="268"/>
      <c r="P8" s="268"/>
      <c r="Q8" s="268"/>
      <c r="R8" s="268"/>
      <c r="T8" s="278">
        <f t="shared" ref="T8:T12" si="4">L8*$G8</f>
        <v>34650</v>
      </c>
      <c r="U8" s="278">
        <f t="shared" ref="U8:U12" si="5">M8*$G8</f>
        <v>0</v>
      </c>
      <c r="V8" s="278">
        <f t="shared" ref="V8:V12" si="6">N8*$G8</f>
        <v>0</v>
      </c>
      <c r="W8" s="278">
        <f t="shared" ref="W8:W12" si="7">O8*$G8</f>
        <v>0</v>
      </c>
      <c r="X8" s="278">
        <f t="shared" ref="X8:X12" si="8">P8*$G8</f>
        <v>0</v>
      </c>
      <c r="Y8" s="278">
        <f t="shared" ref="Y8:Y12" si="9">Q8*$G8</f>
        <v>0</v>
      </c>
      <c r="Z8" s="278">
        <f t="shared" ref="Z8:Z12" si="10">R8*$G8</f>
        <v>0</v>
      </c>
      <c r="AB8" s="268">
        <v>10</v>
      </c>
      <c r="AD8" s="278">
        <f ca="1">IF(SUM($AD$3:AD$3)&lt;=$AB8,SUM($T8:T8),SUM(OFFSET(T8,0,0,1,-$AB8)))/$AB8</f>
        <v>3465</v>
      </c>
      <c r="AE8" s="278">
        <f ca="1">IF(SUM($AD$3:AE$3)&lt;=$AB8,SUM($T8:U8),SUM(OFFSET(U8,0,0,1,-$AB8)))/$AB8</f>
        <v>3465</v>
      </c>
      <c r="AF8" s="278">
        <f ca="1">IF(SUM($AD$3:AF$3)&lt;=$AB8,SUM($T8:V8),SUM(OFFSET(V8,0,0,1,-$AB8)))/$AB8</f>
        <v>3465</v>
      </c>
      <c r="AG8" s="278">
        <f ca="1">IF(SUM($AD$3:AG$3)&lt;=$AB8,SUM($T8:W8),SUM(OFFSET(W8,0,0,1,-$AB8)))/$AB8</f>
        <v>3465</v>
      </c>
      <c r="AH8" s="278">
        <f ca="1">IF(SUM($AD$3:AH$3)&lt;=$AB8,SUM($T8:X8),SUM(OFFSET(X8,0,0,1,-$AB8)))/$AB8</f>
        <v>3465</v>
      </c>
      <c r="AI8" s="278">
        <f ca="1">IF(SUM($AD$3:AI$3)&lt;=$AB8,SUM($T8:Y8),SUM(OFFSET(Y8,0,0,1,-$AB8)))/$AB8</f>
        <v>3465</v>
      </c>
      <c r="AJ8" s="278">
        <f ca="1">IF(SUM($AD$3:AJ$3)&lt;=$AB8,SUM($T8:Z8),SUM(OFFSET(Z8,0,0,1,-$AB8)))/$AB8</f>
        <v>3465</v>
      </c>
    </row>
    <row r="9" spans="2:36" outlineLevel="1" x14ac:dyDescent="0.2">
      <c r="B9" s="196" t="s">
        <v>237</v>
      </c>
      <c r="C9" s="290" t="s">
        <v>185</v>
      </c>
      <c r="D9" s="290" t="s">
        <v>355</v>
      </c>
      <c r="E9" s="303">
        <v>17000</v>
      </c>
      <c r="F9" s="303">
        <v>850</v>
      </c>
      <c r="G9" s="303">
        <f t="shared" si="3"/>
        <v>17850</v>
      </c>
      <c r="I9" s="267">
        <v>1</v>
      </c>
      <c r="J9" s="267">
        <v>1</v>
      </c>
      <c r="L9" s="268">
        <v>2</v>
      </c>
      <c r="M9" s="268"/>
      <c r="N9" s="268"/>
      <c r="O9" s="268"/>
      <c r="P9" s="268"/>
      <c r="Q9" s="268"/>
      <c r="R9" s="268"/>
      <c r="T9" s="278">
        <f t="shared" si="4"/>
        <v>35700</v>
      </c>
      <c r="U9" s="278">
        <f t="shared" si="5"/>
        <v>0</v>
      </c>
      <c r="V9" s="278">
        <f t="shared" si="6"/>
        <v>0</v>
      </c>
      <c r="W9" s="278">
        <f t="shared" si="7"/>
        <v>0</v>
      </c>
      <c r="X9" s="278">
        <f t="shared" si="8"/>
        <v>0</v>
      </c>
      <c r="Y9" s="278">
        <f t="shared" si="9"/>
        <v>0</v>
      </c>
      <c r="Z9" s="278">
        <f t="shared" si="10"/>
        <v>0</v>
      </c>
      <c r="AB9" s="268">
        <v>10</v>
      </c>
      <c r="AD9" s="278">
        <f ca="1">IF(SUM($AD$3:AD$3)&lt;=$AB9,SUM($T9:T9),SUM(OFFSET(T9,0,0,1,-$AB9)))/$AB9</f>
        <v>3570</v>
      </c>
      <c r="AE9" s="278">
        <f ca="1">IF(SUM($AD$3:AE$3)&lt;=$AB9,SUM($T9:U9),SUM(OFFSET(U9,0,0,1,-$AB9)))/$AB9</f>
        <v>3570</v>
      </c>
      <c r="AF9" s="278">
        <f ca="1">IF(SUM($AD$3:AF$3)&lt;=$AB9,SUM($T9:V9),SUM(OFFSET(V9,0,0,1,-$AB9)))/$AB9</f>
        <v>3570</v>
      </c>
      <c r="AG9" s="278">
        <f ca="1">IF(SUM($AD$3:AG$3)&lt;=$AB9,SUM($T9:W9),SUM(OFFSET(W9,0,0,1,-$AB9)))/$AB9</f>
        <v>3570</v>
      </c>
      <c r="AH9" s="278">
        <f ca="1">IF(SUM($AD$3:AH$3)&lt;=$AB9,SUM($T9:X9),SUM(OFFSET(X9,0,0,1,-$AB9)))/$AB9</f>
        <v>3570</v>
      </c>
      <c r="AI9" s="278">
        <f ca="1">IF(SUM($AD$3:AI$3)&lt;=$AB9,SUM($T9:Y9),SUM(OFFSET(Y9,0,0,1,-$AB9)))/$AB9</f>
        <v>3570</v>
      </c>
      <c r="AJ9" s="278">
        <f ca="1">IF(SUM($AD$3:AJ$3)&lt;=$AB9,SUM($T9:Z9),SUM(OFFSET(Z9,0,0,1,-$AB9)))/$AB9</f>
        <v>3570</v>
      </c>
    </row>
    <row r="10" spans="2:36" outlineLevel="1" x14ac:dyDescent="0.2">
      <c r="B10" s="196" t="s">
        <v>239</v>
      </c>
      <c r="C10" s="290" t="s">
        <v>187</v>
      </c>
      <c r="D10" s="290" t="s">
        <v>188</v>
      </c>
      <c r="E10" s="303">
        <v>10000</v>
      </c>
      <c r="F10" s="303">
        <v>500</v>
      </c>
      <c r="G10" s="303">
        <f t="shared" si="3"/>
        <v>10500</v>
      </c>
      <c r="I10" s="267">
        <v>1</v>
      </c>
      <c r="J10" s="267">
        <v>1</v>
      </c>
      <c r="L10" s="268">
        <v>2</v>
      </c>
      <c r="M10" s="268"/>
      <c r="N10" s="268"/>
      <c r="O10" s="268"/>
      <c r="P10" s="268"/>
      <c r="Q10" s="268"/>
      <c r="R10" s="268"/>
      <c r="T10" s="278">
        <f t="shared" si="4"/>
        <v>21000</v>
      </c>
      <c r="U10" s="278">
        <f t="shared" si="5"/>
        <v>0</v>
      </c>
      <c r="V10" s="278">
        <f t="shared" si="6"/>
        <v>0</v>
      </c>
      <c r="W10" s="278">
        <f t="shared" si="7"/>
        <v>0</v>
      </c>
      <c r="X10" s="278">
        <f t="shared" si="8"/>
        <v>0</v>
      </c>
      <c r="Y10" s="278">
        <f t="shared" si="9"/>
        <v>0</v>
      </c>
      <c r="Z10" s="278">
        <f t="shared" si="10"/>
        <v>0</v>
      </c>
      <c r="AB10" s="268">
        <v>10</v>
      </c>
      <c r="AD10" s="278">
        <f ca="1">IF(SUM($AD$3:AD$3)&lt;=$AB10,SUM($T10:T10),SUM(OFFSET(T10,0,0,1,-$AB10)))/$AB10</f>
        <v>2100</v>
      </c>
      <c r="AE10" s="278">
        <f ca="1">IF(SUM($AD$3:AE$3)&lt;=$AB10,SUM($T10:U10),SUM(OFFSET(U10,0,0,1,-$AB10)))/$AB10</f>
        <v>2100</v>
      </c>
      <c r="AF10" s="278">
        <f ca="1">IF(SUM($AD$3:AF$3)&lt;=$AB10,SUM($T10:V10),SUM(OFFSET(V10,0,0,1,-$AB10)))/$AB10</f>
        <v>2100</v>
      </c>
      <c r="AG10" s="278">
        <f ca="1">IF(SUM($AD$3:AG$3)&lt;=$AB10,SUM($T10:W10),SUM(OFFSET(W10,0,0,1,-$AB10)))/$AB10</f>
        <v>2100</v>
      </c>
      <c r="AH10" s="278">
        <f ca="1">IF(SUM($AD$3:AH$3)&lt;=$AB10,SUM($T10:X10),SUM(OFFSET(X10,0,0,1,-$AB10)))/$AB10</f>
        <v>2100</v>
      </c>
      <c r="AI10" s="278">
        <f ca="1">IF(SUM($AD$3:AI$3)&lt;=$AB10,SUM($T10:Y10),SUM(OFFSET(Y10,0,0,1,-$AB10)))/$AB10</f>
        <v>2100</v>
      </c>
      <c r="AJ10" s="278">
        <f ca="1">IF(SUM($AD$3:AJ$3)&lt;=$AB10,SUM($T10:Z10),SUM(OFFSET(Z10,0,0,1,-$AB10)))/$AB10</f>
        <v>2100</v>
      </c>
    </row>
    <row r="11" spans="2:36" outlineLevel="1" x14ac:dyDescent="0.2">
      <c r="B11" s="269" t="s">
        <v>279</v>
      </c>
      <c r="C11" s="291" t="s">
        <v>129</v>
      </c>
      <c r="D11" s="293" t="s">
        <v>130</v>
      </c>
      <c r="E11" s="304">
        <v>10</v>
      </c>
      <c r="F11" s="304"/>
      <c r="G11" s="303">
        <f t="shared" si="3"/>
        <v>10</v>
      </c>
      <c r="I11" s="270">
        <v>150</v>
      </c>
      <c r="J11" s="270">
        <v>2</v>
      </c>
      <c r="L11" s="271">
        <v>300</v>
      </c>
      <c r="M11" s="271"/>
      <c r="N11" s="271"/>
      <c r="O11" s="271">
        <v>300</v>
      </c>
      <c r="P11" s="271"/>
      <c r="Q11" s="271"/>
      <c r="R11" s="271"/>
      <c r="T11" s="278">
        <f t="shared" si="4"/>
        <v>3000</v>
      </c>
      <c r="U11" s="278">
        <f t="shared" si="5"/>
        <v>0</v>
      </c>
      <c r="V11" s="278">
        <f t="shared" si="6"/>
        <v>0</v>
      </c>
      <c r="W11" s="278">
        <f t="shared" si="7"/>
        <v>3000</v>
      </c>
      <c r="X11" s="278">
        <f t="shared" si="8"/>
        <v>0</v>
      </c>
      <c r="Y11" s="278">
        <f t="shared" si="9"/>
        <v>0</v>
      </c>
      <c r="Z11" s="278">
        <f t="shared" si="10"/>
        <v>0</v>
      </c>
      <c r="AB11" s="268">
        <v>3</v>
      </c>
      <c r="AD11" s="278">
        <f ca="1">IF(SUM($AD$3:AD$3)&lt;=$AB11,SUM($T11:T11),SUM(OFFSET(T11,0,0,1,-$AB11)))/$AB11</f>
        <v>1000</v>
      </c>
      <c r="AE11" s="278">
        <f ca="1">IF(SUM($AD$3:AE$3)&lt;=$AB11,SUM($T11:U11),SUM(OFFSET(U11,0,0,1,-$AB11)))/$AB11</f>
        <v>1000</v>
      </c>
      <c r="AF11" s="278">
        <f ca="1">IF(SUM($AD$3:AF$3)&lt;=$AB11,SUM($T11:V11),SUM(OFFSET(V11,0,0,1,-$AB11)))/$AB11</f>
        <v>1000</v>
      </c>
      <c r="AG11" s="278">
        <f ca="1">IF(SUM($AD$3:AG$3)&lt;=$AB11,SUM($T11:W11),SUM(OFFSET(W11,0,0,1,-$AB11)))/$AB11</f>
        <v>1000</v>
      </c>
      <c r="AH11" s="278">
        <f ca="1">IF(SUM($AD$3:AH$3)&lt;=$AB11,SUM($T11:X11),SUM(OFFSET(X11,0,0,1,-$AB11)))/$AB11</f>
        <v>1000</v>
      </c>
      <c r="AI11" s="278">
        <f ca="1">IF(SUM($AD$3:AI$3)&lt;=$AB11,SUM($T11:Y11),SUM(OFFSET(Y11,0,0,1,-$AB11)))/$AB11</f>
        <v>1000</v>
      </c>
      <c r="AJ11" s="278">
        <f ca="1">IF(SUM($AD$3:AJ$3)&lt;=$AB11,SUM($T11:Z11),SUM(OFFSET(Z11,0,0,1,-$AB11)))/$AB11</f>
        <v>0</v>
      </c>
    </row>
    <row r="12" spans="2:36" outlineLevel="1" x14ac:dyDescent="0.2">
      <c r="B12" s="196" t="s">
        <v>241</v>
      </c>
      <c r="C12" s="290" t="s">
        <v>230</v>
      </c>
      <c r="D12" s="294" t="s">
        <v>119</v>
      </c>
      <c r="E12" s="303">
        <v>1040</v>
      </c>
      <c r="F12" s="303"/>
      <c r="G12" s="305">
        <f t="shared" si="3"/>
        <v>1040</v>
      </c>
      <c r="I12" s="267">
        <v>1</v>
      </c>
      <c r="J12" s="267">
        <v>2</v>
      </c>
      <c r="L12" s="268">
        <v>1</v>
      </c>
      <c r="M12" s="268"/>
      <c r="N12" s="268"/>
      <c r="O12" s="268">
        <v>1</v>
      </c>
      <c r="P12" s="268"/>
      <c r="Q12" s="268"/>
      <c r="R12" s="268"/>
      <c r="T12" s="279">
        <f t="shared" si="4"/>
        <v>1040</v>
      </c>
      <c r="U12" s="279">
        <f t="shared" si="5"/>
        <v>0</v>
      </c>
      <c r="V12" s="279">
        <f t="shared" si="6"/>
        <v>0</v>
      </c>
      <c r="W12" s="279">
        <f t="shared" si="7"/>
        <v>1040</v>
      </c>
      <c r="X12" s="279">
        <f t="shared" si="8"/>
        <v>0</v>
      </c>
      <c r="Y12" s="279">
        <f t="shared" si="9"/>
        <v>0</v>
      </c>
      <c r="Z12" s="279">
        <f t="shared" si="10"/>
        <v>0</v>
      </c>
      <c r="AB12" s="276">
        <v>5</v>
      </c>
      <c r="AD12" s="278">
        <f ca="1">IF(SUM($AD$3:AD$3)&lt;=$AB12,SUM($T12:T12),SUM(OFFSET(T12,0,0,1,-$AB12)))/$AB12</f>
        <v>208</v>
      </c>
      <c r="AE12" s="278">
        <f ca="1">IF(SUM($AD$3:AE$3)&lt;=$AB12,SUM($T12:U12),SUM(OFFSET(U12,0,0,1,-$AB12)))/$AB12</f>
        <v>208</v>
      </c>
      <c r="AF12" s="278">
        <f ca="1">IF(SUM($AD$3:AF$3)&lt;=$AB12,SUM($T12:V12),SUM(OFFSET(V12,0,0,1,-$AB12)))/$AB12</f>
        <v>208</v>
      </c>
      <c r="AG12" s="278">
        <f ca="1">IF(SUM($AD$3:AG$3)&lt;=$AB12,SUM($T12:W12),SUM(OFFSET(W12,0,0,1,-$AB12)))/$AB12</f>
        <v>416</v>
      </c>
      <c r="AH12" s="278">
        <f ca="1">IF(SUM($AD$3:AH$3)&lt;=$AB12,SUM($T12:X12),SUM(OFFSET(X12,0,0,1,-$AB12)))/$AB12</f>
        <v>416</v>
      </c>
      <c r="AI12" s="278">
        <f ca="1">IF(SUM($AD$3:AI$3)&lt;=$AB12,SUM($T12:Y12),SUM(OFFSET(Y12,0,0,1,-$AB12)))/$AB12</f>
        <v>208</v>
      </c>
      <c r="AJ12" s="278">
        <f ca="1">IF(SUM($AD$3:AJ$3)&lt;=$AB12,SUM($T12:Z12),SUM(OFFSET(Z12,0,0,1,-$AB12)))/$AB12</f>
        <v>208</v>
      </c>
    </row>
    <row r="13" spans="2:36" x14ac:dyDescent="0.2">
      <c r="B13" s="272" t="s">
        <v>271</v>
      </c>
      <c r="C13" s="295" t="s">
        <v>120</v>
      </c>
      <c r="D13" s="296"/>
      <c r="E13" s="306"/>
      <c r="F13" s="306"/>
      <c r="G13" s="306"/>
      <c r="I13" s="273"/>
      <c r="J13" s="273"/>
      <c r="L13" s="274"/>
      <c r="M13" s="274"/>
      <c r="N13" s="274"/>
      <c r="O13" s="274"/>
      <c r="P13" s="274"/>
      <c r="Q13" s="274"/>
      <c r="R13" s="274"/>
      <c r="T13" s="280">
        <f>SUM(T14:T29)</f>
        <v>325582</v>
      </c>
      <c r="U13" s="280">
        <f t="shared" ref="U13:Z13" si="11">SUM(U14:U29)</f>
        <v>0</v>
      </c>
      <c r="V13" s="280">
        <f t="shared" si="11"/>
        <v>243576</v>
      </c>
      <c r="W13" s="280">
        <f t="shared" si="11"/>
        <v>0</v>
      </c>
      <c r="X13" s="280">
        <f t="shared" si="11"/>
        <v>243576</v>
      </c>
      <c r="Y13" s="280">
        <f t="shared" si="11"/>
        <v>0</v>
      </c>
      <c r="Z13" s="280">
        <f t="shared" si="11"/>
        <v>0</v>
      </c>
      <c r="AB13" s="367"/>
      <c r="AD13" s="280">
        <f ca="1">SUM(AD14:AD29)</f>
        <v>105620.23333333332</v>
      </c>
      <c r="AE13" s="280">
        <f t="shared" ref="AE13:AJ13" ca="1" si="12">SUM(AE14:AE29)</f>
        <v>105620.23333333332</v>
      </c>
      <c r="AF13" s="280">
        <f t="shared" ca="1" si="12"/>
        <v>186812.23333333334</v>
      </c>
      <c r="AG13" s="280">
        <f t="shared" ca="1" si="12"/>
        <v>82437.899999999994</v>
      </c>
      <c r="AH13" s="280">
        <f t="shared" ca="1" si="12"/>
        <v>163629.9</v>
      </c>
      <c r="AI13" s="280">
        <f t="shared" ca="1" si="12"/>
        <v>82437.899999999994</v>
      </c>
      <c r="AJ13" s="280">
        <f t="shared" ca="1" si="12"/>
        <v>82437.899999999994</v>
      </c>
    </row>
    <row r="14" spans="2:36" outlineLevel="1" x14ac:dyDescent="0.2">
      <c r="B14" s="195" t="s">
        <v>253</v>
      </c>
      <c r="C14" s="289" t="s">
        <v>211</v>
      </c>
      <c r="D14" s="289" t="s">
        <v>269</v>
      </c>
      <c r="E14" s="302">
        <v>9000</v>
      </c>
      <c r="F14" s="302">
        <v>450</v>
      </c>
      <c r="G14" s="302">
        <f>E14+F14</f>
        <v>9450</v>
      </c>
      <c r="I14" s="265">
        <v>0</v>
      </c>
      <c r="J14" s="265">
        <v>1</v>
      </c>
      <c r="L14" s="266">
        <v>11</v>
      </c>
      <c r="M14" s="266"/>
      <c r="N14" s="266">
        <f t="shared" ref="N14:N24" si="13">ROUNDUP(L14*0.75,0)</f>
        <v>9</v>
      </c>
      <c r="O14" s="266"/>
      <c r="P14" s="266">
        <f t="shared" ref="P14:P24" si="14">N14</f>
        <v>9</v>
      </c>
      <c r="Q14" s="266"/>
      <c r="R14" s="266"/>
      <c r="T14" s="277">
        <f>L14*$G14</f>
        <v>103950</v>
      </c>
      <c r="U14" s="277">
        <f t="shared" ref="U14:Z15" si="15">M14*$G14</f>
        <v>0</v>
      </c>
      <c r="V14" s="277">
        <f t="shared" si="15"/>
        <v>85050</v>
      </c>
      <c r="W14" s="277">
        <f t="shared" si="15"/>
        <v>0</v>
      </c>
      <c r="X14" s="277">
        <f t="shared" si="15"/>
        <v>85050</v>
      </c>
      <c r="Y14" s="277">
        <f t="shared" si="15"/>
        <v>0</v>
      </c>
      <c r="Z14" s="277">
        <f t="shared" si="15"/>
        <v>0</v>
      </c>
      <c r="AB14" s="266">
        <v>3</v>
      </c>
      <c r="AD14" s="278">
        <f ca="1">IF(SUM($AD$3:AD$3)&lt;=$AB14,SUM($T14:T14),SUM(OFFSET(T14,0,0,1,-$AB14)))/$AB14</f>
        <v>34650</v>
      </c>
      <c r="AE14" s="278">
        <f ca="1">IF(SUM($AD$3:AE$3)&lt;=$AB14,SUM($T14:U14),SUM(OFFSET(U14,0,0,1,-$AB14)))/$AB14</f>
        <v>34650</v>
      </c>
      <c r="AF14" s="278">
        <f ca="1">IF(SUM($AD$3:AF$3)&lt;=$AB14,SUM($T14:V14),SUM(OFFSET(V14,0,0,1,-$AB14)))/$AB14</f>
        <v>63000</v>
      </c>
      <c r="AG14" s="278">
        <f ca="1">IF(SUM($AD$3:AG$3)&lt;=$AB14,SUM($T14:W14),SUM(OFFSET(W14,0,0,1,-$AB14)))/$AB14</f>
        <v>28350</v>
      </c>
      <c r="AH14" s="278">
        <f ca="1">IF(SUM($AD$3:AH$3)&lt;=$AB14,SUM($T14:X14),SUM(OFFSET(X14,0,0,1,-$AB14)))/$AB14</f>
        <v>56700</v>
      </c>
      <c r="AI14" s="278">
        <f ca="1">IF(SUM($AD$3:AI$3)&lt;=$AB14,SUM($T14:Y14),SUM(OFFSET(Y14,0,0,1,-$AB14)))/$AB14</f>
        <v>28350</v>
      </c>
      <c r="AJ14" s="278">
        <f ca="1">IF(SUM($AD$3:AJ$3)&lt;=$AB14,SUM($T14:Z14),SUM(OFFSET(Z14,0,0,1,-$AB14)))/$AB14</f>
        <v>28350</v>
      </c>
    </row>
    <row r="15" spans="2:36" outlineLevel="1" x14ac:dyDescent="0.2">
      <c r="B15" s="196" t="s">
        <v>254</v>
      </c>
      <c r="C15" s="290" t="s">
        <v>211</v>
      </c>
      <c r="D15" s="290" t="s">
        <v>269</v>
      </c>
      <c r="E15" s="303">
        <v>8000</v>
      </c>
      <c r="F15" s="303">
        <v>400</v>
      </c>
      <c r="G15" s="303">
        <f t="shared" ref="G15:G29" si="16">E15+F15</f>
        <v>8400</v>
      </c>
      <c r="I15" s="267">
        <v>6</v>
      </c>
      <c r="J15" s="267">
        <v>1</v>
      </c>
      <c r="L15" s="268">
        <v>10</v>
      </c>
      <c r="M15" s="268"/>
      <c r="N15" s="268">
        <f t="shared" si="13"/>
        <v>8</v>
      </c>
      <c r="O15" s="268"/>
      <c r="P15" s="268">
        <f t="shared" si="14"/>
        <v>8</v>
      </c>
      <c r="Q15" s="268"/>
      <c r="R15" s="268"/>
      <c r="T15" s="278">
        <f t="shared" ref="T15" si="17">L15*$G15</f>
        <v>84000</v>
      </c>
      <c r="U15" s="278">
        <f t="shared" si="15"/>
        <v>0</v>
      </c>
      <c r="V15" s="278">
        <f t="shared" si="15"/>
        <v>67200</v>
      </c>
      <c r="W15" s="278">
        <f t="shared" si="15"/>
        <v>0</v>
      </c>
      <c r="X15" s="278">
        <f t="shared" si="15"/>
        <v>67200</v>
      </c>
      <c r="Y15" s="278">
        <f t="shared" si="15"/>
        <v>0</v>
      </c>
      <c r="Z15" s="278">
        <f t="shared" si="15"/>
        <v>0</v>
      </c>
      <c r="AB15" s="268">
        <v>3</v>
      </c>
      <c r="AD15" s="278">
        <f ca="1">IF(SUM($AD$3:AD$3)&lt;=$AB15,SUM($T15:T15),SUM(OFFSET(T15,0,0,1,-$AB15)))/$AB15</f>
        <v>28000</v>
      </c>
      <c r="AE15" s="278">
        <f ca="1">IF(SUM($AD$3:AE$3)&lt;=$AB15,SUM($T15:U15),SUM(OFFSET(U15,0,0,1,-$AB15)))/$AB15</f>
        <v>28000</v>
      </c>
      <c r="AF15" s="278">
        <f ca="1">IF(SUM($AD$3:AF$3)&lt;=$AB15,SUM($T15:V15),SUM(OFFSET(V15,0,0,1,-$AB15)))/$AB15</f>
        <v>50400</v>
      </c>
      <c r="AG15" s="278">
        <f ca="1">IF(SUM($AD$3:AG$3)&lt;=$AB15,SUM($T15:W15),SUM(OFFSET(W15,0,0,1,-$AB15)))/$AB15</f>
        <v>22400</v>
      </c>
      <c r="AH15" s="278">
        <f ca="1">IF(SUM($AD$3:AH$3)&lt;=$AB15,SUM($T15:X15),SUM(OFFSET(X15,0,0,1,-$AB15)))/$AB15</f>
        <v>44800</v>
      </c>
      <c r="AI15" s="278">
        <f ca="1">IF(SUM($AD$3:AI$3)&lt;=$AB15,SUM($T15:Y15),SUM(OFFSET(Y15,0,0,1,-$AB15)))/$AB15</f>
        <v>22400</v>
      </c>
      <c r="AJ15" s="278">
        <f ca="1">IF(SUM($AD$3:AJ$3)&lt;=$AB15,SUM($T15:Z15),SUM(OFFSET(Z15,0,0,1,-$AB15)))/$AB15</f>
        <v>22400</v>
      </c>
    </row>
    <row r="16" spans="2:36" outlineLevel="1" x14ac:dyDescent="0.2">
      <c r="B16" s="196" t="s">
        <v>255</v>
      </c>
      <c r="C16" s="290" t="s">
        <v>211</v>
      </c>
      <c r="D16" s="290" t="s">
        <v>269</v>
      </c>
      <c r="E16" s="303">
        <v>6800</v>
      </c>
      <c r="F16" s="303">
        <v>340</v>
      </c>
      <c r="G16" s="303">
        <f t="shared" si="16"/>
        <v>7140</v>
      </c>
      <c r="I16" s="267">
        <v>8</v>
      </c>
      <c r="J16" s="267">
        <v>1</v>
      </c>
      <c r="L16" s="268">
        <v>10</v>
      </c>
      <c r="M16" s="268"/>
      <c r="N16" s="268">
        <f t="shared" si="13"/>
        <v>8</v>
      </c>
      <c r="O16" s="268"/>
      <c r="P16" s="268">
        <f t="shared" si="14"/>
        <v>8</v>
      </c>
      <c r="Q16" s="268"/>
      <c r="R16" s="268"/>
      <c r="T16" s="278">
        <f t="shared" ref="T16:T29" si="18">L16*$G16</f>
        <v>71400</v>
      </c>
      <c r="U16" s="278">
        <f t="shared" ref="U16:U29" si="19">M16*$G16</f>
        <v>0</v>
      </c>
      <c r="V16" s="278">
        <f t="shared" ref="V16:V29" si="20">N16*$G16</f>
        <v>57120</v>
      </c>
      <c r="W16" s="278">
        <f t="shared" ref="W16:W29" si="21">O16*$G16</f>
        <v>0</v>
      </c>
      <c r="X16" s="278">
        <f t="shared" ref="X16:X29" si="22">P16*$G16</f>
        <v>57120</v>
      </c>
      <c r="Y16" s="278">
        <f t="shared" ref="Y16:Y29" si="23">Q16*$G16</f>
        <v>0</v>
      </c>
      <c r="Z16" s="278">
        <f t="shared" ref="Z16:Z29" si="24">R16*$G16</f>
        <v>0</v>
      </c>
      <c r="AB16" s="268">
        <v>3</v>
      </c>
      <c r="AD16" s="278">
        <f ca="1">IF(SUM($AD$3:AD$3)&lt;=$AB16,SUM($T16:T16),SUM(OFFSET(T16,0,0,1,-$AB16)))/$AB16</f>
        <v>23800</v>
      </c>
      <c r="AE16" s="278">
        <f ca="1">IF(SUM($AD$3:AE$3)&lt;=$AB16,SUM($T16:U16),SUM(OFFSET(U16,0,0,1,-$AB16)))/$AB16</f>
        <v>23800</v>
      </c>
      <c r="AF16" s="278">
        <f ca="1">IF(SUM($AD$3:AF$3)&lt;=$AB16,SUM($T16:V16),SUM(OFFSET(V16,0,0,1,-$AB16)))/$AB16</f>
        <v>42840</v>
      </c>
      <c r="AG16" s="278">
        <f ca="1">IF(SUM($AD$3:AG$3)&lt;=$AB16,SUM($T16:W16),SUM(OFFSET(W16,0,0,1,-$AB16)))/$AB16</f>
        <v>19040</v>
      </c>
      <c r="AH16" s="278">
        <f ca="1">IF(SUM($AD$3:AH$3)&lt;=$AB16,SUM($T16:X16),SUM(OFFSET(X16,0,0,1,-$AB16)))/$AB16</f>
        <v>38080</v>
      </c>
      <c r="AI16" s="278">
        <f ca="1">IF(SUM($AD$3:AI$3)&lt;=$AB16,SUM($T16:Y16),SUM(OFFSET(Y16,0,0,1,-$AB16)))/$AB16</f>
        <v>19040</v>
      </c>
      <c r="AJ16" s="278">
        <f ca="1">IF(SUM($AD$3:AJ$3)&lt;=$AB16,SUM($T16:Z16),SUM(OFFSET(Z16,0,0,1,-$AB16)))/$AB16</f>
        <v>19040</v>
      </c>
    </row>
    <row r="17" spans="2:36" outlineLevel="1" x14ac:dyDescent="0.2">
      <c r="B17" s="196" t="s">
        <v>256</v>
      </c>
      <c r="C17" s="290" t="s">
        <v>211</v>
      </c>
      <c r="D17" s="290" t="s">
        <v>269</v>
      </c>
      <c r="E17" s="303">
        <v>6200</v>
      </c>
      <c r="F17" s="303">
        <v>310</v>
      </c>
      <c r="G17" s="303">
        <f t="shared" si="16"/>
        <v>6510</v>
      </c>
      <c r="I17" s="267">
        <v>6</v>
      </c>
      <c r="J17" s="267">
        <v>1</v>
      </c>
      <c r="L17" s="268">
        <v>0</v>
      </c>
      <c r="M17" s="268"/>
      <c r="N17" s="268">
        <f t="shared" si="13"/>
        <v>0</v>
      </c>
      <c r="O17" s="268"/>
      <c r="P17" s="268">
        <f t="shared" si="14"/>
        <v>0</v>
      </c>
      <c r="Q17" s="268"/>
      <c r="R17" s="268"/>
      <c r="T17" s="278">
        <f t="shared" si="18"/>
        <v>0</v>
      </c>
      <c r="U17" s="278">
        <f t="shared" si="19"/>
        <v>0</v>
      </c>
      <c r="V17" s="278">
        <f t="shared" si="20"/>
        <v>0</v>
      </c>
      <c r="W17" s="278">
        <f t="shared" si="21"/>
        <v>0</v>
      </c>
      <c r="X17" s="278">
        <f t="shared" si="22"/>
        <v>0</v>
      </c>
      <c r="Y17" s="278">
        <f t="shared" si="23"/>
        <v>0</v>
      </c>
      <c r="Z17" s="278">
        <f t="shared" si="24"/>
        <v>0</v>
      </c>
      <c r="AB17" s="268">
        <v>3</v>
      </c>
      <c r="AD17" s="278">
        <f ca="1">IF(SUM($AD$3:AD$3)&lt;=$AB17,SUM($T17:T17),SUM(OFFSET(T17,0,0,1,-$AB17)))/$AB17</f>
        <v>0</v>
      </c>
      <c r="AE17" s="278">
        <f ca="1">IF(SUM($AD$3:AE$3)&lt;=$AB17,SUM($T17:U17),SUM(OFFSET(U17,0,0,1,-$AB17)))/$AB17</f>
        <v>0</v>
      </c>
      <c r="AF17" s="278">
        <f ca="1">IF(SUM($AD$3:AF$3)&lt;=$AB17,SUM($T17:V17),SUM(OFFSET(V17,0,0,1,-$AB17)))/$AB17</f>
        <v>0</v>
      </c>
      <c r="AG17" s="278">
        <f ca="1">IF(SUM($AD$3:AG$3)&lt;=$AB17,SUM($T17:W17),SUM(OFFSET(W17,0,0,1,-$AB17)))/$AB17</f>
        <v>0</v>
      </c>
      <c r="AH17" s="278">
        <f ca="1">IF(SUM($AD$3:AH$3)&lt;=$AB17,SUM($T17:X17),SUM(OFFSET(X17,0,0,1,-$AB17)))/$AB17</f>
        <v>0</v>
      </c>
      <c r="AI17" s="278">
        <f ca="1">IF(SUM($AD$3:AI$3)&lt;=$AB17,SUM($T17:Y17),SUM(OFFSET(Y17,0,0,1,-$AB17)))/$AB17</f>
        <v>0</v>
      </c>
      <c r="AJ17" s="278">
        <f ca="1">IF(SUM($AD$3:AJ$3)&lt;=$AB17,SUM($T17:Z17),SUM(OFFSET(Z17,0,0,1,-$AB17)))/$AB17</f>
        <v>0</v>
      </c>
    </row>
    <row r="18" spans="2:36" outlineLevel="1" x14ac:dyDescent="0.2">
      <c r="B18" s="196" t="s">
        <v>257</v>
      </c>
      <c r="C18" s="290" t="s">
        <v>211</v>
      </c>
      <c r="D18" s="290" t="s">
        <v>269</v>
      </c>
      <c r="E18" s="303">
        <v>1800</v>
      </c>
      <c r="F18" s="303">
        <v>90</v>
      </c>
      <c r="G18" s="303">
        <f t="shared" si="16"/>
        <v>1890</v>
      </c>
      <c r="I18" s="267">
        <v>0</v>
      </c>
      <c r="J18" s="267">
        <v>1</v>
      </c>
      <c r="L18" s="268">
        <v>0</v>
      </c>
      <c r="M18" s="268"/>
      <c r="N18" s="268">
        <f t="shared" si="13"/>
        <v>0</v>
      </c>
      <c r="O18" s="268"/>
      <c r="P18" s="268">
        <f t="shared" si="14"/>
        <v>0</v>
      </c>
      <c r="Q18" s="268"/>
      <c r="R18" s="268"/>
      <c r="T18" s="278">
        <f t="shared" si="18"/>
        <v>0</v>
      </c>
      <c r="U18" s="278">
        <f t="shared" si="19"/>
        <v>0</v>
      </c>
      <c r="V18" s="278">
        <f t="shared" si="20"/>
        <v>0</v>
      </c>
      <c r="W18" s="278">
        <f t="shared" si="21"/>
        <v>0</v>
      </c>
      <c r="X18" s="278">
        <f t="shared" si="22"/>
        <v>0</v>
      </c>
      <c r="Y18" s="278">
        <f t="shared" si="23"/>
        <v>0</v>
      </c>
      <c r="Z18" s="278">
        <f t="shared" si="24"/>
        <v>0</v>
      </c>
      <c r="AB18" s="268">
        <v>3</v>
      </c>
      <c r="AD18" s="278">
        <f ca="1">IF(SUM($AD$3:AD$3)&lt;=$AB18,SUM($T18:T18),SUM(OFFSET(T18,0,0,1,-$AB18)))/$AB18</f>
        <v>0</v>
      </c>
      <c r="AE18" s="278">
        <f ca="1">IF(SUM($AD$3:AE$3)&lt;=$AB18,SUM($T18:U18),SUM(OFFSET(U18,0,0,1,-$AB18)))/$AB18</f>
        <v>0</v>
      </c>
      <c r="AF18" s="278">
        <f ca="1">IF(SUM($AD$3:AF$3)&lt;=$AB18,SUM($T18:V18),SUM(OFFSET(V18,0,0,1,-$AB18)))/$AB18</f>
        <v>0</v>
      </c>
      <c r="AG18" s="278">
        <f ca="1">IF(SUM($AD$3:AG$3)&lt;=$AB18,SUM($T18:W18),SUM(OFFSET(W18,0,0,1,-$AB18)))/$AB18</f>
        <v>0</v>
      </c>
      <c r="AH18" s="278">
        <f ca="1">IF(SUM($AD$3:AH$3)&lt;=$AB18,SUM($T18:X18),SUM(OFFSET(X18,0,0,1,-$AB18)))/$AB18</f>
        <v>0</v>
      </c>
      <c r="AI18" s="278">
        <f ca="1">IF(SUM($AD$3:AI$3)&lt;=$AB18,SUM($T18:Y18),SUM(OFFSET(Y18,0,0,1,-$AB18)))/$AB18</f>
        <v>0</v>
      </c>
      <c r="AJ18" s="278">
        <f ca="1">IF(SUM($AD$3:AJ$3)&lt;=$AB18,SUM($T18:Z18),SUM(OFFSET(Z18,0,0,1,-$AB18)))/$AB18</f>
        <v>0</v>
      </c>
    </row>
    <row r="19" spans="2:36" outlineLevel="1" x14ac:dyDescent="0.2">
      <c r="B19" s="196" t="s">
        <v>258</v>
      </c>
      <c r="C19" s="290" t="s">
        <v>212</v>
      </c>
      <c r="D19" s="290" t="s">
        <v>269</v>
      </c>
      <c r="E19" s="303">
        <v>3495</v>
      </c>
      <c r="F19" s="303">
        <v>175</v>
      </c>
      <c r="G19" s="303">
        <f t="shared" si="16"/>
        <v>3670</v>
      </c>
      <c r="I19" s="267">
        <v>5</v>
      </c>
      <c r="J19" s="267">
        <v>1</v>
      </c>
      <c r="L19" s="268">
        <v>0</v>
      </c>
      <c r="M19" s="268"/>
      <c r="N19" s="268">
        <f t="shared" si="13"/>
        <v>0</v>
      </c>
      <c r="O19" s="268"/>
      <c r="P19" s="268">
        <f t="shared" si="14"/>
        <v>0</v>
      </c>
      <c r="Q19" s="268"/>
      <c r="R19" s="268"/>
      <c r="T19" s="278">
        <f t="shared" si="18"/>
        <v>0</v>
      </c>
      <c r="U19" s="278">
        <f t="shared" si="19"/>
        <v>0</v>
      </c>
      <c r="V19" s="278">
        <f t="shared" si="20"/>
        <v>0</v>
      </c>
      <c r="W19" s="278">
        <f t="shared" si="21"/>
        <v>0</v>
      </c>
      <c r="X19" s="278">
        <f t="shared" si="22"/>
        <v>0</v>
      </c>
      <c r="Y19" s="278">
        <f t="shared" si="23"/>
        <v>0</v>
      </c>
      <c r="Z19" s="278">
        <f t="shared" si="24"/>
        <v>0</v>
      </c>
      <c r="AB19" s="268">
        <v>3</v>
      </c>
      <c r="AD19" s="278">
        <f ca="1">IF(SUM($AD$3:AD$3)&lt;=$AB19,SUM($T19:T19),SUM(OFFSET(T19,0,0,1,-$AB19)))/$AB19</f>
        <v>0</v>
      </c>
      <c r="AE19" s="278">
        <f ca="1">IF(SUM($AD$3:AE$3)&lt;=$AB19,SUM($T19:U19),SUM(OFFSET(U19,0,0,1,-$AB19)))/$AB19</f>
        <v>0</v>
      </c>
      <c r="AF19" s="278">
        <f ca="1">IF(SUM($AD$3:AF$3)&lt;=$AB19,SUM($T19:V19),SUM(OFFSET(V19,0,0,1,-$AB19)))/$AB19</f>
        <v>0</v>
      </c>
      <c r="AG19" s="278">
        <f ca="1">IF(SUM($AD$3:AG$3)&lt;=$AB19,SUM($T19:W19),SUM(OFFSET(W19,0,0,1,-$AB19)))/$AB19</f>
        <v>0</v>
      </c>
      <c r="AH19" s="278">
        <f ca="1">IF(SUM($AD$3:AH$3)&lt;=$AB19,SUM($T19:X19),SUM(OFFSET(X19,0,0,1,-$AB19)))/$AB19</f>
        <v>0</v>
      </c>
      <c r="AI19" s="278">
        <f ca="1">IF(SUM($AD$3:AI$3)&lt;=$AB19,SUM($T19:Y19),SUM(OFFSET(Y19,0,0,1,-$AB19)))/$AB19</f>
        <v>0</v>
      </c>
      <c r="AJ19" s="278">
        <f ca="1">IF(SUM($AD$3:AJ$3)&lt;=$AB19,SUM($T19:Z19),SUM(OFFSET(Z19,0,0,1,-$AB19)))/$AB19</f>
        <v>0</v>
      </c>
    </row>
    <row r="20" spans="2:36" outlineLevel="1" x14ac:dyDescent="0.2">
      <c r="B20" s="196" t="s">
        <v>259</v>
      </c>
      <c r="C20" s="290" t="s">
        <v>212</v>
      </c>
      <c r="D20" s="290" t="s">
        <v>269</v>
      </c>
      <c r="E20" s="303">
        <v>2360</v>
      </c>
      <c r="F20" s="303">
        <v>118</v>
      </c>
      <c r="G20" s="303">
        <f t="shared" si="16"/>
        <v>2478</v>
      </c>
      <c r="I20" s="267">
        <v>2</v>
      </c>
      <c r="J20" s="267">
        <v>1</v>
      </c>
      <c r="L20" s="268">
        <v>0</v>
      </c>
      <c r="M20" s="268"/>
      <c r="N20" s="268">
        <f t="shared" si="13"/>
        <v>0</v>
      </c>
      <c r="O20" s="268"/>
      <c r="P20" s="268">
        <f t="shared" si="14"/>
        <v>0</v>
      </c>
      <c r="Q20" s="268"/>
      <c r="R20" s="268"/>
      <c r="T20" s="278">
        <f t="shared" si="18"/>
        <v>0</v>
      </c>
      <c r="U20" s="278">
        <f t="shared" si="19"/>
        <v>0</v>
      </c>
      <c r="V20" s="278">
        <f t="shared" si="20"/>
        <v>0</v>
      </c>
      <c r="W20" s="278">
        <f t="shared" si="21"/>
        <v>0</v>
      </c>
      <c r="X20" s="278">
        <f t="shared" si="22"/>
        <v>0</v>
      </c>
      <c r="Y20" s="278">
        <f t="shared" si="23"/>
        <v>0</v>
      </c>
      <c r="Z20" s="278">
        <f t="shared" si="24"/>
        <v>0</v>
      </c>
      <c r="AB20" s="268">
        <v>3</v>
      </c>
      <c r="AD20" s="278">
        <f ca="1">IF(SUM($AD$3:AD$3)&lt;=$AB20,SUM($T20:T20),SUM(OFFSET(T20,0,0,1,-$AB20)))/$AB20</f>
        <v>0</v>
      </c>
      <c r="AE20" s="278">
        <f ca="1">IF(SUM($AD$3:AE$3)&lt;=$AB20,SUM($T20:U20),SUM(OFFSET(U20,0,0,1,-$AB20)))/$AB20</f>
        <v>0</v>
      </c>
      <c r="AF20" s="278">
        <f ca="1">IF(SUM($AD$3:AF$3)&lt;=$AB20,SUM($T20:V20),SUM(OFFSET(V20,0,0,1,-$AB20)))/$AB20</f>
        <v>0</v>
      </c>
      <c r="AG20" s="278">
        <f ca="1">IF(SUM($AD$3:AG$3)&lt;=$AB20,SUM($T20:W20),SUM(OFFSET(W20,0,0,1,-$AB20)))/$AB20</f>
        <v>0</v>
      </c>
      <c r="AH20" s="278">
        <f ca="1">IF(SUM($AD$3:AH$3)&lt;=$AB20,SUM($T20:X20),SUM(OFFSET(X20,0,0,1,-$AB20)))/$AB20</f>
        <v>0</v>
      </c>
      <c r="AI20" s="278">
        <f ca="1">IF(SUM($AD$3:AI$3)&lt;=$AB20,SUM($T20:Y20),SUM(OFFSET(Y20,0,0,1,-$AB20)))/$AB20</f>
        <v>0</v>
      </c>
      <c r="AJ20" s="278">
        <f ca="1">IF(SUM($AD$3:AJ$3)&lt;=$AB20,SUM($T20:Z20),SUM(OFFSET(Z20,0,0,1,-$AB20)))/$AB20</f>
        <v>0</v>
      </c>
    </row>
    <row r="21" spans="2:36" outlineLevel="1" x14ac:dyDescent="0.2">
      <c r="B21" s="196" t="s">
        <v>260</v>
      </c>
      <c r="C21" s="290" t="s">
        <v>212</v>
      </c>
      <c r="D21" s="290" t="s">
        <v>269</v>
      </c>
      <c r="E21" s="303">
        <v>1080</v>
      </c>
      <c r="F21" s="303">
        <v>54</v>
      </c>
      <c r="G21" s="303">
        <f t="shared" si="16"/>
        <v>1134</v>
      </c>
      <c r="I21" s="267">
        <v>0</v>
      </c>
      <c r="J21" s="267">
        <v>1</v>
      </c>
      <c r="L21" s="268">
        <v>12</v>
      </c>
      <c r="M21" s="268"/>
      <c r="N21" s="268">
        <f t="shared" si="13"/>
        <v>9</v>
      </c>
      <c r="O21" s="268"/>
      <c r="P21" s="268">
        <f t="shared" si="14"/>
        <v>9</v>
      </c>
      <c r="Q21" s="268"/>
      <c r="R21" s="268"/>
      <c r="T21" s="278">
        <f t="shared" si="18"/>
        <v>13608</v>
      </c>
      <c r="U21" s="278">
        <f t="shared" si="19"/>
        <v>0</v>
      </c>
      <c r="V21" s="278">
        <f t="shared" si="20"/>
        <v>10206</v>
      </c>
      <c r="W21" s="278">
        <f t="shared" si="21"/>
        <v>0</v>
      </c>
      <c r="X21" s="278">
        <f t="shared" si="22"/>
        <v>10206</v>
      </c>
      <c r="Y21" s="278">
        <f t="shared" si="23"/>
        <v>0</v>
      </c>
      <c r="Z21" s="278">
        <f t="shared" si="24"/>
        <v>0</v>
      </c>
      <c r="AB21" s="268">
        <v>3</v>
      </c>
      <c r="AD21" s="278">
        <f ca="1">IF(SUM($AD$3:AD$3)&lt;=$AB21,SUM($T21:T21),SUM(OFFSET(T21,0,0,1,-$AB21)))/$AB21</f>
        <v>4536</v>
      </c>
      <c r="AE21" s="278">
        <f ca="1">IF(SUM($AD$3:AE$3)&lt;=$AB21,SUM($T21:U21),SUM(OFFSET(U21,0,0,1,-$AB21)))/$AB21</f>
        <v>4536</v>
      </c>
      <c r="AF21" s="278">
        <f ca="1">IF(SUM($AD$3:AF$3)&lt;=$AB21,SUM($T21:V21),SUM(OFFSET(V21,0,0,1,-$AB21)))/$AB21</f>
        <v>7938</v>
      </c>
      <c r="AG21" s="278">
        <f ca="1">IF(SUM($AD$3:AG$3)&lt;=$AB21,SUM($T21:W21),SUM(OFFSET(W21,0,0,1,-$AB21)))/$AB21</f>
        <v>3402</v>
      </c>
      <c r="AH21" s="278">
        <f ca="1">IF(SUM($AD$3:AH$3)&lt;=$AB21,SUM($T21:X21),SUM(OFFSET(X21,0,0,1,-$AB21)))/$AB21</f>
        <v>6804</v>
      </c>
      <c r="AI21" s="278">
        <f ca="1">IF(SUM($AD$3:AI$3)&lt;=$AB21,SUM($T21:Y21),SUM(OFFSET(Y21,0,0,1,-$AB21)))/$AB21</f>
        <v>3402</v>
      </c>
      <c r="AJ21" s="278">
        <f ca="1">IF(SUM($AD$3:AJ$3)&lt;=$AB21,SUM($T21:Z21),SUM(OFFSET(Z21,0,0,1,-$AB21)))/$AB21</f>
        <v>3402</v>
      </c>
    </row>
    <row r="22" spans="2:36" outlineLevel="1" x14ac:dyDescent="0.2">
      <c r="B22" s="196" t="s">
        <v>261</v>
      </c>
      <c r="C22" s="290" t="s">
        <v>212</v>
      </c>
      <c r="D22" s="290" t="s">
        <v>269</v>
      </c>
      <c r="E22" s="303">
        <v>800</v>
      </c>
      <c r="F22" s="303">
        <v>40</v>
      </c>
      <c r="G22" s="303">
        <f t="shared" si="16"/>
        <v>840</v>
      </c>
      <c r="I22" s="267">
        <v>0</v>
      </c>
      <c r="J22" s="267">
        <v>1</v>
      </c>
      <c r="L22" s="268">
        <v>10</v>
      </c>
      <c r="M22" s="268"/>
      <c r="N22" s="268">
        <f t="shared" si="13"/>
        <v>8</v>
      </c>
      <c r="O22" s="268"/>
      <c r="P22" s="268">
        <f t="shared" si="14"/>
        <v>8</v>
      </c>
      <c r="Q22" s="268"/>
      <c r="R22" s="268"/>
      <c r="T22" s="278">
        <f t="shared" si="18"/>
        <v>8400</v>
      </c>
      <c r="U22" s="278">
        <f t="shared" si="19"/>
        <v>0</v>
      </c>
      <c r="V22" s="278">
        <f t="shared" si="20"/>
        <v>6720</v>
      </c>
      <c r="W22" s="278">
        <f t="shared" si="21"/>
        <v>0</v>
      </c>
      <c r="X22" s="278">
        <f t="shared" si="22"/>
        <v>6720</v>
      </c>
      <c r="Y22" s="278">
        <f t="shared" si="23"/>
        <v>0</v>
      </c>
      <c r="Z22" s="278">
        <f t="shared" si="24"/>
        <v>0</v>
      </c>
      <c r="AB22" s="268">
        <v>3</v>
      </c>
      <c r="AD22" s="278">
        <f ca="1">IF(SUM($AD$3:AD$3)&lt;=$AB22,SUM($T22:T22),SUM(OFFSET(T22,0,0,1,-$AB22)))/$AB22</f>
        <v>2800</v>
      </c>
      <c r="AE22" s="278">
        <f ca="1">IF(SUM($AD$3:AE$3)&lt;=$AB22,SUM($T22:U22),SUM(OFFSET(U22,0,0,1,-$AB22)))/$AB22</f>
        <v>2800</v>
      </c>
      <c r="AF22" s="278">
        <f ca="1">IF(SUM($AD$3:AF$3)&lt;=$AB22,SUM($T22:V22),SUM(OFFSET(V22,0,0,1,-$AB22)))/$AB22</f>
        <v>5040</v>
      </c>
      <c r="AG22" s="278">
        <f ca="1">IF(SUM($AD$3:AG$3)&lt;=$AB22,SUM($T22:W22),SUM(OFFSET(W22,0,0,1,-$AB22)))/$AB22</f>
        <v>2240</v>
      </c>
      <c r="AH22" s="278">
        <f ca="1">IF(SUM($AD$3:AH$3)&lt;=$AB22,SUM($T22:X22),SUM(OFFSET(X22,0,0,1,-$AB22)))/$AB22</f>
        <v>4480</v>
      </c>
      <c r="AI22" s="278">
        <f ca="1">IF(SUM($AD$3:AI$3)&lt;=$AB22,SUM($T22:Y22),SUM(OFFSET(Y22,0,0,1,-$AB22)))/$AB22</f>
        <v>2240</v>
      </c>
      <c r="AJ22" s="278">
        <f ca="1">IF(SUM($AD$3:AJ$3)&lt;=$AB22,SUM($T22:Z22),SUM(OFFSET(Z22,0,0,1,-$AB22)))/$AB22</f>
        <v>2240</v>
      </c>
    </row>
    <row r="23" spans="2:36" outlineLevel="1" x14ac:dyDescent="0.2">
      <c r="B23" s="196" t="s">
        <v>262</v>
      </c>
      <c r="C23" s="290" t="s">
        <v>212</v>
      </c>
      <c r="D23" s="290" t="s">
        <v>269</v>
      </c>
      <c r="E23" s="303">
        <v>600</v>
      </c>
      <c r="F23" s="303">
        <v>30</v>
      </c>
      <c r="G23" s="303">
        <f t="shared" si="16"/>
        <v>630</v>
      </c>
      <c r="I23" s="267">
        <v>0</v>
      </c>
      <c r="J23" s="267">
        <v>1</v>
      </c>
      <c r="L23" s="268">
        <v>6</v>
      </c>
      <c r="M23" s="268"/>
      <c r="N23" s="268">
        <f t="shared" si="13"/>
        <v>5</v>
      </c>
      <c r="O23" s="268"/>
      <c r="P23" s="268">
        <f t="shared" si="14"/>
        <v>5</v>
      </c>
      <c r="Q23" s="268"/>
      <c r="R23" s="268"/>
      <c r="T23" s="278">
        <f t="shared" si="18"/>
        <v>3780</v>
      </c>
      <c r="U23" s="278">
        <f t="shared" si="19"/>
        <v>0</v>
      </c>
      <c r="V23" s="278">
        <f t="shared" si="20"/>
        <v>3150</v>
      </c>
      <c r="W23" s="278">
        <f t="shared" si="21"/>
        <v>0</v>
      </c>
      <c r="X23" s="278">
        <f t="shared" si="22"/>
        <v>3150</v>
      </c>
      <c r="Y23" s="278">
        <f t="shared" si="23"/>
        <v>0</v>
      </c>
      <c r="Z23" s="278">
        <f t="shared" si="24"/>
        <v>0</v>
      </c>
      <c r="AB23" s="268">
        <v>3</v>
      </c>
      <c r="AD23" s="278">
        <f ca="1">IF(SUM($AD$3:AD$3)&lt;=$AB23,SUM($T23:T23),SUM(OFFSET(T23,0,0,1,-$AB23)))/$AB23</f>
        <v>1260</v>
      </c>
      <c r="AE23" s="278">
        <f ca="1">IF(SUM($AD$3:AE$3)&lt;=$AB23,SUM($T23:U23),SUM(OFFSET(U23,0,0,1,-$AB23)))/$AB23</f>
        <v>1260</v>
      </c>
      <c r="AF23" s="278">
        <f ca="1">IF(SUM($AD$3:AF$3)&lt;=$AB23,SUM($T23:V23),SUM(OFFSET(V23,0,0,1,-$AB23)))/$AB23</f>
        <v>2310</v>
      </c>
      <c r="AG23" s="278">
        <f ca="1">IF(SUM($AD$3:AG$3)&lt;=$AB23,SUM($T23:W23),SUM(OFFSET(W23,0,0,1,-$AB23)))/$AB23</f>
        <v>1050</v>
      </c>
      <c r="AH23" s="278">
        <f ca="1">IF(SUM($AD$3:AH$3)&lt;=$AB23,SUM($T23:X23),SUM(OFFSET(X23,0,0,1,-$AB23)))/$AB23</f>
        <v>2100</v>
      </c>
      <c r="AI23" s="278">
        <f ca="1">IF(SUM($AD$3:AI$3)&lt;=$AB23,SUM($T23:Y23),SUM(OFFSET(Y23,0,0,1,-$AB23)))/$AB23</f>
        <v>1050</v>
      </c>
      <c r="AJ23" s="278">
        <f ca="1">IF(SUM($AD$3:AJ$3)&lt;=$AB23,SUM($T23:Z23),SUM(OFFSET(Z23,0,0,1,-$AB23)))/$AB23</f>
        <v>1050</v>
      </c>
    </row>
    <row r="24" spans="2:36" outlineLevel="1" x14ac:dyDescent="0.2">
      <c r="B24" s="196" t="s">
        <v>250</v>
      </c>
      <c r="C24" s="290" t="s">
        <v>213</v>
      </c>
      <c r="D24" s="290" t="s">
        <v>270</v>
      </c>
      <c r="E24" s="303">
        <v>1495</v>
      </c>
      <c r="F24" s="303">
        <v>75</v>
      </c>
      <c r="G24" s="303">
        <f t="shared" si="16"/>
        <v>1570</v>
      </c>
      <c r="I24" s="267">
        <v>5</v>
      </c>
      <c r="J24" s="267">
        <v>1</v>
      </c>
      <c r="L24" s="268">
        <v>12</v>
      </c>
      <c r="M24" s="268"/>
      <c r="N24" s="268">
        <f t="shared" si="13"/>
        <v>9</v>
      </c>
      <c r="O24" s="268"/>
      <c r="P24" s="268">
        <f t="shared" si="14"/>
        <v>9</v>
      </c>
      <c r="Q24" s="268"/>
      <c r="R24" s="268"/>
      <c r="T24" s="278">
        <f t="shared" si="18"/>
        <v>18840</v>
      </c>
      <c r="U24" s="278">
        <f t="shared" si="19"/>
        <v>0</v>
      </c>
      <c r="V24" s="278">
        <f t="shared" si="20"/>
        <v>14130</v>
      </c>
      <c r="W24" s="278">
        <f t="shared" si="21"/>
        <v>0</v>
      </c>
      <c r="X24" s="278">
        <f t="shared" si="22"/>
        <v>14130</v>
      </c>
      <c r="Y24" s="278">
        <f t="shared" si="23"/>
        <v>0</v>
      </c>
      <c r="Z24" s="278">
        <f t="shared" si="24"/>
        <v>0</v>
      </c>
      <c r="AB24" s="268">
        <v>3</v>
      </c>
      <c r="AD24" s="278">
        <f ca="1">IF(SUM($AD$3:AD$3)&lt;=$AB24,SUM($T24:T24),SUM(OFFSET(T24,0,0,1,-$AB24)))/$AB24</f>
        <v>6280</v>
      </c>
      <c r="AE24" s="278">
        <f ca="1">IF(SUM($AD$3:AE$3)&lt;=$AB24,SUM($T24:U24),SUM(OFFSET(U24,0,0,1,-$AB24)))/$AB24</f>
        <v>6280</v>
      </c>
      <c r="AF24" s="278">
        <f ca="1">IF(SUM($AD$3:AF$3)&lt;=$AB24,SUM($T24:V24),SUM(OFFSET(V24,0,0,1,-$AB24)))/$AB24</f>
        <v>10990</v>
      </c>
      <c r="AG24" s="278">
        <f ca="1">IF(SUM($AD$3:AG$3)&lt;=$AB24,SUM($T24:W24),SUM(OFFSET(W24,0,0,1,-$AB24)))/$AB24</f>
        <v>4710</v>
      </c>
      <c r="AH24" s="278">
        <f ca="1">IF(SUM($AD$3:AH$3)&lt;=$AB24,SUM($T24:X24),SUM(OFFSET(X24,0,0,1,-$AB24)))/$AB24</f>
        <v>9420</v>
      </c>
      <c r="AI24" s="278">
        <f ca="1">IF(SUM($AD$3:AI$3)&lt;=$AB24,SUM($T24:Y24),SUM(OFFSET(Y24,0,0,1,-$AB24)))/$AB24</f>
        <v>4710</v>
      </c>
      <c r="AJ24" s="278">
        <f ca="1">IF(SUM($AD$3:AJ$3)&lt;=$AB24,SUM($T24:Z24),SUM(OFFSET(Z24,0,0,1,-$AB24)))/$AB24</f>
        <v>4710</v>
      </c>
    </row>
    <row r="25" spans="2:36" outlineLevel="1" x14ac:dyDescent="0.2">
      <c r="B25" s="196" t="s">
        <v>251</v>
      </c>
      <c r="C25" s="290" t="s">
        <v>214</v>
      </c>
      <c r="D25" s="290"/>
      <c r="E25" s="303">
        <v>145</v>
      </c>
      <c r="F25" s="303">
        <v>10</v>
      </c>
      <c r="G25" s="303">
        <f t="shared" si="16"/>
        <v>155</v>
      </c>
      <c r="I25" s="267">
        <v>29</v>
      </c>
      <c r="J25" s="267">
        <v>1</v>
      </c>
      <c r="L25" s="268">
        <v>59</v>
      </c>
      <c r="M25" s="268"/>
      <c r="N25" s="268"/>
      <c r="O25" s="268"/>
      <c r="P25" s="268"/>
      <c r="Q25" s="268"/>
      <c r="R25" s="268"/>
      <c r="T25" s="278">
        <f t="shared" si="18"/>
        <v>9145</v>
      </c>
      <c r="U25" s="278">
        <f t="shared" si="19"/>
        <v>0</v>
      </c>
      <c r="V25" s="278">
        <f t="shared" si="20"/>
        <v>0</v>
      </c>
      <c r="W25" s="278">
        <f t="shared" si="21"/>
        <v>0</v>
      </c>
      <c r="X25" s="278">
        <f t="shared" si="22"/>
        <v>0</v>
      </c>
      <c r="Y25" s="278">
        <f t="shared" si="23"/>
        <v>0</v>
      </c>
      <c r="Z25" s="278">
        <f t="shared" si="24"/>
        <v>0</v>
      </c>
      <c r="AB25" s="268">
        <v>3</v>
      </c>
      <c r="AD25" s="278">
        <f ca="1">IF(SUM($AD$3:AD$3)&lt;=$AB25,SUM($T25:T25),SUM(OFFSET(T25,0,0,1,-$AB25)))/$AB25</f>
        <v>3048.3333333333335</v>
      </c>
      <c r="AE25" s="278">
        <f ca="1">IF(SUM($AD$3:AE$3)&lt;=$AB25,SUM($T25:U25),SUM(OFFSET(U25,0,0,1,-$AB25)))/$AB25</f>
        <v>3048.3333333333335</v>
      </c>
      <c r="AF25" s="278">
        <f ca="1">IF(SUM($AD$3:AF$3)&lt;=$AB25,SUM($T25:V25),SUM(OFFSET(V25,0,0,1,-$AB25)))/$AB25</f>
        <v>3048.3333333333335</v>
      </c>
      <c r="AG25" s="278">
        <f ca="1">IF(SUM($AD$3:AG$3)&lt;=$AB25,SUM($T25:W25),SUM(OFFSET(W25,0,0,1,-$AB25)))/$AB25</f>
        <v>0</v>
      </c>
      <c r="AH25" s="278">
        <f ca="1">IF(SUM($AD$3:AH$3)&lt;=$AB25,SUM($T25:X25),SUM(OFFSET(X25,0,0,1,-$AB25)))/$AB25</f>
        <v>0</v>
      </c>
      <c r="AI25" s="278">
        <f ca="1">IF(SUM($AD$3:AI$3)&lt;=$AB25,SUM($T25:Y25),SUM(OFFSET(Y25,0,0,1,-$AB25)))/$AB25</f>
        <v>0</v>
      </c>
      <c r="AJ25" s="278">
        <f ca="1">IF(SUM($AD$3:AJ$3)&lt;=$AB25,SUM($T25:Z25),SUM(OFFSET(Z25,0,0,1,-$AB25)))/$AB25</f>
        <v>0</v>
      </c>
    </row>
    <row r="26" spans="2:36" outlineLevel="1" x14ac:dyDescent="0.2">
      <c r="B26" s="196" t="s">
        <v>252</v>
      </c>
      <c r="C26" s="290" t="s">
        <v>215</v>
      </c>
      <c r="D26" s="290"/>
      <c r="E26" s="303">
        <v>4500</v>
      </c>
      <c r="F26" s="303">
        <v>225</v>
      </c>
      <c r="G26" s="303">
        <f t="shared" si="16"/>
        <v>4725</v>
      </c>
      <c r="I26" s="267">
        <v>1</v>
      </c>
      <c r="J26" s="267">
        <v>1</v>
      </c>
      <c r="L26" s="268">
        <v>1</v>
      </c>
      <c r="M26" s="268"/>
      <c r="N26" s="268"/>
      <c r="O26" s="268"/>
      <c r="P26" s="268"/>
      <c r="Q26" s="268"/>
      <c r="R26" s="268"/>
      <c r="T26" s="278">
        <f t="shared" si="18"/>
        <v>4725</v>
      </c>
      <c r="U26" s="278">
        <f t="shared" si="19"/>
        <v>0</v>
      </c>
      <c r="V26" s="278">
        <f t="shared" si="20"/>
        <v>0</v>
      </c>
      <c r="W26" s="278">
        <f t="shared" si="21"/>
        <v>0</v>
      </c>
      <c r="X26" s="278">
        <f t="shared" si="22"/>
        <v>0</v>
      </c>
      <c r="Y26" s="278">
        <f t="shared" si="23"/>
        <v>0</v>
      </c>
      <c r="Z26" s="278">
        <f t="shared" si="24"/>
        <v>0</v>
      </c>
      <c r="AB26" s="268">
        <v>10</v>
      </c>
      <c r="AD26" s="278">
        <f ca="1">IF(SUM($AD$3:AD$3)&lt;=$AB26,SUM($T26:T26),SUM(OFFSET(T26,0,0,1,-$AB26)))/$AB26</f>
        <v>472.5</v>
      </c>
      <c r="AE26" s="278">
        <f ca="1">IF(SUM($AD$3:AE$3)&lt;=$AB26,SUM($T26:U26),SUM(OFFSET(U26,0,0,1,-$AB26)))/$AB26</f>
        <v>472.5</v>
      </c>
      <c r="AF26" s="278">
        <f ca="1">IF(SUM($AD$3:AF$3)&lt;=$AB26,SUM($T26:V26),SUM(OFFSET(V26,0,0,1,-$AB26)))/$AB26</f>
        <v>472.5</v>
      </c>
      <c r="AG26" s="278">
        <f ca="1">IF(SUM($AD$3:AG$3)&lt;=$AB26,SUM($T26:W26),SUM(OFFSET(W26,0,0,1,-$AB26)))/$AB26</f>
        <v>472.5</v>
      </c>
      <c r="AH26" s="278">
        <f ca="1">IF(SUM($AD$3:AH$3)&lt;=$AB26,SUM($T26:X26),SUM(OFFSET(X26,0,0,1,-$AB26)))/$AB26</f>
        <v>472.5</v>
      </c>
      <c r="AI26" s="278">
        <f ca="1">IF(SUM($AD$3:AI$3)&lt;=$AB26,SUM($T26:Y26),SUM(OFFSET(Y26,0,0,1,-$AB26)))/$AB26</f>
        <v>472.5</v>
      </c>
      <c r="AJ26" s="278">
        <f ca="1">IF(SUM($AD$3:AJ$3)&lt;=$AB26,SUM($T26:Z26),SUM(OFFSET(Z26,0,0,1,-$AB26)))/$AB26</f>
        <v>472.5</v>
      </c>
    </row>
    <row r="27" spans="2:36" outlineLevel="1" x14ac:dyDescent="0.2">
      <c r="B27" s="196" t="s">
        <v>263</v>
      </c>
      <c r="C27" s="290" t="s">
        <v>121</v>
      </c>
      <c r="D27" s="290" t="s">
        <v>122</v>
      </c>
      <c r="E27" s="303">
        <v>18</v>
      </c>
      <c r="F27" s="303"/>
      <c r="G27" s="303">
        <f t="shared" si="16"/>
        <v>18</v>
      </c>
      <c r="I27" s="267">
        <v>15</v>
      </c>
      <c r="J27" s="267">
        <v>2</v>
      </c>
      <c r="L27" s="268">
        <v>30</v>
      </c>
      <c r="M27" s="268"/>
      <c r="N27" s="268"/>
      <c r="O27" s="268"/>
      <c r="P27" s="268"/>
      <c r="Q27" s="268"/>
      <c r="R27" s="268"/>
      <c r="T27" s="278">
        <f t="shared" si="18"/>
        <v>540</v>
      </c>
      <c r="U27" s="278">
        <f t="shared" si="19"/>
        <v>0</v>
      </c>
      <c r="V27" s="278">
        <f t="shared" si="20"/>
        <v>0</v>
      </c>
      <c r="W27" s="278">
        <f t="shared" si="21"/>
        <v>0</v>
      </c>
      <c r="X27" s="278">
        <f t="shared" si="22"/>
        <v>0</v>
      </c>
      <c r="Y27" s="278">
        <f t="shared" si="23"/>
        <v>0</v>
      </c>
      <c r="Z27" s="278">
        <f t="shared" si="24"/>
        <v>0</v>
      </c>
      <c r="AB27" s="268">
        <v>10</v>
      </c>
      <c r="AD27" s="278">
        <f ca="1">IF(SUM($AD$3:AD$3)&lt;=$AB27,SUM($T27:T27),SUM(OFFSET(T27,0,0,1,-$AB27)))/$AB27</f>
        <v>54</v>
      </c>
      <c r="AE27" s="278">
        <f ca="1">IF(SUM($AD$3:AE$3)&lt;=$AB27,SUM($T27:U27),SUM(OFFSET(U27,0,0,1,-$AB27)))/$AB27</f>
        <v>54</v>
      </c>
      <c r="AF27" s="278">
        <f ca="1">IF(SUM($AD$3:AF$3)&lt;=$AB27,SUM($T27:V27),SUM(OFFSET(V27,0,0,1,-$AB27)))/$AB27</f>
        <v>54</v>
      </c>
      <c r="AG27" s="278">
        <f ca="1">IF(SUM($AD$3:AG$3)&lt;=$AB27,SUM($T27:W27),SUM(OFFSET(W27,0,0,1,-$AB27)))/$AB27</f>
        <v>54</v>
      </c>
      <c r="AH27" s="278">
        <f ca="1">IF(SUM($AD$3:AH$3)&lt;=$AB27,SUM($T27:X27),SUM(OFFSET(X27,0,0,1,-$AB27)))/$AB27</f>
        <v>54</v>
      </c>
      <c r="AI27" s="278">
        <f ca="1">IF(SUM($AD$3:AI$3)&lt;=$AB27,SUM($T27:Y27),SUM(OFFSET(Y27,0,0,1,-$AB27)))/$AB27</f>
        <v>54</v>
      </c>
      <c r="AJ27" s="278">
        <f ca="1">IF(SUM($AD$3:AJ$3)&lt;=$AB27,SUM($T27:Z27),SUM(OFFSET(Z27,0,0,1,-$AB27)))/$AB27</f>
        <v>54</v>
      </c>
    </row>
    <row r="28" spans="2:36" outlineLevel="1" x14ac:dyDescent="0.2">
      <c r="B28" s="196" t="s">
        <v>267</v>
      </c>
      <c r="C28" s="290" t="s">
        <v>265</v>
      </c>
      <c r="D28" s="290" t="s">
        <v>264</v>
      </c>
      <c r="E28" s="303">
        <v>269</v>
      </c>
      <c r="F28" s="303"/>
      <c r="G28" s="303">
        <f t="shared" si="16"/>
        <v>269</v>
      </c>
      <c r="I28" s="267">
        <v>3</v>
      </c>
      <c r="J28" s="267">
        <v>2</v>
      </c>
      <c r="L28" s="268">
        <v>6</v>
      </c>
      <c r="M28" s="268"/>
      <c r="N28" s="268"/>
      <c r="O28" s="268"/>
      <c r="P28" s="268"/>
      <c r="Q28" s="268"/>
      <c r="R28" s="268"/>
      <c r="T28" s="278">
        <f t="shared" si="18"/>
        <v>1614</v>
      </c>
      <c r="U28" s="278">
        <f t="shared" si="19"/>
        <v>0</v>
      </c>
      <c r="V28" s="278">
        <f t="shared" si="20"/>
        <v>0</v>
      </c>
      <c r="W28" s="278">
        <f t="shared" si="21"/>
        <v>0</v>
      </c>
      <c r="X28" s="278">
        <f t="shared" si="22"/>
        <v>0</v>
      </c>
      <c r="Y28" s="278">
        <f t="shared" si="23"/>
        <v>0</v>
      </c>
      <c r="Z28" s="278">
        <f t="shared" si="24"/>
        <v>0</v>
      </c>
      <c r="AB28" s="268">
        <v>10</v>
      </c>
      <c r="AD28" s="278">
        <f ca="1">IF(SUM($AD$3:AD$3)&lt;=$AB28,SUM($T28:T28),SUM(OFFSET(T28,0,0,1,-$AB28)))/$AB28</f>
        <v>161.4</v>
      </c>
      <c r="AE28" s="278">
        <f ca="1">IF(SUM($AD$3:AE$3)&lt;=$AB28,SUM($T28:U28),SUM(OFFSET(U28,0,0,1,-$AB28)))/$AB28</f>
        <v>161.4</v>
      </c>
      <c r="AF28" s="278">
        <f ca="1">IF(SUM($AD$3:AF$3)&lt;=$AB28,SUM($T28:V28),SUM(OFFSET(V28,0,0,1,-$AB28)))/$AB28</f>
        <v>161.4</v>
      </c>
      <c r="AG28" s="278">
        <f ca="1">IF(SUM($AD$3:AG$3)&lt;=$AB28,SUM($T28:W28),SUM(OFFSET(W28,0,0,1,-$AB28)))/$AB28</f>
        <v>161.4</v>
      </c>
      <c r="AH28" s="278">
        <f ca="1">IF(SUM($AD$3:AH$3)&lt;=$AB28,SUM($T28:X28),SUM(OFFSET(X28,0,0,1,-$AB28)))/$AB28</f>
        <v>161.4</v>
      </c>
      <c r="AI28" s="278">
        <f ca="1">IF(SUM($AD$3:AI$3)&lt;=$AB28,SUM($T28:Y28),SUM(OFFSET(Y28,0,0,1,-$AB28)))/$AB28</f>
        <v>161.4</v>
      </c>
      <c r="AJ28" s="278">
        <f ca="1">IF(SUM($AD$3:AJ$3)&lt;=$AB28,SUM($T28:Z28),SUM(OFFSET(Z28,0,0,1,-$AB28)))/$AB28</f>
        <v>161.4</v>
      </c>
    </row>
    <row r="29" spans="2:36" outlineLevel="1" x14ac:dyDescent="0.2">
      <c r="B29" s="196" t="s">
        <v>268</v>
      </c>
      <c r="C29" s="290" t="s">
        <v>266</v>
      </c>
      <c r="D29" s="290" t="s">
        <v>341</v>
      </c>
      <c r="E29" s="303">
        <v>465</v>
      </c>
      <c r="F29" s="303"/>
      <c r="G29" s="305">
        <f t="shared" si="16"/>
        <v>465</v>
      </c>
      <c r="I29" s="267">
        <v>6</v>
      </c>
      <c r="J29" s="267">
        <v>2</v>
      </c>
      <c r="L29" s="268">
        <v>12</v>
      </c>
      <c r="M29" s="268"/>
      <c r="N29" s="268"/>
      <c r="O29" s="268"/>
      <c r="P29" s="268"/>
      <c r="Q29" s="268"/>
      <c r="R29" s="268"/>
      <c r="T29" s="278">
        <f t="shared" si="18"/>
        <v>5580</v>
      </c>
      <c r="U29" s="278">
        <f t="shared" si="19"/>
        <v>0</v>
      </c>
      <c r="V29" s="278">
        <f t="shared" si="20"/>
        <v>0</v>
      </c>
      <c r="W29" s="278">
        <f t="shared" si="21"/>
        <v>0</v>
      </c>
      <c r="X29" s="278">
        <f t="shared" si="22"/>
        <v>0</v>
      </c>
      <c r="Y29" s="278">
        <f t="shared" si="23"/>
        <v>0</v>
      </c>
      <c r="Z29" s="278">
        <f t="shared" si="24"/>
        <v>0</v>
      </c>
      <c r="AB29" s="268">
        <v>10</v>
      </c>
      <c r="AD29" s="278">
        <f ca="1">IF(SUM($AD$3:AD$3)&lt;=$AB29,SUM($T29:T29),SUM(OFFSET(T29,0,0,1,-$AB29)))/$AB29</f>
        <v>558</v>
      </c>
      <c r="AE29" s="278">
        <f ca="1">IF(SUM($AD$3:AE$3)&lt;=$AB29,SUM($T29:U29),SUM(OFFSET(U29,0,0,1,-$AB29)))/$AB29</f>
        <v>558</v>
      </c>
      <c r="AF29" s="278">
        <f ca="1">IF(SUM($AD$3:AF$3)&lt;=$AB29,SUM($T29:V29),SUM(OFFSET(V29,0,0,1,-$AB29)))/$AB29</f>
        <v>558</v>
      </c>
      <c r="AG29" s="278">
        <f ca="1">IF(SUM($AD$3:AG$3)&lt;=$AB29,SUM($T29:W29),SUM(OFFSET(W29,0,0,1,-$AB29)))/$AB29</f>
        <v>558</v>
      </c>
      <c r="AH29" s="278">
        <f ca="1">IF(SUM($AD$3:AH$3)&lt;=$AB29,SUM($T29:X29),SUM(OFFSET(X29,0,0,1,-$AB29)))/$AB29</f>
        <v>558</v>
      </c>
      <c r="AI29" s="278">
        <f ca="1">IF(SUM($AD$3:AI$3)&lt;=$AB29,SUM($T29:Y29),SUM(OFFSET(Y29,0,0,1,-$AB29)))/$AB29</f>
        <v>558</v>
      </c>
      <c r="AJ29" s="278">
        <f ca="1">IF(SUM($AD$3:AJ$3)&lt;=$AB29,SUM($T29:Z29),SUM(OFFSET(Z29,0,0,1,-$AB29)))/$AB29</f>
        <v>558</v>
      </c>
    </row>
    <row r="30" spans="2:36" x14ac:dyDescent="0.2">
      <c r="B30" s="272" t="s">
        <v>272</v>
      </c>
      <c r="C30" s="295" t="s">
        <v>190</v>
      </c>
      <c r="D30" s="296"/>
      <c r="E30" s="306"/>
      <c r="F30" s="306"/>
      <c r="G30" s="306"/>
      <c r="I30" s="273"/>
      <c r="J30" s="273"/>
      <c r="L30" s="274"/>
      <c r="M30" s="274"/>
      <c r="N30" s="274"/>
      <c r="O30" s="274"/>
      <c r="P30" s="274"/>
      <c r="Q30" s="274"/>
      <c r="R30" s="274"/>
      <c r="T30" s="280">
        <f t="shared" ref="T30:Z30" si="25">SUM(T31:T45)</f>
        <v>41205.5</v>
      </c>
      <c r="U30" s="280">
        <f t="shared" si="25"/>
        <v>0</v>
      </c>
      <c r="V30" s="280">
        <f t="shared" si="25"/>
        <v>0</v>
      </c>
      <c r="W30" s="280">
        <f t="shared" si="25"/>
        <v>6300</v>
      </c>
      <c r="X30" s="280">
        <f t="shared" si="25"/>
        <v>0</v>
      </c>
      <c r="Y30" s="280">
        <f t="shared" si="25"/>
        <v>0</v>
      </c>
      <c r="Z30" s="280">
        <f t="shared" si="25"/>
        <v>0</v>
      </c>
      <c r="AB30" s="367"/>
      <c r="AD30" s="280">
        <f t="shared" ref="AD30:AJ30" ca="1" si="26">SUM(AD31:AD45)</f>
        <v>5090.55</v>
      </c>
      <c r="AE30" s="280">
        <f t="shared" ca="1" si="26"/>
        <v>5090.55</v>
      </c>
      <c r="AF30" s="280">
        <f t="shared" ca="1" si="26"/>
        <v>5090.55</v>
      </c>
      <c r="AG30" s="280">
        <f t="shared" ca="1" si="26"/>
        <v>6590.55</v>
      </c>
      <c r="AH30" s="280">
        <f t="shared" ca="1" si="26"/>
        <v>5090.55</v>
      </c>
      <c r="AI30" s="280">
        <f t="shared" ca="1" si="26"/>
        <v>5090.55</v>
      </c>
      <c r="AJ30" s="280">
        <f t="shared" ca="1" si="26"/>
        <v>4990.55</v>
      </c>
    </row>
    <row r="31" spans="2:36" outlineLevel="1" x14ac:dyDescent="0.2">
      <c r="B31" s="195" t="s">
        <v>289</v>
      </c>
      <c r="C31" s="289" t="s">
        <v>134</v>
      </c>
      <c r="D31" s="299"/>
      <c r="E31" s="302">
        <v>5200</v>
      </c>
      <c r="F31" s="302"/>
      <c r="G31" s="302">
        <f t="shared" ref="G31:G45" si="27">E31+F31</f>
        <v>5200</v>
      </c>
      <c r="I31" s="265">
        <v>1</v>
      </c>
      <c r="J31" s="265">
        <v>2</v>
      </c>
      <c r="L31" s="266">
        <v>2</v>
      </c>
      <c r="M31" s="266"/>
      <c r="N31" s="266"/>
      <c r="O31" s="266"/>
      <c r="P31" s="266"/>
      <c r="Q31" s="266"/>
      <c r="R31" s="266"/>
      <c r="T31" s="277">
        <f t="shared" ref="T31:T45" si="28">L31*$G31</f>
        <v>10400</v>
      </c>
      <c r="U31" s="277">
        <f t="shared" ref="U31:U45" si="29">M31*$G31</f>
        <v>0</v>
      </c>
      <c r="V31" s="277">
        <f t="shared" ref="V31:V45" si="30">N31*$G31</f>
        <v>0</v>
      </c>
      <c r="W31" s="277">
        <f t="shared" ref="W31:W45" si="31">O31*$G31</f>
        <v>0</v>
      </c>
      <c r="X31" s="277">
        <f t="shared" ref="X31:X45" si="32">P31*$G31</f>
        <v>0</v>
      </c>
      <c r="Y31" s="277">
        <f t="shared" ref="Y31:Y45" si="33">Q31*$G31</f>
        <v>0</v>
      </c>
      <c r="Z31" s="277">
        <f t="shared" ref="Z31:Z45" si="34">R31*$G31</f>
        <v>0</v>
      </c>
      <c r="AB31" s="266">
        <v>10</v>
      </c>
      <c r="AD31" s="278">
        <f ca="1">IF(SUM($AD$3:AD$3)&lt;=$AB31,SUM($T31:T31),SUM(OFFSET(T31,0,0,1,-$AB31)))/$AB31</f>
        <v>1040</v>
      </c>
      <c r="AE31" s="278">
        <f ca="1">IF(SUM($AD$3:AE$3)&lt;=$AB31,SUM($T31:U31),SUM(OFFSET(U31,0,0,1,-$AB31)))/$AB31</f>
        <v>1040</v>
      </c>
      <c r="AF31" s="278">
        <f ca="1">IF(SUM($AD$3:AF$3)&lt;=$AB31,SUM($T31:V31),SUM(OFFSET(V31,0,0,1,-$AB31)))/$AB31</f>
        <v>1040</v>
      </c>
      <c r="AG31" s="278">
        <f ca="1">IF(SUM($AD$3:AG$3)&lt;=$AB31,SUM($T31:W31),SUM(OFFSET(W31,0,0,1,-$AB31)))/$AB31</f>
        <v>1040</v>
      </c>
      <c r="AH31" s="278">
        <f ca="1">IF(SUM($AD$3:AH$3)&lt;=$AB31,SUM($T31:X31),SUM(OFFSET(X31,0,0,1,-$AB31)))/$AB31</f>
        <v>1040</v>
      </c>
      <c r="AI31" s="278">
        <f ca="1">IF(SUM($AD$3:AI$3)&lt;=$AB31,SUM($T31:Y31),SUM(OFFSET(Y31,0,0,1,-$AB31)))/$AB31</f>
        <v>1040</v>
      </c>
      <c r="AJ31" s="278">
        <f ca="1">IF(SUM($AD$3:AJ$3)&lt;=$AB31,SUM($T31:Z31),SUM(OFFSET(Z31,0,0,1,-$AB31)))/$AB31</f>
        <v>1040</v>
      </c>
    </row>
    <row r="32" spans="2:36" outlineLevel="1" x14ac:dyDescent="0.2">
      <c r="B32" s="196" t="s">
        <v>277</v>
      </c>
      <c r="C32" s="290" t="s">
        <v>195</v>
      </c>
      <c r="D32" s="297" t="s">
        <v>278</v>
      </c>
      <c r="E32" s="303">
        <v>7</v>
      </c>
      <c r="F32" s="303">
        <v>1</v>
      </c>
      <c r="G32" s="303">
        <f t="shared" si="27"/>
        <v>8</v>
      </c>
      <c r="I32" s="267">
        <v>375</v>
      </c>
      <c r="J32" s="267">
        <v>1</v>
      </c>
      <c r="L32" s="268">
        <v>750</v>
      </c>
      <c r="M32" s="268"/>
      <c r="N32" s="268"/>
      <c r="O32" s="268">
        <v>750</v>
      </c>
      <c r="P32" s="268"/>
      <c r="Q32" s="268"/>
      <c r="R32" s="268"/>
      <c r="T32" s="278">
        <f t="shared" si="28"/>
        <v>6000</v>
      </c>
      <c r="U32" s="278">
        <f t="shared" si="29"/>
        <v>0</v>
      </c>
      <c r="V32" s="278">
        <f t="shared" si="30"/>
        <v>0</v>
      </c>
      <c r="W32" s="278">
        <f t="shared" si="31"/>
        <v>6000</v>
      </c>
      <c r="X32" s="278">
        <f t="shared" si="32"/>
        <v>0</v>
      </c>
      <c r="Y32" s="278">
        <f t="shared" si="33"/>
        <v>0</v>
      </c>
      <c r="Z32" s="278">
        <f t="shared" si="34"/>
        <v>0</v>
      </c>
      <c r="AB32" s="268">
        <v>4</v>
      </c>
      <c r="AD32" s="278">
        <f ca="1">IF(SUM($AD$3:AD$3)&lt;=$AB32,SUM($T32:T32),SUM(OFFSET(T32,0,0,1,-$AB32)))/$AB32</f>
        <v>1500</v>
      </c>
      <c r="AE32" s="278">
        <f ca="1">IF(SUM($AD$3:AE$3)&lt;=$AB32,SUM($T32:U32),SUM(OFFSET(U32,0,0,1,-$AB32)))/$AB32</f>
        <v>1500</v>
      </c>
      <c r="AF32" s="278">
        <f ca="1">IF(SUM($AD$3:AF$3)&lt;=$AB32,SUM($T32:V32),SUM(OFFSET(V32,0,0,1,-$AB32)))/$AB32</f>
        <v>1500</v>
      </c>
      <c r="AG32" s="278">
        <f ca="1">IF(SUM($AD$3:AG$3)&lt;=$AB32,SUM($T32:W32),SUM(OFFSET(W32,0,0,1,-$AB32)))/$AB32</f>
        <v>3000</v>
      </c>
      <c r="AH32" s="278">
        <f ca="1">IF(SUM($AD$3:AH$3)&lt;=$AB32,SUM($T32:X32),SUM(OFFSET(X32,0,0,1,-$AB32)))/$AB32</f>
        <v>1500</v>
      </c>
      <c r="AI32" s="278">
        <f ca="1">IF(SUM($AD$3:AI$3)&lt;=$AB32,SUM($T32:Y32),SUM(OFFSET(Y32,0,0,1,-$AB32)))/$AB32</f>
        <v>1500</v>
      </c>
      <c r="AJ32" s="278">
        <f ca="1">IF(SUM($AD$3:AJ$3)&lt;=$AB32,SUM($T32:Z32),SUM(OFFSET(Z32,0,0,1,-$AB32)))/$AB32</f>
        <v>1500</v>
      </c>
    </row>
    <row r="33" spans="2:36" outlineLevel="1" x14ac:dyDescent="0.2">
      <c r="B33" s="196" t="s">
        <v>276</v>
      </c>
      <c r="C33" s="290" t="s">
        <v>193</v>
      </c>
      <c r="D33" s="290" t="s">
        <v>194</v>
      </c>
      <c r="E33" s="303">
        <v>5300</v>
      </c>
      <c r="F33" s="303">
        <v>265</v>
      </c>
      <c r="G33" s="303">
        <f t="shared" si="27"/>
        <v>5565</v>
      </c>
      <c r="I33" s="267">
        <v>1</v>
      </c>
      <c r="J33" s="267">
        <v>1</v>
      </c>
      <c r="L33" s="268">
        <v>1</v>
      </c>
      <c r="M33" s="268"/>
      <c r="N33" s="268"/>
      <c r="O33" s="268"/>
      <c r="P33" s="268"/>
      <c r="Q33" s="268"/>
      <c r="R33" s="268"/>
      <c r="T33" s="278">
        <f t="shared" si="28"/>
        <v>5565</v>
      </c>
      <c r="U33" s="278">
        <f t="shared" si="29"/>
        <v>0</v>
      </c>
      <c r="V33" s="278">
        <f t="shared" si="30"/>
        <v>0</v>
      </c>
      <c r="W33" s="278">
        <f t="shared" si="31"/>
        <v>0</v>
      </c>
      <c r="X33" s="278">
        <f t="shared" si="32"/>
        <v>0</v>
      </c>
      <c r="Y33" s="278">
        <f t="shared" si="33"/>
        <v>0</v>
      </c>
      <c r="Z33" s="278">
        <f t="shared" si="34"/>
        <v>0</v>
      </c>
      <c r="AB33" s="268">
        <v>10</v>
      </c>
      <c r="AD33" s="278">
        <f ca="1">IF(SUM($AD$3:AD$3)&lt;=$AB33,SUM($T33:T33),SUM(OFFSET(T33,0,0,1,-$AB33)))/$AB33</f>
        <v>556.5</v>
      </c>
      <c r="AE33" s="278">
        <f ca="1">IF(SUM($AD$3:AE$3)&lt;=$AB33,SUM($T33:U33),SUM(OFFSET(U33,0,0,1,-$AB33)))/$AB33</f>
        <v>556.5</v>
      </c>
      <c r="AF33" s="278">
        <f ca="1">IF(SUM($AD$3:AF$3)&lt;=$AB33,SUM($T33:V33),SUM(OFFSET(V33,0,0,1,-$AB33)))/$AB33</f>
        <v>556.5</v>
      </c>
      <c r="AG33" s="278">
        <f ca="1">IF(SUM($AD$3:AG$3)&lt;=$AB33,SUM($T33:W33),SUM(OFFSET(W33,0,0,1,-$AB33)))/$AB33</f>
        <v>556.5</v>
      </c>
      <c r="AH33" s="278">
        <f ca="1">IF(SUM($AD$3:AH$3)&lt;=$AB33,SUM($T33:X33),SUM(OFFSET(X33,0,0,1,-$AB33)))/$AB33</f>
        <v>556.5</v>
      </c>
      <c r="AI33" s="278">
        <f ca="1">IF(SUM($AD$3:AI$3)&lt;=$AB33,SUM($T33:Y33),SUM(OFFSET(Y33,0,0,1,-$AB33)))/$AB33</f>
        <v>556.5</v>
      </c>
      <c r="AJ33" s="278">
        <f ca="1">IF(SUM($AD$3:AJ$3)&lt;=$AB33,SUM($T33:Z33),SUM(OFFSET(Z33,0,0,1,-$AB33)))/$AB33</f>
        <v>556.5</v>
      </c>
    </row>
    <row r="34" spans="2:36" outlineLevel="1" x14ac:dyDescent="0.2">
      <c r="B34" s="269" t="s">
        <v>282</v>
      </c>
      <c r="C34" s="291" t="s">
        <v>198</v>
      </c>
      <c r="D34" s="292" t="s">
        <v>357</v>
      </c>
      <c r="E34" s="304">
        <v>5200</v>
      </c>
      <c r="F34" s="304">
        <v>260</v>
      </c>
      <c r="G34" s="303">
        <f t="shared" si="27"/>
        <v>5460</v>
      </c>
      <c r="I34" s="270">
        <v>1</v>
      </c>
      <c r="J34" s="270">
        <v>1</v>
      </c>
      <c r="L34" s="271">
        <v>1</v>
      </c>
      <c r="M34" s="271"/>
      <c r="N34" s="271"/>
      <c r="O34" s="271"/>
      <c r="P34" s="271"/>
      <c r="Q34" s="271"/>
      <c r="R34" s="271"/>
      <c r="T34" s="278">
        <f t="shared" si="28"/>
        <v>5460</v>
      </c>
      <c r="U34" s="278">
        <f t="shared" si="29"/>
        <v>0</v>
      </c>
      <c r="V34" s="278">
        <f t="shared" si="30"/>
        <v>0</v>
      </c>
      <c r="W34" s="278">
        <f t="shared" si="31"/>
        <v>0</v>
      </c>
      <c r="X34" s="278">
        <f t="shared" si="32"/>
        <v>0</v>
      </c>
      <c r="Y34" s="278">
        <f t="shared" si="33"/>
        <v>0</v>
      </c>
      <c r="Z34" s="278">
        <f t="shared" si="34"/>
        <v>0</v>
      </c>
      <c r="AB34" s="268">
        <v>10</v>
      </c>
      <c r="AD34" s="278">
        <f ca="1">IF(SUM($AD$3:AD$3)&lt;=$AB34,SUM($T34:T34),SUM(OFFSET(T34,0,0,1,-$AB34)))/$AB34</f>
        <v>546</v>
      </c>
      <c r="AE34" s="278">
        <f ca="1">IF(SUM($AD$3:AE$3)&lt;=$AB34,SUM($T34:U34),SUM(OFFSET(U34,0,0,1,-$AB34)))/$AB34</f>
        <v>546</v>
      </c>
      <c r="AF34" s="278">
        <f ca="1">IF(SUM($AD$3:AF$3)&lt;=$AB34,SUM($T34:V34),SUM(OFFSET(V34,0,0,1,-$AB34)))/$AB34</f>
        <v>546</v>
      </c>
      <c r="AG34" s="278">
        <f ca="1">IF(SUM($AD$3:AG$3)&lt;=$AB34,SUM($T34:W34),SUM(OFFSET(W34,0,0,1,-$AB34)))/$AB34</f>
        <v>546</v>
      </c>
      <c r="AH34" s="278">
        <f ca="1">IF(SUM($AD$3:AH$3)&lt;=$AB34,SUM($T34:X34),SUM(OFFSET(X34,0,0,1,-$AB34)))/$AB34</f>
        <v>546</v>
      </c>
      <c r="AI34" s="278">
        <f ca="1">IF(SUM($AD$3:AI$3)&lt;=$AB34,SUM($T34:Y34),SUM(OFFSET(Y34,0,0,1,-$AB34)))/$AB34</f>
        <v>546</v>
      </c>
      <c r="AJ34" s="278">
        <f ca="1">IF(SUM($AD$3:AJ$3)&lt;=$AB34,SUM($T34:Z34),SUM(OFFSET(Z34,0,0,1,-$AB34)))/$AB34</f>
        <v>546</v>
      </c>
    </row>
    <row r="35" spans="2:36" outlineLevel="1" x14ac:dyDescent="0.2">
      <c r="B35" s="269" t="s">
        <v>290</v>
      </c>
      <c r="C35" s="291" t="s">
        <v>133</v>
      </c>
      <c r="D35" s="293"/>
      <c r="E35" s="304">
        <v>5000</v>
      </c>
      <c r="F35" s="304"/>
      <c r="G35" s="303">
        <f t="shared" si="27"/>
        <v>5000</v>
      </c>
      <c r="I35" s="270">
        <v>1</v>
      </c>
      <c r="J35" s="270">
        <v>2</v>
      </c>
      <c r="L35" s="271">
        <v>1</v>
      </c>
      <c r="M35" s="271"/>
      <c r="N35" s="271"/>
      <c r="O35" s="271"/>
      <c r="P35" s="271"/>
      <c r="Q35" s="271"/>
      <c r="R35" s="271"/>
      <c r="T35" s="278">
        <f t="shared" si="28"/>
        <v>5000</v>
      </c>
      <c r="U35" s="278">
        <f t="shared" si="29"/>
        <v>0</v>
      </c>
      <c r="V35" s="278">
        <f t="shared" si="30"/>
        <v>0</v>
      </c>
      <c r="W35" s="278">
        <f t="shared" si="31"/>
        <v>0</v>
      </c>
      <c r="X35" s="278">
        <f t="shared" si="32"/>
        <v>0</v>
      </c>
      <c r="Y35" s="278">
        <f t="shared" si="33"/>
        <v>0</v>
      </c>
      <c r="Z35" s="278">
        <f t="shared" si="34"/>
        <v>0</v>
      </c>
      <c r="AB35" s="268">
        <v>10</v>
      </c>
      <c r="AD35" s="278">
        <f ca="1">IF(SUM($AD$3:AD$3)&lt;=$AB35,SUM($T35:T35),SUM(OFFSET(T35,0,0,1,-$AB35)))/$AB35</f>
        <v>500</v>
      </c>
      <c r="AE35" s="278">
        <f ca="1">IF(SUM($AD$3:AE$3)&lt;=$AB35,SUM($T35:U35),SUM(OFFSET(U35,0,0,1,-$AB35)))/$AB35</f>
        <v>500</v>
      </c>
      <c r="AF35" s="278">
        <f ca="1">IF(SUM($AD$3:AF$3)&lt;=$AB35,SUM($T35:V35),SUM(OFFSET(V35,0,0,1,-$AB35)))/$AB35</f>
        <v>500</v>
      </c>
      <c r="AG35" s="278">
        <f ca="1">IF(SUM($AD$3:AG$3)&lt;=$AB35,SUM($T35:W35),SUM(OFFSET(W35,0,0,1,-$AB35)))/$AB35</f>
        <v>500</v>
      </c>
      <c r="AH35" s="278">
        <f ca="1">IF(SUM($AD$3:AH$3)&lt;=$AB35,SUM($T35:X35),SUM(OFFSET(X35,0,0,1,-$AB35)))/$AB35</f>
        <v>500</v>
      </c>
      <c r="AI35" s="278">
        <f ca="1">IF(SUM($AD$3:AI$3)&lt;=$AB35,SUM($T35:Y35),SUM(OFFSET(Y35,0,0,1,-$AB35)))/$AB35</f>
        <v>500</v>
      </c>
      <c r="AJ35" s="278">
        <f ca="1">IF(SUM($AD$3:AJ$3)&lt;=$AB35,SUM($T35:Z35),SUM(OFFSET(Z35,0,0,1,-$AB35)))/$AB35</f>
        <v>500</v>
      </c>
    </row>
    <row r="36" spans="2:36" outlineLevel="1" x14ac:dyDescent="0.2">
      <c r="B36" s="196" t="s">
        <v>291</v>
      </c>
      <c r="C36" s="290" t="s">
        <v>201</v>
      </c>
      <c r="D36" s="290"/>
      <c r="E36" s="303">
        <v>2000</v>
      </c>
      <c r="F36" s="303"/>
      <c r="G36" s="303">
        <f t="shared" si="27"/>
        <v>2000</v>
      </c>
      <c r="I36" s="267" t="s">
        <v>492</v>
      </c>
      <c r="J36" s="267">
        <v>1</v>
      </c>
      <c r="L36" s="268">
        <v>1</v>
      </c>
      <c r="M36" s="268"/>
      <c r="N36" s="268"/>
      <c r="O36" s="268"/>
      <c r="P36" s="268"/>
      <c r="Q36" s="268"/>
      <c r="R36" s="268"/>
      <c r="T36" s="278">
        <f t="shared" si="28"/>
        <v>2000</v>
      </c>
      <c r="U36" s="278">
        <f t="shared" si="29"/>
        <v>0</v>
      </c>
      <c r="V36" s="278">
        <f t="shared" si="30"/>
        <v>0</v>
      </c>
      <c r="W36" s="278">
        <f t="shared" si="31"/>
        <v>0</v>
      </c>
      <c r="X36" s="278">
        <f t="shared" si="32"/>
        <v>0</v>
      </c>
      <c r="Y36" s="278">
        <f t="shared" si="33"/>
        <v>0</v>
      </c>
      <c r="Z36" s="278">
        <f t="shared" si="34"/>
        <v>0</v>
      </c>
      <c r="AB36" s="268">
        <v>10</v>
      </c>
      <c r="AD36" s="278">
        <f ca="1">IF(SUM($AD$3:AD$3)&lt;=$AB36,SUM($T36:T36),SUM(OFFSET(T36,0,0,1,-$AB36)))/$AB36</f>
        <v>200</v>
      </c>
      <c r="AE36" s="278">
        <f ca="1">IF(SUM($AD$3:AE$3)&lt;=$AB36,SUM($T36:U36),SUM(OFFSET(U36,0,0,1,-$AB36)))/$AB36</f>
        <v>200</v>
      </c>
      <c r="AF36" s="278">
        <f ca="1">IF(SUM($AD$3:AF$3)&lt;=$AB36,SUM($T36:V36),SUM(OFFSET(V36,0,0,1,-$AB36)))/$AB36</f>
        <v>200</v>
      </c>
      <c r="AG36" s="278">
        <f ca="1">IF(SUM($AD$3:AG$3)&lt;=$AB36,SUM($T36:W36),SUM(OFFSET(W36,0,0,1,-$AB36)))/$AB36</f>
        <v>200</v>
      </c>
      <c r="AH36" s="278">
        <f ca="1">IF(SUM($AD$3:AH$3)&lt;=$AB36,SUM($T36:X36),SUM(OFFSET(X36,0,0,1,-$AB36)))/$AB36</f>
        <v>200</v>
      </c>
      <c r="AI36" s="278">
        <f ca="1">IF(SUM($AD$3:AI$3)&lt;=$AB36,SUM($T36:Y36),SUM(OFFSET(Y36,0,0,1,-$AB36)))/$AB36</f>
        <v>200</v>
      </c>
      <c r="AJ36" s="278">
        <f ca="1">IF(SUM($AD$3:AJ$3)&lt;=$AB36,SUM($T36:Z36),SUM(OFFSET(Z36,0,0,1,-$AB36)))/$AB36</f>
        <v>200</v>
      </c>
    </row>
    <row r="37" spans="2:36" outlineLevel="1" x14ac:dyDescent="0.2">
      <c r="B37" s="196" t="s">
        <v>287</v>
      </c>
      <c r="C37" s="290" t="s">
        <v>131</v>
      </c>
      <c r="D37" s="294" t="s">
        <v>132</v>
      </c>
      <c r="E37" s="303">
        <v>1600</v>
      </c>
      <c r="F37" s="303"/>
      <c r="G37" s="303">
        <f t="shared" si="27"/>
        <v>1600</v>
      </c>
      <c r="I37" s="267">
        <v>1</v>
      </c>
      <c r="J37" s="267">
        <v>2</v>
      </c>
      <c r="L37" s="268">
        <v>1</v>
      </c>
      <c r="M37" s="268"/>
      <c r="N37" s="268"/>
      <c r="O37" s="268"/>
      <c r="P37" s="268"/>
      <c r="Q37" s="268"/>
      <c r="R37" s="268"/>
      <c r="T37" s="278">
        <f t="shared" si="28"/>
        <v>1600</v>
      </c>
      <c r="U37" s="278">
        <f t="shared" si="29"/>
        <v>0</v>
      </c>
      <c r="V37" s="278">
        <f t="shared" si="30"/>
        <v>0</v>
      </c>
      <c r="W37" s="278">
        <f t="shared" si="31"/>
        <v>0</v>
      </c>
      <c r="X37" s="278">
        <f t="shared" si="32"/>
        <v>0</v>
      </c>
      <c r="Y37" s="278">
        <f t="shared" si="33"/>
        <v>0</v>
      </c>
      <c r="Z37" s="278">
        <f t="shared" si="34"/>
        <v>0</v>
      </c>
      <c r="AB37" s="268">
        <v>10</v>
      </c>
      <c r="AD37" s="278">
        <f ca="1">IF(SUM($AD$3:AD$3)&lt;=$AB37,SUM($T37:T37),SUM(OFFSET(T37,0,0,1,-$AB37)))/$AB37</f>
        <v>160</v>
      </c>
      <c r="AE37" s="278">
        <f ca="1">IF(SUM($AD$3:AE$3)&lt;=$AB37,SUM($T37:U37),SUM(OFFSET(U37,0,0,1,-$AB37)))/$AB37</f>
        <v>160</v>
      </c>
      <c r="AF37" s="278">
        <f ca="1">IF(SUM($AD$3:AF$3)&lt;=$AB37,SUM($T37:V37),SUM(OFFSET(V37,0,0,1,-$AB37)))/$AB37</f>
        <v>160</v>
      </c>
      <c r="AG37" s="278">
        <f ca="1">IF(SUM($AD$3:AG$3)&lt;=$AB37,SUM($T37:W37),SUM(OFFSET(W37,0,0,1,-$AB37)))/$AB37</f>
        <v>160</v>
      </c>
      <c r="AH37" s="278">
        <f ca="1">IF(SUM($AD$3:AH$3)&lt;=$AB37,SUM($T37:X37),SUM(OFFSET(X37,0,0,1,-$AB37)))/$AB37</f>
        <v>160</v>
      </c>
      <c r="AI37" s="278">
        <f ca="1">IF(SUM($AD$3:AI$3)&lt;=$AB37,SUM($T37:Y37),SUM(OFFSET(Y37,0,0,1,-$AB37)))/$AB37</f>
        <v>160</v>
      </c>
      <c r="AJ37" s="278">
        <f ca="1">IF(SUM($AD$3:AJ$3)&lt;=$AB37,SUM($T37:Z37),SUM(OFFSET(Z37,0,0,1,-$AB37)))/$AB37</f>
        <v>160</v>
      </c>
    </row>
    <row r="38" spans="2:36" outlineLevel="1" x14ac:dyDescent="0.2">
      <c r="B38" s="196" t="s">
        <v>281</v>
      </c>
      <c r="C38" s="290" t="s">
        <v>196</v>
      </c>
      <c r="D38" s="290" t="s">
        <v>197</v>
      </c>
      <c r="E38" s="303">
        <v>1000</v>
      </c>
      <c r="F38" s="303">
        <v>50</v>
      </c>
      <c r="G38" s="303">
        <f t="shared" si="27"/>
        <v>1050</v>
      </c>
      <c r="I38" s="267">
        <v>1</v>
      </c>
      <c r="J38" s="267">
        <v>1</v>
      </c>
      <c r="L38" s="268">
        <v>1</v>
      </c>
      <c r="M38" s="268"/>
      <c r="N38" s="268"/>
      <c r="O38" s="268"/>
      <c r="P38" s="268"/>
      <c r="Q38" s="268"/>
      <c r="R38" s="268"/>
      <c r="T38" s="278">
        <f t="shared" si="28"/>
        <v>1050</v>
      </c>
      <c r="U38" s="278">
        <f t="shared" si="29"/>
        <v>0</v>
      </c>
      <c r="V38" s="278">
        <f t="shared" si="30"/>
        <v>0</v>
      </c>
      <c r="W38" s="278">
        <f t="shared" si="31"/>
        <v>0</v>
      </c>
      <c r="X38" s="278">
        <f t="shared" si="32"/>
        <v>0</v>
      </c>
      <c r="Y38" s="278">
        <f t="shared" si="33"/>
        <v>0</v>
      </c>
      <c r="Z38" s="278">
        <f t="shared" si="34"/>
        <v>0</v>
      </c>
      <c r="AB38" s="268">
        <v>10</v>
      </c>
      <c r="AD38" s="278">
        <f ca="1">IF(SUM($AD$3:AD$3)&lt;=$AB38,SUM($T38:T38),SUM(OFFSET(T38,0,0,1,-$AB38)))/$AB38</f>
        <v>105</v>
      </c>
      <c r="AE38" s="278">
        <f ca="1">IF(SUM($AD$3:AE$3)&lt;=$AB38,SUM($T38:U38),SUM(OFFSET(U38,0,0,1,-$AB38)))/$AB38</f>
        <v>105</v>
      </c>
      <c r="AF38" s="278">
        <f ca="1">IF(SUM($AD$3:AF$3)&lt;=$AB38,SUM($T38:V38),SUM(OFFSET(V38,0,0,1,-$AB38)))/$AB38</f>
        <v>105</v>
      </c>
      <c r="AG38" s="278">
        <f ca="1">IF(SUM($AD$3:AG$3)&lt;=$AB38,SUM($T38:W38),SUM(OFFSET(W38,0,0,1,-$AB38)))/$AB38</f>
        <v>105</v>
      </c>
      <c r="AH38" s="278">
        <f ca="1">IF(SUM($AD$3:AH$3)&lt;=$AB38,SUM($T38:X38),SUM(OFFSET(X38,0,0,1,-$AB38)))/$AB38</f>
        <v>105</v>
      </c>
      <c r="AI38" s="278">
        <f ca="1">IF(SUM($AD$3:AI$3)&lt;=$AB38,SUM($T38:Y38),SUM(OFFSET(Y38,0,0,1,-$AB38)))/$AB38</f>
        <v>105</v>
      </c>
      <c r="AJ38" s="278">
        <f ca="1">IF(SUM($AD$3:AJ$3)&lt;=$AB38,SUM($T38:Z38),SUM(OFFSET(Z38,0,0,1,-$AB38)))/$AB38</f>
        <v>105</v>
      </c>
    </row>
    <row r="39" spans="2:36" outlineLevel="1" x14ac:dyDescent="0.2">
      <c r="B39" s="196" t="s">
        <v>284</v>
      </c>
      <c r="C39" s="290" t="s">
        <v>200</v>
      </c>
      <c r="D39" s="290"/>
      <c r="E39" s="303">
        <v>500</v>
      </c>
      <c r="F39" s="303"/>
      <c r="G39" s="303">
        <f t="shared" si="27"/>
        <v>500</v>
      </c>
      <c r="I39" s="267">
        <v>1</v>
      </c>
      <c r="J39" s="267">
        <v>1</v>
      </c>
      <c r="L39" s="268">
        <v>2</v>
      </c>
      <c r="M39" s="268"/>
      <c r="N39" s="268"/>
      <c r="O39" s="268"/>
      <c r="P39" s="268"/>
      <c r="Q39" s="268"/>
      <c r="R39" s="268"/>
      <c r="T39" s="278">
        <f t="shared" si="28"/>
        <v>1000</v>
      </c>
      <c r="U39" s="278">
        <f t="shared" si="29"/>
        <v>0</v>
      </c>
      <c r="V39" s="278">
        <f t="shared" si="30"/>
        <v>0</v>
      </c>
      <c r="W39" s="278">
        <f t="shared" si="31"/>
        <v>0</v>
      </c>
      <c r="X39" s="278">
        <f t="shared" si="32"/>
        <v>0</v>
      </c>
      <c r="Y39" s="278">
        <f t="shared" si="33"/>
        <v>0</v>
      </c>
      <c r="Z39" s="278">
        <f t="shared" si="34"/>
        <v>0</v>
      </c>
      <c r="AB39" s="268">
        <v>10</v>
      </c>
      <c r="AD39" s="278">
        <f ca="1">IF(SUM($AD$3:AD$3)&lt;=$AB39,SUM($T39:T39),SUM(OFFSET(T39,0,0,1,-$AB39)))/$AB39</f>
        <v>100</v>
      </c>
      <c r="AE39" s="278">
        <f ca="1">IF(SUM($AD$3:AE$3)&lt;=$AB39,SUM($T39:U39),SUM(OFFSET(U39,0,0,1,-$AB39)))/$AB39</f>
        <v>100</v>
      </c>
      <c r="AF39" s="278">
        <f ca="1">IF(SUM($AD$3:AF$3)&lt;=$AB39,SUM($T39:V39),SUM(OFFSET(V39,0,0,1,-$AB39)))/$AB39</f>
        <v>100</v>
      </c>
      <c r="AG39" s="278">
        <f ca="1">IF(SUM($AD$3:AG$3)&lt;=$AB39,SUM($T39:W39),SUM(OFFSET(W39,0,0,1,-$AB39)))/$AB39</f>
        <v>100</v>
      </c>
      <c r="AH39" s="278">
        <f ca="1">IF(SUM($AD$3:AH$3)&lt;=$AB39,SUM($T39:X39),SUM(OFFSET(X39,0,0,1,-$AB39)))/$AB39</f>
        <v>100</v>
      </c>
      <c r="AI39" s="278">
        <f ca="1">IF(SUM($AD$3:AI$3)&lt;=$AB39,SUM($T39:Y39),SUM(OFFSET(Y39,0,0,1,-$AB39)))/$AB39</f>
        <v>100</v>
      </c>
      <c r="AJ39" s="278">
        <f ca="1">IF(SUM($AD$3:AJ$3)&lt;=$AB39,SUM($T39:Z39),SUM(OFFSET(Z39,0,0,1,-$AB39)))/$AB39</f>
        <v>100</v>
      </c>
    </row>
    <row r="40" spans="2:36" outlineLevel="1" x14ac:dyDescent="0.2">
      <c r="B40" s="269" t="s">
        <v>275</v>
      </c>
      <c r="C40" s="291" t="s">
        <v>191</v>
      </c>
      <c r="D40" s="292" t="s">
        <v>192</v>
      </c>
      <c r="E40" s="304">
        <v>850</v>
      </c>
      <c r="F40" s="304">
        <v>42.5</v>
      </c>
      <c r="G40" s="303">
        <f t="shared" si="27"/>
        <v>892.5</v>
      </c>
      <c r="I40" s="270">
        <v>1</v>
      </c>
      <c r="J40" s="270">
        <v>1</v>
      </c>
      <c r="L40" s="271">
        <v>1</v>
      </c>
      <c r="M40" s="271"/>
      <c r="N40" s="271"/>
      <c r="O40" s="271"/>
      <c r="P40" s="271"/>
      <c r="Q40" s="271"/>
      <c r="R40" s="271"/>
      <c r="T40" s="278">
        <f t="shared" si="28"/>
        <v>892.5</v>
      </c>
      <c r="U40" s="278">
        <f t="shared" si="29"/>
        <v>0</v>
      </c>
      <c r="V40" s="278">
        <f t="shared" si="30"/>
        <v>0</v>
      </c>
      <c r="W40" s="278">
        <f t="shared" si="31"/>
        <v>0</v>
      </c>
      <c r="X40" s="278">
        <f t="shared" si="32"/>
        <v>0</v>
      </c>
      <c r="Y40" s="278">
        <f t="shared" si="33"/>
        <v>0</v>
      </c>
      <c r="Z40" s="278">
        <f t="shared" si="34"/>
        <v>0</v>
      </c>
      <c r="AB40" s="268">
        <v>10</v>
      </c>
      <c r="AD40" s="278">
        <f ca="1">IF(SUM($AD$3:AD$3)&lt;=$AB40,SUM($T40:T40),SUM(OFFSET(T40,0,0,1,-$AB40)))/$AB40</f>
        <v>89.25</v>
      </c>
      <c r="AE40" s="278">
        <f ca="1">IF(SUM($AD$3:AE$3)&lt;=$AB40,SUM($T40:U40),SUM(OFFSET(U40,0,0,1,-$AB40)))/$AB40</f>
        <v>89.25</v>
      </c>
      <c r="AF40" s="278">
        <f ca="1">IF(SUM($AD$3:AF$3)&lt;=$AB40,SUM($T40:V40),SUM(OFFSET(V40,0,0,1,-$AB40)))/$AB40</f>
        <v>89.25</v>
      </c>
      <c r="AG40" s="278">
        <f ca="1">IF(SUM($AD$3:AG$3)&lt;=$AB40,SUM($T40:W40),SUM(OFFSET(W40,0,0,1,-$AB40)))/$AB40</f>
        <v>89.25</v>
      </c>
      <c r="AH40" s="278">
        <f ca="1">IF(SUM($AD$3:AH$3)&lt;=$AB40,SUM($T40:X40),SUM(OFFSET(X40,0,0,1,-$AB40)))/$AB40</f>
        <v>89.25</v>
      </c>
      <c r="AI40" s="278">
        <f ca="1">IF(SUM($AD$3:AI$3)&lt;=$AB40,SUM($T40:Y40),SUM(OFFSET(Y40,0,0,1,-$AB40)))/$AB40</f>
        <v>89.25</v>
      </c>
      <c r="AJ40" s="278">
        <f ca="1">IF(SUM($AD$3:AJ$3)&lt;=$AB40,SUM($T40:Z40),SUM(OFFSET(Z40,0,0,1,-$AB40)))/$AB40</f>
        <v>89.25</v>
      </c>
    </row>
    <row r="41" spans="2:36" outlineLevel="1" x14ac:dyDescent="0.2">
      <c r="B41" s="196" t="s">
        <v>285</v>
      </c>
      <c r="C41" s="291" t="s">
        <v>139</v>
      </c>
      <c r="D41" s="293" t="s">
        <v>140</v>
      </c>
      <c r="E41" s="304">
        <v>750</v>
      </c>
      <c r="F41" s="304"/>
      <c r="G41" s="303">
        <f t="shared" si="27"/>
        <v>750</v>
      </c>
      <c r="I41" s="270">
        <v>1</v>
      </c>
      <c r="J41" s="270">
        <v>2</v>
      </c>
      <c r="L41" s="271">
        <v>1</v>
      </c>
      <c r="M41" s="271"/>
      <c r="N41" s="271"/>
      <c r="O41" s="271"/>
      <c r="P41" s="271"/>
      <c r="Q41" s="271"/>
      <c r="R41" s="271"/>
      <c r="T41" s="278">
        <f t="shared" si="28"/>
        <v>750</v>
      </c>
      <c r="U41" s="278">
        <f t="shared" si="29"/>
        <v>0</v>
      </c>
      <c r="V41" s="278">
        <f t="shared" si="30"/>
        <v>0</v>
      </c>
      <c r="W41" s="278">
        <f t="shared" si="31"/>
        <v>0</v>
      </c>
      <c r="X41" s="278">
        <f t="shared" si="32"/>
        <v>0</v>
      </c>
      <c r="Y41" s="278">
        <f t="shared" si="33"/>
        <v>0</v>
      </c>
      <c r="Z41" s="278">
        <f t="shared" si="34"/>
        <v>0</v>
      </c>
      <c r="AB41" s="268">
        <v>10</v>
      </c>
      <c r="AD41" s="278">
        <f ca="1">IF(SUM($AD$3:AD$3)&lt;=$AB41,SUM($T41:T41),SUM(OFFSET(T41,0,0,1,-$AB41)))/$AB41</f>
        <v>75</v>
      </c>
      <c r="AE41" s="278">
        <f ca="1">IF(SUM($AD$3:AE$3)&lt;=$AB41,SUM($T41:U41),SUM(OFFSET(U41,0,0,1,-$AB41)))/$AB41</f>
        <v>75</v>
      </c>
      <c r="AF41" s="278">
        <f ca="1">IF(SUM($AD$3:AF$3)&lt;=$AB41,SUM($T41:V41),SUM(OFFSET(V41,0,0,1,-$AB41)))/$AB41</f>
        <v>75</v>
      </c>
      <c r="AG41" s="278">
        <f ca="1">IF(SUM($AD$3:AG$3)&lt;=$AB41,SUM($T41:W41),SUM(OFFSET(W41,0,0,1,-$AB41)))/$AB41</f>
        <v>75</v>
      </c>
      <c r="AH41" s="278">
        <f ca="1">IF(SUM($AD$3:AH$3)&lt;=$AB41,SUM($T41:X41),SUM(OFFSET(X41,0,0,1,-$AB41)))/$AB41</f>
        <v>75</v>
      </c>
      <c r="AI41" s="278">
        <f ca="1">IF(SUM($AD$3:AI$3)&lt;=$AB41,SUM($T41:Y41),SUM(OFFSET(Y41,0,0,1,-$AB41)))/$AB41</f>
        <v>75</v>
      </c>
      <c r="AJ41" s="278">
        <f ca="1">IF(SUM($AD$3:AJ$3)&lt;=$AB41,SUM($T41:Z41),SUM(OFFSET(Z41,0,0,1,-$AB41)))/$AB41</f>
        <v>75</v>
      </c>
    </row>
    <row r="42" spans="2:36" outlineLevel="1" x14ac:dyDescent="0.2">
      <c r="B42" s="269" t="s">
        <v>288</v>
      </c>
      <c r="C42" s="291" t="s">
        <v>137</v>
      </c>
      <c r="D42" s="293" t="s">
        <v>138</v>
      </c>
      <c r="E42" s="304">
        <v>325</v>
      </c>
      <c r="F42" s="304"/>
      <c r="G42" s="303">
        <f t="shared" si="27"/>
        <v>325</v>
      </c>
      <c r="I42" s="270">
        <v>1</v>
      </c>
      <c r="J42" s="270">
        <v>2</v>
      </c>
      <c r="L42" s="271">
        <v>2</v>
      </c>
      <c r="M42" s="271"/>
      <c r="N42" s="271"/>
      <c r="O42" s="271"/>
      <c r="P42" s="271"/>
      <c r="Q42" s="271"/>
      <c r="R42" s="271"/>
      <c r="T42" s="278">
        <f t="shared" si="28"/>
        <v>650</v>
      </c>
      <c r="U42" s="278">
        <f t="shared" si="29"/>
        <v>0</v>
      </c>
      <c r="V42" s="278">
        <f t="shared" si="30"/>
        <v>0</v>
      </c>
      <c r="W42" s="278">
        <f t="shared" si="31"/>
        <v>0</v>
      </c>
      <c r="X42" s="278">
        <f t="shared" si="32"/>
        <v>0</v>
      </c>
      <c r="Y42" s="278">
        <f t="shared" si="33"/>
        <v>0</v>
      </c>
      <c r="Z42" s="278">
        <f t="shared" si="34"/>
        <v>0</v>
      </c>
      <c r="AB42" s="268">
        <v>10</v>
      </c>
      <c r="AD42" s="278">
        <f ca="1">IF(SUM($AD$3:AD$3)&lt;=$AB42,SUM($T42:T42),SUM(OFFSET(T42,0,0,1,-$AB42)))/$AB42</f>
        <v>65</v>
      </c>
      <c r="AE42" s="278">
        <f ca="1">IF(SUM($AD$3:AE$3)&lt;=$AB42,SUM($T42:U42),SUM(OFFSET(U42,0,0,1,-$AB42)))/$AB42</f>
        <v>65</v>
      </c>
      <c r="AF42" s="278">
        <f ca="1">IF(SUM($AD$3:AF$3)&lt;=$AB42,SUM($T42:V42),SUM(OFFSET(V42,0,0,1,-$AB42)))/$AB42</f>
        <v>65</v>
      </c>
      <c r="AG42" s="278">
        <f ca="1">IF(SUM($AD$3:AG$3)&lt;=$AB42,SUM($T42:W42),SUM(OFFSET(W42,0,0,1,-$AB42)))/$AB42</f>
        <v>65</v>
      </c>
      <c r="AH42" s="278">
        <f ca="1">IF(SUM($AD$3:AH$3)&lt;=$AB42,SUM($T42:X42),SUM(OFFSET(X42,0,0,1,-$AB42)))/$AB42</f>
        <v>65</v>
      </c>
      <c r="AI42" s="278">
        <f ca="1">IF(SUM($AD$3:AI$3)&lt;=$AB42,SUM($T42:Y42),SUM(OFFSET(Y42,0,0,1,-$AB42)))/$AB42</f>
        <v>65</v>
      </c>
      <c r="AJ42" s="278">
        <f ca="1">IF(SUM($AD$3:AJ$3)&lt;=$AB42,SUM($T42:Z42),SUM(OFFSET(Z42,0,0,1,-$AB42)))/$AB42</f>
        <v>65</v>
      </c>
    </row>
    <row r="43" spans="2:36" outlineLevel="1" x14ac:dyDescent="0.2">
      <c r="B43" s="269" t="s">
        <v>283</v>
      </c>
      <c r="C43" s="291" t="s">
        <v>199</v>
      </c>
      <c r="D43" s="292"/>
      <c r="E43" s="304">
        <v>269</v>
      </c>
      <c r="F43" s="304"/>
      <c r="G43" s="303">
        <f t="shared" si="27"/>
        <v>269</v>
      </c>
      <c r="I43" s="270">
        <v>1</v>
      </c>
      <c r="J43" s="270">
        <v>1</v>
      </c>
      <c r="L43" s="271">
        <v>2</v>
      </c>
      <c r="M43" s="271"/>
      <c r="N43" s="271"/>
      <c r="O43" s="271"/>
      <c r="P43" s="271"/>
      <c r="Q43" s="271"/>
      <c r="R43" s="271"/>
      <c r="T43" s="278">
        <f t="shared" si="28"/>
        <v>538</v>
      </c>
      <c r="U43" s="278">
        <f t="shared" si="29"/>
        <v>0</v>
      </c>
      <c r="V43" s="278">
        <f t="shared" si="30"/>
        <v>0</v>
      </c>
      <c r="W43" s="278">
        <f t="shared" si="31"/>
        <v>0</v>
      </c>
      <c r="X43" s="278">
        <f t="shared" si="32"/>
        <v>0</v>
      </c>
      <c r="Y43" s="278">
        <f t="shared" si="33"/>
        <v>0</v>
      </c>
      <c r="Z43" s="278">
        <f t="shared" si="34"/>
        <v>0</v>
      </c>
      <c r="AB43" s="268">
        <v>10</v>
      </c>
      <c r="AD43" s="278">
        <f ca="1">IF(SUM($AD$3:AD$3)&lt;=$AB43,SUM($T43:T43),SUM(OFFSET(T43,0,0,1,-$AB43)))/$AB43</f>
        <v>53.8</v>
      </c>
      <c r="AE43" s="278">
        <f ca="1">IF(SUM($AD$3:AE$3)&lt;=$AB43,SUM($T43:U43),SUM(OFFSET(U43,0,0,1,-$AB43)))/$AB43</f>
        <v>53.8</v>
      </c>
      <c r="AF43" s="278">
        <f ca="1">IF(SUM($AD$3:AF$3)&lt;=$AB43,SUM($T43:V43),SUM(OFFSET(V43,0,0,1,-$AB43)))/$AB43</f>
        <v>53.8</v>
      </c>
      <c r="AG43" s="278">
        <f ca="1">IF(SUM($AD$3:AG$3)&lt;=$AB43,SUM($T43:W43),SUM(OFFSET(W43,0,0,1,-$AB43)))/$AB43</f>
        <v>53.8</v>
      </c>
      <c r="AH43" s="278">
        <f ca="1">IF(SUM($AD$3:AH$3)&lt;=$AB43,SUM($T43:X43),SUM(OFFSET(X43,0,0,1,-$AB43)))/$AB43</f>
        <v>53.8</v>
      </c>
      <c r="AI43" s="278">
        <f ca="1">IF(SUM($AD$3:AI$3)&lt;=$AB43,SUM($T43:Y43),SUM(OFFSET(Y43,0,0,1,-$AB43)))/$AB43</f>
        <v>53.8</v>
      </c>
      <c r="AJ43" s="278">
        <f ca="1">IF(SUM($AD$3:AJ$3)&lt;=$AB43,SUM($T43:Z43),SUM(OFFSET(Z43,0,0,1,-$AB43)))/$AB43</f>
        <v>53.8</v>
      </c>
    </row>
    <row r="44" spans="2:36" outlineLevel="1" x14ac:dyDescent="0.2">
      <c r="B44" s="269" t="s">
        <v>286</v>
      </c>
      <c r="C44" s="291" t="s">
        <v>135</v>
      </c>
      <c r="D44" s="293" t="s">
        <v>136</v>
      </c>
      <c r="E44" s="304">
        <v>30</v>
      </c>
      <c r="F44" s="304"/>
      <c r="G44" s="303">
        <f t="shared" si="27"/>
        <v>30</v>
      </c>
      <c r="I44" s="270">
        <v>3</v>
      </c>
      <c r="J44" s="270">
        <v>2</v>
      </c>
      <c r="L44" s="271">
        <v>6</v>
      </c>
      <c r="M44" s="271"/>
      <c r="N44" s="271"/>
      <c r="O44" s="271">
        <v>6</v>
      </c>
      <c r="P44" s="271"/>
      <c r="Q44" s="271"/>
      <c r="R44" s="271"/>
      <c r="T44" s="278">
        <f t="shared" si="28"/>
        <v>180</v>
      </c>
      <c r="U44" s="278">
        <f t="shared" si="29"/>
        <v>0</v>
      </c>
      <c r="V44" s="278">
        <f t="shared" si="30"/>
        <v>0</v>
      </c>
      <c r="W44" s="278">
        <f t="shared" si="31"/>
        <v>180</v>
      </c>
      <c r="X44" s="278">
        <f t="shared" si="32"/>
        <v>0</v>
      </c>
      <c r="Y44" s="278">
        <f t="shared" si="33"/>
        <v>0</v>
      </c>
      <c r="Z44" s="278">
        <f t="shared" si="34"/>
        <v>0</v>
      </c>
      <c r="AB44" s="268">
        <v>3</v>
      </c>
      <c r="AD44" s="278">
        <f ca="1">IF(SUM($AD$3:AD$3)&lt;=$AB44,SUM($T44:T44),SUM(OFFSET(T44,0,0,1,-$AB44)))/$AB44</f>
        <v>60</v>
      </c>
      <c r="AE44" s="278">
        <f ca="1">IF(SUM($AD$3:AE$3)&lt;=$AB44,SUM($T44:U44),SUM(OFFSET(U44,0,0,1,-$AB44)))/$AB44</f>
        <v>60</v>
      </c>
      <c r="AF44" s="278">
        <f ca="1">IF(SUM($AD$3:AF$3)&lt;=$AB44,SUM($T44:V44),SUM(OFFSET(V44,0,0,1,-$AB44)))/$AB44</f>
        <v>60</v>
      </c>
      <c r="AG44" s="278">
        <f ca="1">IF(SUM($AD$3:AG$3)&lt;=$AB44,SUM($T44:W44),SUM(OFFSET(W44,0,0,1,-$AB44)))/$AB44</f>
        <v>60</v>
      </c>
      <c r="AH44" s="278">
        <f ca="1">IF(SUM($AD$3:AH$3)&lt;=$AB44,SUM($T44:X44),SUM(OFFSET(X44,0,0,1,-$AB44)))/$AB44</f>
        <v>60</v>
      </c>
      <c r="AI44" s="278">
        <f ca="1">IF(SUM($AD$3:AI$3)&lt;=$AB44,SUM($T44:Y44),SUM(OFFSET(Y44,0,0,1,-$AB44)))/$AB44</f>
        <v>60</v>
      </c>
      <c r="AJ44" s="278">
        <f ca="1">IF(SUM($AD$3:AJ$3)&lt;=$AB44,SUM($T44:Z44),SUM(OFFSET(Z44,0,0,1,-$AB44)))/$AB44</f>
        <v>0</v>
      </c>
    </row>
    <row r="45" spans="2:36" outlineLevel="1" x14ac:dyDescent="0.2">
      <c r="B45" s="197" t="s">
        <v>280</v>
      </c>
      <c r="C45" s="298" t="s">
        <v>141</v>
      </c>
      <c r="D45" s="309" t="s">
        <v>274</v>
      </c>
      <c r="E45" s="305">
        <v>2</v>
      </c>
      <c r="F45" s="305"/>
      <c r="G45" s="305">
        <f t="shared" si="27"/>
        <v>2</v>
      </c>
      <c r="I45" s="275">
        <v>30</v>
      </c>
      <c r="J45" s="275">
        <v>2</v>
      </c>
      <c r="L45" s="276">
        <v>60</v>
      </c>
      <c r="M45" s="276"/>
      <c r="N45" s="276"/>
      <c r="O45" s="276">
        <v>60</v>
      </c>
      <c r="P45" s="276"/>
      <c r="Q45" s="276"/>
      <c r="R45" s="276"/>
      <c r="T45" s="278">
        <f t="shared" si="28"/>
        <v>120</v>
      </c>
      <c r="U45" s="278">
        <f t="shared" si="29"/>
        <v>0</v>
      </c>
      <c r="V45" s="278">
        <f t="shared" si="30"/>
        <v>0</v>
      </c>
      <c r="W45" s="278">
        <f t="shared" si="31"/>
        <v>120</v>
      </c>
      <c r="X45" s="278">
        <f t="shared" si="32"/>
        <v>0</v>
      </c>
      <c r="Y45" s="278">
        <f t="shared" si="33"/>
        <v>0</v>
      </c>
      <c r="Z45" s="278">
        <f t="shared" si="34"/>
        <v>0</v>
      </c>
      <c r="AB45" s="268">
        <v>3</v>
      </c>
      <c r="AD45" s="278">
        <f ca="1">IF(SUM($AD$3:AD$3)&lt;=$AB45,SUM($T45:T45),SUM(OFFSET(T45,0,0,1,-$AB45)))/$AB45</f>
        <v>40</v>
      </c>
      <c r="AE45" s="278">
        <f ca="1">IF(SUM($AD$3:AE$3)&lt;=$AB45,SUM($T45:U45),SUM(OFFSET(U45,0,0,1,-$AB45)))/$AB45</f>
        <v>40</v>
      </c>
      <c r="AF45" s="278">
        <f ca="1">IF(SUM($AD$3:AF$3)&lt;=$AB45,SUM($T45:V45),SUM(OFFSET(V45,0,0,1,-$AB45)))/$AB45</f>
        <v>40</v>
      </c>
      <c r="AG45" s="278">
        <f ca="1">IF(SUM($AD$3:AG$3)&lt;=$AB45,SUM($T45:W45),SUM(OFFSET(W45,0,0,1,-$AB45)))/$AB45</f>
        <v>40</v>
      </c>
      <c r="AH45" s="278">
        <f ca="1">IF(SUM($AD$3:AH$3)&lt;=$AB45,SUM($T45:X45),SUM(OFFSET(X45,0,0,1,-$AB45)))/$AB45</f>
        <v>40</v>
      </c>
      <c r="AI45" s="278">
        <f ca="1">IF(SUM($AD$3:AI$3)&lt;=$AB45,SUM($T45:Y45),SUM(OFFSET(Y45,0,0,1,-$AB45)))/$AB45</f>
        <v>40</v>
      </c>
      <c r="AJ45" s="278">
        <f ca="1">IF(SUM($AD$3:AJ$3)&lt;=$AB45,SUM($T45:Z45),SUM(OFFSET(Z45,0,0,1,-$AB45)))/$AB45</f>
        <v>0</v>
      </c>
    </row>
    <row r="46" spans="2:36" x14ac:dyDescent="0.2">
      <c r="B46" s="272" t="s">
        <v>292</v>
      </c>
      <c r="C46" s="295" t="s">
        <v>202</v>
      </c>
      <c r="D46" s="296"/>
      <c r="E46" s="306"/>
      <c r="F46" s="306"/>
      <c r="G46" s="306"/>
      <c r="I46" s="273"/>
      <c r="J46" s="273"/>
      <c r="L46" s="274"/>
      <c r="M46" s="274"/>
      <c r="N46" s="274"/>
      <c r="O46" s="274"/>
      <c r="P46" s="274"/>
      <c r="Q46" s="274"/>
      <c r="R46" s="274"/>
      <c r="T46" s="280">
        <f>SUM(T47:T51)</f>
        <v>75470</v>
      </c>
      <c r="U46" s="280">
        <f t="shared" ref="U46:Z46" si="35">SUM(U47:U51)</f>
        <v>0</v>
      </c>
      <c r="V46" s="280">
        <f t="shared" si="35"/>
        <v>0</v>
      </c>
      <c r="W46" s="280">
        <f t="shared" si="35"/>
        <v>0</v>
      </c>
      <c r="X46" s="280">
        <f t="shared" si="35"/>
        <v>0</v>
      </c>
      <c r="Y46" s="280">
        <f t="shared" si="35"/>
        <v>0</v>
      </c>
      <c r="Z46" s="280">
        <f t="shared" si="35"/>
        <v>0</v>
      </c>
      <c r="AB46" s="367"/>
      <c r="AD46" s="280">
        <f ca="1">SUM(AD47:AD51)</f>
        <v>7547</v>
      </c>
      <c r="AE46" s="280">
        <f t="shared" ref="AE46:AJ46" ca="1" si="36">SUM(AE47:AE51)</f>
        <v>7547</v>
      </c>
      <c r="AF46" s="280">
        <f t="shared" ca="1" si="36"/>
        <v>7547</v>
      </c>
      <c r="AG46" s="280">
        <f t="shared" ca="1" si="36"/>
        <v>7547</v>
      </c>
      <c r="AH46" s="280">
        <f t="shared" ca="1" si="36"/>
        <v>7547</v>
      </c>
      <c r="AI46" s="280">
        <f t="shared" ca="1" si="36"/>
        <v>7547</v>
      </c>
      <c r="AJ46" s="280">
        <f t="shared" ca="1" si="36"/>
        <v>7547</v>
      </c>
    </row>
    <row r="47" spans="2:36" outlineLevel="1" x14ac:dyDescent="0.2">
      <c r="B47" s="195" t="s">
        <v>295</v>
      </c>
      <c r="C47" s="289" t="s">
        <v>205</v>
      </c>
      <c r="D47" s="289" t="s">
        <v>342</v>
      </c>
      <c r="E47" s="302">
        <v>22500</v>
      </c>
      <c r="F47" s="302"/>
      <c r="G47" s="302">
        <f>E47+F47</f>
        <v>22500</v>
      </c>
      <c r="I47" s="265">
        <v>1</v>
      </c>
      <c r="J47" s="265">
        <v>1</v>
      </c>
      <c r="L47" s="266">
        <v>2</v>
      </c>
      <c r="M47" s="266"/>
      <c r="N47" s="266"/>
      <c r="O47" s="266"/>
      <c r="P47" s="266"/>
      <c r="Q47" s="266"/>
      <c r="R47" s="266"/>
      <c r="T47" s="277">
        <f t="shared" ref="T47:Z51" si="37">L47*$G47</f>
        <v>45000</v>
      </c>
      <c r="U47" s="277">
        <f t="shared" si="37"/>
        <v>0</v>
      </c>
      <c r="V47" s="277">
        <f t="shared" si="37"/>
        <v>0</v>
      </c>
      <c r="W47" s="277">
        <f t="shared" si="37"/>
        <v>0</v>
      </c>
      <c r="X47" s="277">
        <f t="shared" si="37"/>
        <v>0</v>
      </c>
      <c r="Y47" s="277">
        <f t="shared" si="37"/>
        <v>0</v>
      </c>
      <c r="Z47" s="277">
        <f t="shared" si="37"/>
        <v>0</v>
      </c>
      <c r="AB47" s="266">
        <v>10</v>
      </c>
      <c r="AD47" s="278">
        <f ca="1">IF(SUM($AD$3:AD$3)&lt;=$AB47,SUM($T47:T47),SUM(OFFSET(T47,0,0,1,-$AB47)))/$AB47</f>
        <v>4500</v>
      </c>
      <c r="AE47" s="278">
        <f ca="1">IF(SUM($AD$3:AE$3)&lt;=$AB47,SUM($T47:U47),SUM(OFFSET(U47,0,0,1,-$AB47)))/$AB47</f>
        <v>4500</v>
      </c>
      <c r="AF47" s="278">
        <f ca="1">IF(SUM($AD$3:AF$3)&lt;=$AB47,SUM($T47:V47),SUM(OFFSET(V47,0,0,1,-$AB47)))/$AB47</f>
        <v>4500</v>
      </c>
      <c r="AG47" s="278">
        <f ca="1">IF(SUM($AD$3:AG$3)&lt;=$AB47,SUM($T47:W47),SUM(OFFSET(W47,0,0,1,-$AB47)))/$AB47</f>
        <v>4500</v>
      </c>
      <c r="AH47" s="278">
        <f ca="1">IF(SUM($AD$3:AH$3)&lt;=$AB47,SUM($T47:X47),SUM(OFFSET(X47,0,0,1,-$AB47)))/$AB47</f>
        <v>4500</v>
      </c>
      <c r="AI47" s="278">
        <f ca="1">IF(SUM($AD$3:AI$3)&lt;=$AB47,SUM($T47:Y47),SUM(OFFSET(Y47,0,0,1,-$AB47)))/$AB47</f>
        <v>4500</v>
      </c>
      <c r="AJ47" s="278">
        <f ca="1">IF(SUM($AD$3:AJ$3)&lt;=$AB47,SUM($T47:Z47),SUM(OFFSET(Z47,0,0,1,-$AB47)))/$AB47</f>
        <v>4500</v>
      </c>
    </row>
    <row r="48" spans="2:36" outlineLevel="1" x14ac:dyDescent="0.2">
      <c r="B48" s="196" t="s">
        <v>297</v>
      </c>
      <c r="C48" s="290" t="s">
        <v>208</v>
      </c>
      <c r="D48" s="290"/>
      <c r="E48" s="303">
        <v>20000</v>
      </c>
      <c r="F48" s="303"/>
      <c r="G48" s="303">
        <f>E48+F48</f>
        <v>20000</v>
      </c>
      <c r="I48" s="267">
        <v>1</v>
      </c>
      <c r="J48" s="267">
        <v>1</v>
      </c>
      <c r="L48" s="268">
        <v>1</v>
      </c>
      <c r="M48" s="268"/>
      <c r="N48" s="268"/>
      <c r="O48" s="268"/>
      <c r="P48" s="268"/>
      <c r="Q48" s="268"/>
      <c r="R48" s="268"/>
      <c r="T48" s="278">
        <f t="shared" si="37"/>
        <v>20000</v>
      </c>
      <c r="U48" s="278">
        <f t="shared" si="37"/>
        <v>0</v>
      </c>
      <c r="V48" s="278">
        <f t="shared" si="37"/>
        <v>0</v>
      </c>
      <c r="W48" s="278">
        <f t="shared" si="37"/>
        <v>0</v>
      </c>
      <c r="X48" s="278">
        <f t="shared" si="37"/>
        <v>0</v>
      </c>
      <c r="Y48" s="278">
        <f t="shared" si="37"/>
        <v>0</v>
      </c>
      <c r="Z48" s="278">
        <f t="shared" si="37"/>
        <v>0</v>
      </c>
      <c r="AB48" s="268">
        <v>10</v>
      </c>
      <c r="AD48" s="278">
        <f ca="1">IF(SUM($AD$3:AD$3)&lt;=$AB48,SUM($T48:T48),SUM(OFFSET(T48,0,0,1,-$AB48)))/$AB48</f>
        <v>2000</v>
      </c>
      <c r="AE48" s="278">
        <f ca="1">IF(SUM($AD$3:AE$3)&lt;=$AB48,SUM($T48:U48),SUM(OFFSET(U48,0,0,1,-$AB48)))/$AB48</f>
        <v>2000</v>
      </c>
      <c r="AF48" s="278">
        <f ca="1">IF(SUM($AD$3:AF$3)&lt;=$AB48,SUM($T48:V48),SUM(OFFSET(V48,0,0,1,-$AB48)))/$AB48</f>
        <v>2000</v>
      </c>
      <c r="AG48" s="278">
        <f ca="1">IF(SUM($AD$3:AG$3)&lt;=$AB48,SUM($T48:W48),SUM(OFFSET(W48,0,0,1,-$AB48)))/$AB48</f>
        <v>2000</v>
      </c>
      <c r="AH48" s="278">
        <f ca="1">IF(SUM($AD$3:AH$3)&lt;=$AB48,SUM($T48:X48),SUM(OFFSET(X48,0,0,1,-$AB48)))/$AB48</f>
        <v>2000</v>
      </c>
      <c r="AI48" s="278">
        <f ca="1">IF(SUM($AD$3:AI$3)&lt;=$AB48,SUM($T48:Y48),SUM(OFFSET(Y48,0,0,1,-$AB48)))/$AB48</f>
        <v>2000</v>
      </c>
      <c r="AJ48" s="278">
        <f ca="1">IF(SUM($AD$3:AJ$3)&lt;=$AB48,SUM($T48:Z48),SUM(OFFSET(Z48,0,0,1,-$AB48)))/$AB48</f>
        <v>2000</v>
      </c>
    </row>
    <row r="49" spans="2:36" outlineLevel="1" x14ac:dyDescent="0.2">
      <c r="B49" s="196" t="s">
        <v>296</v>
      </c>
      <c r="C49" s="290" t="s">
        <v>206</v>
      </c>
      <c r="D49" s="290" t="s">
        <v>207</v>
      </c>
      <c r="E49" s="303">
        <v>4200</v>
      </c>
      <c r="F49" s="303"/>
      <c r="G49" s="303">
        <f>E49+F49</f>
        <v>4200</v>
      </c>
      <c r="I49" s="267">
        <v>1</v>
      </c>
      <c r="J49" s="267">
        <v>1</v>
      </c>
      <c r="L49" s="268">
        <v>2</v>
      </c>
      <c r="M49" s="268"/>
      <c r="N49" s="268"/>
      <c r="O49" s="268"/>
      <c r="P49" s="268"/>
      <c r="Q49" s="268"/>
      <c r="R49" s="268"/>
      <c r="T49" s="278">
        <f t="shared" si="37"/>
        <v>8400</v>
      </c>
      <c r="U49" s="278">
        <f t="shared" si="37"/>
        <v>0</v>
      </c>
      <c r="V49" s="278">
        <f t="shared" si="37"/>
        <v>0</v>
      </c>
      <c r="W49" s="278">
        <f t="shared" si="37"/>
        <v>0</v>
      </c>
      <c r="X49" s="278">
        <f t="shared" si="37"/>
        <v>0</v>
      </c>
      <c r="Y49" s="278">
        <f t="shared" si="37"/>
        <v>0</v>
      </c>
      <c r="Z49" s="278">
        <f t="shared" si="37"/>
        <v>0</v>
      </c>
      <c r="AB49" s="268">
        <v>10</v>
      </c>
      <c r="AD49" s="278">
        <f ca="1">IF(SUM($AD$3:AD$3)&lt;=$AB49,SUM($T49:T49),SUM(OFFSET(T49,0,0,1,-$AB49)))/$AB49</f>
        <v>840</v>
      </c>
      <c r="AE49" s="278">
        <f ca="1">IF(SUM($AD$3:AE$3)&lt;=$AB49,SUM($T49:U49),SUM(OFFSET(U49,0,0,1,-$AB49)))/$AB49</f>
        <v>840</v>
      </c>
      <c r="AF49" s="278">
        <f ca="1">IF(SUM($AD$3:AF$3)&lt;=$AB49,SUM($T49:V49),SUM(OFFSET(V49,0,0,1,-$AB49)))/$AB49</f>
        <v>840</v>
      </c>
      <c r="AG49" s="278">
        <f ca="1">IF(SUM($AD$3:AG$3)&lt;=$AB49,SUM($T49:W49),SUM(OFFSET(W49,0,0,1,-$AB49)))/$AB49</f>
        <v>840</v>
      </c>
      <c r="AH49" s="278">
        <f ca="1">IF(SUM($AD$3:AH$3)&lt;=$AB49,SUM($T49:X49),SUM(OFFSET(X49,0,0,1,-$AB49)))/$AB49</f>
        <v>840</v>
      </c>
      <c r="AI49" s="278">
        <f ca="1">IF(SUM($AD$3:AI$3)&lt;=$AB49,SUM($T49:Y49),SUM(OFFSET(Y49,0,0,1,-$AB49)))/$AB49</f>
        <v>840</v>
      </c>
      <c r="AJ49" s="278">
        <f ca="1">IF(SUM($AD$3:AJ$3)&lt;=$AB49,SUM($T49:Z49),SUM(OFFSET(Z49,0,0,1,-$AB49)))/$AB49</f>
        <v>840</v>
      </c>
    </row>
    <row r="50" spans="2:36" outlineLevel="1" x14ac:dyDescent="0.2">
      <c r="B50" s="196" t="s">
        <v>293</v>
      </c>
      <c r="C50" s="290" t="s">
        <v>203</v>
      </c>
      <c r="D50" s="294" t="s">
        <v>117</v>
      </c>
      <c r="E50" s="303">
        <v>650</v>
      </c>
      <c r="F50" s="303"/>
      <c r="G50" s="303">
        <f>E50+F50</f>
        <v>650</v>
      </c>
      <c r="I50" s="267">
        <v>2</v>
      </c>
      <c r="J50" s="267">
        <v>1</v>
      </c>
      <c r="L50" s="268">
        <v>3</v>
      </c>
      <c r="M50" s="268"/>
      <c r="N50" s="268"/>
      <c r="O50" s="268"/>
      <c r="P50" s="268"/>
      <c r="Q50" s="268"/>
      <c r="R50" s="268"/>
      <c r="T50" s="278">
        <f t="shared" si="37"/>
        <v>1950</v>
      </c>
      <c r="U50" s="278">
        <f t="shared" si="37"/>
        <v>0</v>
      </c>
      <c r="V50" s="278">
        <f t="shared" si="37"/>
        <v>0</v>
      </c>
      <c r="W50" s="278">
        <f t="shared" si="37"/>
        <v>0</v>
      </c>
      <c r="X50" s="278">
        <f t="shared" si="37"/>
        <v>0</v>
      </c>
      <c r="Y50" s="278">
        <f t="shared" si="37"/>
        <v>0</v>
      </c>
      <c r="Z50" s="278">
        <f t="shared" si="37"/>
        <v>0</v>
      </c>
      <c r="AB50" s="268">
        <v>10</v>
      </c>
      <c r="AD50" s="278">
        <f ca="1">IF(SUM($AD$3:AD$3)&lt;=$AB50,SUM($T50:T50),SUM(OFFSET(T50,0,0,1,-$AB50)))/$AB50</f>
        <v>195</v>
      </c>
      <c r="AE50" s="278">
        <f ca="1">IF(SUM($AD$3:AE$3)&lt;=$AB50,SUM($T50:U50),SUM(OFFSET(U50,0,0,1,-$AB50)))/$AB50</f>
        <v>195</v>
      </c>
      <c r="AF50" s="278">
        <f ca="1">IF(SUM($AD$3:AF$3)&lt;=$AB50,SUM($T50:V50),SUM(OFFSET(V50,0,0,1,-$AB50)))/$AB50</f>
        <v>195</v>
      </c>
      <c r="AG50" s="278">
        <f ca="1">IF(SUM($AD$3:AG$3)&lt;=$AB50,SUM($T50:W50),SUM(OFFSET(W50,0,0,1,-$AB50)))/$AB50</f>
        <v>195</v>
      </c>
      <c r="AH50" s="278">
        <f ca="1">IF(SUM($AD$3:AH$3)&lt;=$AB50,SUM($T50:X50),SUM(OFFSET(X50,0,0,1,-$AB50)))/$AB50</f>
        <v>195</v>
      </c>
      <c r="AI50" s="278">
        <f ca="1">IF(SUM($AD$3:AI$3)&lt;=$AB50,SUM($T50:Y50),SUM(OFFSET(Y50,0,0,1,-$AB50)))/$AB50</f>
        <v>195</v>
      </c>
      <c r="AJ50" s="278">
        <f ca="1">IF(SUM($AD$3:AJ$3)&lt;=$AB50,SUM($T50:Z50),SUM(OFFSET(Z50,0,0,1,-$AB50)))/$AB50</f>
        <v>195</v>
      </c>
    </row>
    <row r="51" spans="2:36" outlineLevel="1" x14ac:dyDescent="0.2">
      <c r="B51" s="197" t="s">
        <v>294</v>
      </c>
      <c r="C51" s="298" t="s">
        <v>204</v>
      </c>
      <c r="D51" s="298"/>
      <c r="E51" s="305">
        <v>20</v>
      </c>
      <c r="F51" s="305"/>
      <c r="G51" s="305">
        <f>E51+F51</f>
        <v>20</v>
      </c>
      <c r="I51" s="275">
        <v>3</v>
      </c>
      <c r="J51" s="275">
        <v>1</v>
      </c>
      <c r="L51" s="276">
        <v>6</v>
      </c>
      <c r="M51" s="276"/>
      <c r="N51" s="276"/>
      <c r="O51" s="276"/>
      <c r="P51" s="276"/>
      <c r="Q51" s="276"/>
      <c r="R51" s="276"/>
      <c r="T51" s="278">
        <f t="shared" si="37"/>
        <v>120</v>
      </c>
      <c r="U51" s="278">
        <f t="shared" si="37"/>
        <v>0</v>
      </c>
      <c r="V51" s="278">
        <f t="shared" si="37"/>
        <v>0</v>
      </c>
      <c r="W51" s="278">
        <f t="shared" si="37"/>
        <v>0</v>
      </c>
      <c r="X51" s="278">
        <f t="shared" si="37"/>
        <v>0</v>
      </c>
      <c r="Y51" s="278">
        <f t="shared" si="37"/>
        <v>0</v>
      </c>
      <c r="Z51" s="278">
        <f t="shared" si="37"/>
        <v>0</v>
      </c>
      <c r="AB51" s="268">
        <v>10</v>
      </c>
      <c r="AD51" s="278">
        <f ca="1">IF(SUM($AD$3:AD$3)&lt;=$AB51,SUM($T51:T51),SUM(OFFSET(T51,0,0,1,-$AB51)))/$AB51</f>
        <v>12</v>
      </c>
      <c r="AE51" s="278">
        <f ca="1">IF(SUM($AD$3:AE$3)&lt;=$AB51,SUM($T51:U51),SUM(OFFSET(U51,0,0,1,-$AB51)))/$AB51</f>
        <v>12</v>
      </c>
      <c r="AF51" s="278">
        <f ca="1">IF(SUM($AD$3:AF$3)&lt;=$AB51,SUM($T51:V51),SUM(OFFSET(V51,0,0,1,-$AB51)))/$AB51</f>
        <v>12</v>
      </c>
      <c r="AG51" s="278">
        <f ca="1">IF(SUM($AD$3:AG$3)&lt;=$AB51,SUM($T51:W51),SUM(OFFSET(W51,0,0,1,-$AB51)))/$AB51</f>
        <v>12</v>
      </c>
      <c r="AH51" s="278">
        <f ca="1">IF(SUM($AD$3:AH$3)&lt;=$AB51,SUM($T51:X51),SUM(OFFSET(X51,0,0,1,-$AB51)))/$AB51</f>
        <v>12</v>
      </c>
      <c r="AI51" s="278">
        <f ca="1">IF(SUM($AD$3:AI$3)&lt;=$AB51,SUM($T51:Y51),SUM(OFFSET(Y51,0,0,1,-$AB51)))/$AB51</f>
        <v>12</v>
      </c>
      <c r="AJ51" s="278">
        <f ca="1">IF(SUM($AD$3:AJ$3)&lt;=$AB51,SUM($T51:Z51),SUM(OFFSET(Z51,0,0,1,-$AB51)))/$AB51</f>
        <v>12</v>
      </c>
    </row>
    <row r="52" spans="2:36" x14ac:dyDescent="0.2">
      <c r="B52" s="272" t="s">
        <v>298</v>
      </c>
      <c r="C52" s="295" t="s">
        <v>209</v>
      </c>
      <c r="D52" s="296"/>
      <c r="E52" s="306"/>
      <c r="F52" s="306"/>
      <c r="G52" s="306"/>
      <c r="I52" s="273"/>
      <c r="J52" s="273"/>
      <c r="L52" s="274"/>
      <c r="M52" s="274"/>
      <c r="N52" s="274"/>
      <c r="O52" s="274"/>
      <c r="P52" s="274"/>
      <c r="Q52" s="274"/>
      <c r="R52" s="274"/>
      <c r="T52" s="280">
        <f t="shared" ref="T52:Z52" si="38">SUM(T53:T57)</f>
        <v>310850</v>
      </c>
      <c r="U52" s="280">
        <f t="shared" si="38"/>
        <v>0</v>
      </c>
      <c r="V52" s="280">
        <f t="shared" si="38"/>
        <v>0</v>
      </c>
      <c r="W52" s="280">
        <f t="shared" si="38"/>
        <v>0</v>
      </c>
      <c r="X52" s="280">
        <f t="shared" si="38"/>
        <v>0</v>
      </c>
      <c r="Y52" s="280">
        <f t="shared" si="38"/>
        <v>0</v>
      </c>
      <c r="Z52" s="280">
        <f t="shared" si="38"/>
        <v>0</v>
      </c>
      <c r="AB52" s="367"/>
      <c r="AD52" s="280">
        <f t="shared" ref="AD52:AJ52" ca="1" si="39">SUM(AD53:AD57)</f>
        <v>31085</v>
      </c>
      <c r="AE52" s="280">
        <f t="shared" ca="1" si="39"/>
        <v>31085</v>
      </c>
      <c r="AF52" s="280">
        <f t="shared" ca="1" si="39"/>
        <v>31085</v>
      </c>
      <c r="AG52" s="280">
        <f t="shared" ca="1" si="39"/>
        <v>31085</v>
      </c>
      <c r="AH52" s="280">
        <f t="shared" ca="1" si="39"/>
        <v>31085</v>
      </c>
      <c r="AI52" s="280">
        <f t="shared" ca="1" si="39"/>
        <v>31085</v>
      </c>
      <c r="AJ52" s="280">
        <f t="shared" ca="1" si="39"/>
        <v>31085</v>
      </c>
    </row>
    <row r="53" spans="2:36" outlineLevel="1" x14ac:dyDescent="0.2">
      <c r="B53" s="196" t="s">
        <v>299</v>
      </c>
      <c r="C53" s="290" t="s">
        <v>210</v>
      </c>
      <c r="D53" s="290" t="s">
        <v>358</v>
      </c>
      <c r="E53" s="303">
        <v>260250</v>
      </c>
      <c r="F53" s="303"/>
      <c r="G53" s="303">
        <f t="shared" ref="G53:G57" si="40">E53+F53</f>
        <v>260250</v>
      </c>
      <c r="I53" s="267">
        <v>1</v>
      </c>
      <c r="J53" s="267">
        <v>1</v>
      </c>
      <c r="L53" s="268">
        <v>1</v>
      </c>
      <c r="M53" s="268"/>
      <c r="N53" s="268"/>
      <c r="O53" s="268"/>
      <c r="P53" s="268"/>
      <c r="Q53" s="268"/>
      <c r="R53" s="268"/>
      <c r="T53" s="278">
        <f t="shared" ref="T53:T57" si="41">L53*$G53</f>
        <v>260250</v>
      </c>
      <c r="U53" s="278">
        <f t="shared" ref="U53:U57" si="42">M53*$G53</f>
        <v>0</v>
      </c>
      <c r="V53" s="278">
        <f t="shared" ref="V53:V57" si="43">N53*$G53</f>
        <v>0</v>
      </c>
      <c r="W53" s="278">
        <f t="shared" ref="W53:W57" si="44">O53*$G53</f>
        <v>0</v>
      </c>
      <c r="X53" s="278">
        <f t="shared" ref="X53:X57" si="45">P53*$G53</f>
        <v>0</v>
      </c>
      <c r="Y53" s="278">
        <f t="shared" ref="Y53:Y57" si="46">Q53*$G53</f>
        <v>0</v>
      </c>
      <c r="Z53" s="278">
        <f t="shared" ref="Z53:Z57" si="47">R53*$G53</f>
        <v>0</v>
      </c>
      <c r="AB53" s="268">
        <v>10</v>
      </c>
      <c r="AD53" s="278">
        <f ca="1">IF(SUM($AD$3:AD$3)&lt;=$AB53,SUM($T53:T53),SUM(OFFSET(T53,0,0,1,-$AB53)))/$AB53</f>
        <v>26025</v>
      </c>
      <c r="AE53" s="278">
        <f ca="1">IF(SUM($AD$3:AE$3)&lt;=$AB53,SUM($T53:U53),SUM(OFFSET(U53,0,0,1,-$AB53)))/$AB53</f>
        <v>26025</v>
      </c>
      <c r="AF53" s="278">
        <f ca="1">IF(SUM($AD$3:AF$3)&lt;=$AB53,SUM($T53:V53),SUM(OFFSET(V53,0,0,1,-$AB53)))/$AB53</f>
        <v>26025</v>
      </c>
      <c r="AG53" s="278">
        <f ca="1">IF(SUM($AD$3:AG$3)&lt;=$AB53,SUM($T53:W53),SUM(OFFSET(W53,0,0,1,-$AB53)))/$AB53</f>
        <v>26025</v>
      </c>
      <c r="AH53" s="278">
        <f ca="1">IF(SUM($AD$3:AH$3)&lt;=$AB53,SUM($T53:X53),SUM(OFFSET(X53,0,0,1,-$AB53)))/$AB53</f>
        <v>26025</v>
      </c>
      <c r="AI53" s="278">
        <f ca="1">IF(SUM($AD$3:AI$3)&lt;=$AB53,SUM($T53:Y53),SUM(OFFSET(Y53,0,0,1,-$AB53)))/$AB53</f>
        <v>26025</v>
      </c>
      <c r="AJ53" s="278">
        <f ca="1">IF(SUM($AD$3:AJ$3)&lt;=$AB53,SUM($T53:Z53),SUM(OFFSET(Z53,0,0,1,-$AB53)))/$AB53</f>
        <v>26025</v>
      </c>
    </row>
    <row r="54" spans="2:36" outlineLevel="1" x14ac:dyDescent="0.2">
      <c r="B54" s="196" t="s">
        <v>300</v>
      </c>
      <c r="C54" s="290" t="s">
        <v>123</v>
      </c>
      <c r="D54" s="294" t="s">
        <v>124</v>
      </c>
      <c r="E54" s="303">
        <v>10000</v>
      </c>
      <c r="F54" s="303"/>
      <c r="G54" s="303">
        <f t="shared" si="40"/>
        <v>10000</v>
      </c>
      <c r="I54" s="267">
        <v>1</v>
      </c>
      <c r="J54" s="267">
        <v>2</v>
      </c>
      <c r="L54" s="268">
        <v>4</v>
      </c>
      <c r="M54" s="268"/>
      <c r="N54" s="268">
        <v>4</v>
      </c>
      <c r="O54" s="268"/>
      <c r="P54" s="268">
        <v>4</v>
      </c>
      <c r="Q54" s="268"/>
      <c r="R54" s="268"/>
      <c r="T54" s="278">
        <f t="shared" si="41"/>
        <v>40000</v>
      </c>
      <c r="U54" s="278">
        <f t="shared" si="42"/>
        <v>0</v>
      </c>
      <c r="V54" s="278">
        <v>0</v>
      </c>
      <c r="W54" s="278">
        <v>0</v>
      </c>
      <c r="X54" s="278">
        <v>0</v>
      </c>
      <c r="Y54" s="278">
        <f t="shared" si="46"/>
        <v>0</v>
      </c>
      <c r="Z54" s="278">
        <f t="shared" si="47"/>
        <v>0</v>
      </c>
      <c r="AB54" s="268">
        <v>10</v>
      </c>
      <c r="AD54" s="278">
        <f ca="1">IF(SUM($AD$3:AD$3)&lt;=$AB54,SUM($T54:T54),SUM(OFFSET(T54,0,0,1,-$AB54)))/$AB54</f>
        <v>4000</v>
      </c>
      <c r="AE54" s="278">
        <f ca="1">IF(SUM($AD$3:AE$3)&lt;=$AB54,SUM($T54:U54),SUM(OFFSET(U54,0,0,1,-$AB54)))/$AB54</f>
        <v>4000</v>
      </c>
      <c r="AF54" s="278">
        <f ca="1">IF(SUM($AD$3:AF$3)&lt;=$AB54,SUM($T54:V54),SUM(OFFSET(V54,0,0,1,-$AB54)))/$AB54</f>
        <v>4000</v>
      </c>
      <c r="AG54" s="278">
        <f ca="1">IF(SUM($AD$3:AG$3)&lt;=$AB54,SUM($T54:W54),SUM(OFFSET(W54,0,0,1,-$AB54)))/$AB54</f>
        <v>4000</v>
      </c>
      <c r="AH54" s="278">
        <f ca="1">IF(SUM($AD$3:AH$3)&lt;=$AB54,SUM($T54:X54),SUM(OFFSET(X54,0,0,1,-$AB54)))/$AB54</f>
        <v>4000</v>
      </c>
      <c r="AI54" s="278">
        <f ca="1">IF(SUM($AD$3:AI$3)&lt;=$AB54,SUM($T54:Y54),SUM(OFFSET(Y54,0,0,1,-$AB54)))/$AB54</f>
        <v>4000</v>
      </c>
      <c r="AJ54" s="278">
        <f ca="1">IF(SUM($AD$3:AJ$3)&lt;=$AB54,SUM($T54:Z54),SUM(OFFSET(Z54,0,0,1,-$AB54)))/$AB54</f>
        <v>4000</v>
      </c>
    </row>
    <row r="55" spans="2:36" outlineLevel="1" x14ac:dyDescent="0.2">
      <c r="B55" s="196" t="s">
        <v>301</v>
      </c>
      <c r="C55" s="290" t="s">
        <v>125</v>
      </c>
      <c r="D55" s="294"/>
      <c r="E55" s="303">
        <v>200</v>
      </c>
      <c r="F55" s="303"/>
      <c r="G55" s="303">
        <f t="shared" si="40"/>
        <v>200</v>
      </c>
      <c r="I55" s="267">
        <v>3</v>
      </c>
      <c r="J55" s="267">
        <v>2</v>
      </c>
      <c r="L55" s="268">
        <v>12</v>
      </c>
      <c r="M55" s="268"/>
      <c r="N55" s="268">
        <v>12</v>
      </c>
      <c r="O55" s="268"/>
      <c r="P55" s="268">
        <v>12</v>
      </c>
      <c r="Q55" s="268"/>
      <c r="R55" s="268"/>
      <c r="T55" s="278">
        <f t="shared" si="41"/>
        <v>2400</v>
      </c>
      <c r="U55" s="278">
        <f t="shared" si="42"/>
        <v>0</v>
      </c>
      <c r="V55" s="278">
        <v>0</v>
      </c>
      <c r="W55" s="278">
        <v>0</v>
      </c>
      <c r="X55" s="278">
        <v>0</v>
      </c>
      <c r="Y55" s="278">
        <f t="shared" si="46"/>
        <v>0</v>
      </c>
      <c r="Z55" s="278">
        <f t="shared" si="47"/>
        <v>0</v>
      </c>
      <c r="AB55" s="268">
        <v>10</v>
      </c>
      <c r="AD55" s="278">
        <f ca="1">IF(SUM($AD$3:AD$3)&lt;=$AB55,SUM($T55:T55),SUM(OFFSET(T55,0,0,1,-$AB55)))/$AB55</f>
        <v>240</v>
      </c>
      <c r="AE55" s="278">
        <f ca="1">IF(SUM($AD$3:AE$3)&lt;=$AB55,SUM($T55:U55),SUM(OFFSET(U55,0,0,1,-$AB55)))/$AB55</f>
        <v>240</v>
      </c>
      <c r="AF55" s="278">
        <f ca="1">IF(SUM($AD$3:AF$3)&lt;=$AB55,SUM($T55:V55),SUM(OFFSET(V55,0,0,1,-$AB55)))/$AB55</f>
        <v>240</v>
      </c>
      <c r="AG55" s="278">
        <f ca="1">IF(SUM($AD$3:AG$3)&lt;=$AB55,SUM($T55:W55),SUM(OFFSET(W55,0,0,1,-$AB55)))/$AB55</f>
        <v>240</v>
      </c>
      <c r="AH55" s="278">
        <f ca="1">IF(SUM($AD$3:AH$3)&lt;=$AB55,SUM($T55:X55),SUM(OFFSET(X55,0,0,1,-$AB55)))/$AB55</f>
        <v>240</v>
      </c>
      <c r="AI55" s="278">
        <f ca="1">IF(SUM($AD$3:AI$3)&lt;=$AB55,SUM($T55:Y55),SUM(OFFSET(Y55,0,0,1,-$AB55)))/$AB55</f>
        <v>240</v>
      </c>
      <c r="AJ55" s="278">
        <f ca="1">IF(SUM($AD$3:AJ$3)&lt;=$AB55,SUM($T55:Z55),SUM(OFFSET(Z55,0,0,1,-$AB55)))/$AB55</f>
        <v>240</v>
      </c>
    </row>
    <row r="56" spans="2:36" outlineLevel="1" x14ac:dyDescent="0.2">
      <c r="B56" s="196" t="s">
        <v>302</v>
      </c>
      <c r="C56" s="290" t="s">
        <v>126</v>
      </c>
      <c r="D56" s="294"/>
      <c r="E56" s="303">
        <v>500</v>
      </c>
      <c r="F56" s="303"/>
      <c r="G56" s="303">
        <f t="shared" si="40"/>
        <v>500</v>
      </c>
      <c r="I56" s="267">
        <v>3</v>
      </c>
      <c r="J56" s="267">
        <v>2</v>
      </c>
      <c r="L56" s="268">
        <v>12</v>
      </c>
      <c r="M56" s="268"/>
      <c r="N56" s="268"/>
      <c r="O56" s="268"/>
      <c r="P56" s="268"/>
      <c r="Q56" s="268"/>
      <c r="R56" s="268"/>
      <c r="T56" s="278">
        <f t="shared" si="41"/>
        <v>6000</v>
      </c>
      <c r="U56" s="278">
        <f t="shared" si="42"/>
        <v>0</v>
      </c>
      <c r="V56" s="278">
        <f t="shared" si="43"/>
        <v>0</v>
      </c>
      <c r="W56" s="278">
        <f t="shared" si="44"/>
        <v>0</v>
      </c>
      <c r="X56" s="278">
        <f t="shared" si="45"/>
        <v>0</v>
      </c>
      <c r="Y56" s="278">
        <f t="shared" si="46"/>
        <v>0</v>
      </c>
      <c r="Z56" s="278">
        <f t="shared" si="47"/>
        <v>0</v>
      </c>
      <c r="AB56" s="268">
        <v>10</v>
      </c>
      <c r="AD56" s="278">
        <f ca="1">IF(SUM($AD$3:AD$3)&lt;=$AB56,SUM($T56:T56),SUM(OFFSET(T56,0,0,1,-$AB56)))/$AB56</f>
        <v>600</v>
      </c>
      <c r="AE56" s="278">
        <f ca="1">IF(SUM($AD$3:AE$3)&lt;=$AB56,SUM($T56:U56),SUM(OFFSET(U56,0,0,1,-$AB56)))/$AB56</f>
        <v>600</v>
      </c>
      <c r="AF56" s="278">
        <f ca="1">IF(SUM($AD$3:AF$3)&lt;=$AB56,SUM($T56:V56),SUM(OFFSET(V56,0,0,1,-$AB56)))/$AB56</f>
        <v>600</v>
      </c>
      <c r="AG56" s="278">
        <f ca="1">IF(SUM($AD$3:AG$3)&lt;=$AB56,SUM($T56:W56),SUM(OFFSET(W56,0,0,1,-$AB56)))/$AB56</f>
        <v>600</v>
      </c>
      <c r="AH56" s="278">
        <f ca="1">IF(SUM($AD$3:AH$3)&lt;=$AB56,SUM($T56:X56),SUM(OFFSET(X56,0,0,1,-$AB56)))/$AB56</f>
        <v>600</v>
      </c>
      <c r="AI56" s="278">
        <f ca="1">IF(SUM($AD$3:AI$3)&lt;=$AB56,SUM($T56:Y56),SUM(OFFSET(Y56,0,0,1,-$AB56)))/$AB56</f>
        <v>600</v>
      </c>
      <c r="AJ56" s="278">
        <f ca="1">IF(SUM($AD$3:AJ$3)&lt;=$AB56,SUM($T56:Z56),SUM(OFFSET(Z56,0,0,1,-$AB56)))/$AB56</f>
        <v>600</v>
      </c>
    </row>
    <row r="57" spans="2:36" outlineLevel="1" x14ac:dyDescent="0.2">
      <c r="B57" s="196" t="s">
        <v>303</v>
      </c>
      <c r="C57" s="290" t="s">
        <v>127</v>
      </c>
      <c r="D57" s="294" t="s">
        <v>128</v>
      </c>
      <c r="E57" s="303">
        <v>10</v>
      </c>
      <c r="F57" s="303"/>
      <c r="G57" s="305">
        <f t="shared" si="40"/>
        <v>10</v>
      </c>
      <c r="I57" s="267">
        <v>55</v>
      </c>
      <c r="J57" s="267">
        <v>2</v>
      </c>
      <c r="L57" s="268">
        <v>220</v>
      </c>
      <c r="M57" s="268"/>
      <c r="N57" s="268"/>
      <c r="O57" s="268"/>
      <c r="P57" s="268"/>
      <c r="Q57" s="268"/>
      <c r="R57" s="268"/>
      <c r="T57" s="278">
        <f t="shared" si="41"/>
        <v>2200</v>
      </c>
      <c r="U57" s="278">
        <f t="shared" si="42"/>
        <v>0</v>
      </c>
      <c r="V57" s="278">
        <f t="shared" si="43"/>
        <v>0</v>
      </c>
      <c r="W57" s="278">
        <f t="shared" si="44"/>
        <v>0</v>
      </c>
      <c r="X57" s="278">
        <f t="shared" si="45"/>
        <v>0</v>
      </c>
      <c r="Y57" s="278">
        <f t="shared" si="46"/>
        <v>0</v>
      </c>
      <c r="Z57" s="278">
        <f t="shared" si="47"/>
        <v>0</v>
      </c>
      <c r="AB57" s="268">
        <v>10</v>
      </c>
      <c r="AD57" s="278">
        <f ca="1">IF(SUM($AD$3:AD$3)&lt;=$AB57,SUM($T57:T57),SUM(OFFSET(T57,0,0,1,-$AB57)))/$AB57</f>
        <v>220</v>
      </c>
      <c r="AE57" s="278">
        <f ca="1">IF(SUM($AD$3:AE$3)&lt;=$AB57,SUM($T57:U57),SUM(OFFSET(U57,0,0,1,-$AB57)))/$AB57</f>
        <v>220</v>
      </c>
      <c r="AF57" s="278">
        <f ca="1">IF(SUM($AD$3:AF$3)&lt;=$AB57,SUM($T57:V57),SUM(OFFSET(V57,0,0,1,-$AB57)))/$AB57</f>
        <v>220</v>
      </c>
      <c r="AG57" s="278">
        <f ca="1">IF(SUM($AD$3:AG$3)&lt;=$AB57,SUM($T57:W57),SUM(OFFSET(W57,0,0,1,-$AB57)))/$AB57</f>
        <v>220</v>
      </c>
      <c r="AH57" s="278">
        <f ca="1">IF(SUM($AD$3:AH$3)&lt;=$AB57,SUM($T57:X57),SUM(OFFSET(X57,0,0,1,-$AB57)))/$AB57</f>
        <v>220</v>
      </c>
      <c r="AI57" s="278">
        <f ca="1">IF(SUM($AD$3:AI$3)&lt;=$AB57,SUM($T57:Y57),SUM(OFFSET(Y57,0,0,1,-$AB57)))/$AB57</f>
        <v>220</v>
      </c>
      <c r="AJ57" s="278">
        <f ca="1">IF(SUM($AD$3:AJ$3)&lt;=$AB57,SUM($T57:Z57),SUM(OFFSET(Z57,0,0,1,-$AB57)))/$AB57</f>
        <v>220</v>
      </c>
    </row>
    <row r="58" spans="2:36" x14ac:dyDescent="0.2">
      <c r="B58" s="272" t="s">
        <v>304</v>
      </c>
      <c r="C58" s="295" t="s">
        <v>216</v>
      </c>
      <c r="D58" s="296"/>
      <c r="E58" s="306"/>
      <c r="F58" s="306"/>
      <c r="G58" s="306"/>
      <c r="I58" s="273"/>
      <c r="J58" s="273"/>
      <c r="L58" s="274"/>
      <c r="M58" s="274"/>
      <c r="N58" s="274"/>
      <c r="O58" s="274"/>
      <c r="P58" s="274"/>
      <c r="Q58" s="274"/>
      <c r="R58" s="274"/>
      <c r="T58" s="280">
        <f>SUM(T59:T62)</f>
        <v>1240200</v>
      </c>
      <c r="U58" s="280">
        <f t="shared" ref="U58:Z58" si="48">SUM(U59:U62)</f>
        <v>0</v>
      </c>
      <c r="V58" s="280">
        <f t="shared" si="48"/>
        <v>0</v>
      </c>
      <c r="W58" s="280">
        <f t="shared" si="48"/>
        <v>0</v>
      </c>
      <c r="X58" s="280">
        <f t="shared" si="48"/>
        <v>0</v>
      </c>
      <c r="Y58" s="280">
        <f t="shared" si="48"/>
        <v>0</v>
      </c>
      <c r="Z58" s="280">
        <f t="shared" si="48"/>
        <v>0</v>
      </c>
      <c r="AB58" s="367"/>
      <c r="AD58" s="280">
        <f ca="1">SUM(AD59:AD62)</f>
        <v>124020</v>
      </c>
      <c r="AE58" s="280">
        <f t="shared" ref="AE58:AJ58" ca="1" si="49">SUM(AE59:AE62)</f>
        <v>124020</v>
      </c>
      <c r="AF58" s="280">
        <f t="shared" ca="1" si="49"/>
        <v>124020</v>
      </c>
      <c r="AG58" s="280">
        <f t="shared" ca="1" si="49"/>
        <v>124020</v>
      </c>
      <c r="AH58" s="280">
        <f t="shared" ca="1" si="49"/>
        <v>124020</v>
      </c>
      <c r="AI58" s="280">
        <f t="shared" ca="1" si="49"/>
        <v>124020</v>
      </c>
      <c r="AJ58" s="280">
        <f t="shared" ca="1" si="49"/>
        <v>124020</v>
      </c>
    </row>
    <row r="59" spans="2:36" outlineLevel="1" x14ac:dyDescent="0.2">
      <c r="B59" s="195" t="s">
        <v>306</v>
      </c>
      <c r="C59" s="289" t="s">
        <v>217</v>
      </c>
      <c r="D59" s="289" t="s">
        <v>218</v>
      </c>
      <c r="E59" s="302">
        <v>600</v>
      </c>
      <c r="F59" s="302">
        <v>20</v>
      </c>
      <c r="G59" s="302">
        <f>E59+F59</f>
        <v>620</v>
      </c>
      <c r="I59" s="265">
        <v>800</v>
      </c>
      <c r="J59" s="265">
        <v>1</v>
      </c>
      <c r="L59" s="266">
        <v>1800</v>
      </c>
      <c r="M59" s="266"/>
      <c r="N59" s="266"/>
      <c r="O59" s="266"/>
      <c r="P59" s="266"/>
      <c r="Q59" s="266"/>
      <c r="R59" s="266"/>
      <c r="T59" s="277">
        <f>L59*$G59</f>
        <v>1116000</v>
      </c>
      <c r="U59" s="277">
        <f t="shared" ref="U59:Z62" si="50">M59*$G59</f>
        <v>0</v>
      </c>
      <c r="V59" s="277">
        <f t="shared" si="50"/>
        <v>0</v>
      </c>
      <c r="W59" s="277">
        <f t="shared" si="50"/>
        <v>0</v>
      </c>
      <c r="X59" s="277">
        <f t="shared" si="50"/>
        <v>0</v>
      </c>
      <c r="Y59" s="277">
        <f t="shared" si="50"/>
        <v>0</v>
      </c>
      <c r="Z59" s="277">
        <f t="shared" si="50"/>
        <v>0</v>
      </c>
      <c r="AB59" s="266">
        <v>10</v>
      </c>
      <c r="AD59" s="278">
        <f ca="1">IF(SUM($AD$3:AD$3)&lt;=$AB59,SUM($T59:T59),SUM(OFFSET(T59,0,0,1,-$AB59)))/$AB59</f>
        <v>111600</v>
      </c>
      <c r="AE59" s="278">
        <f ca="1">IF(SUM($AD$3:AE$3)&lt;=$AB59,SUM($T59:U59),SUM(OFFSET(U59,0,0,1,-$AB59)))/$AB59</f>
        <v>111600</v>
      </c>
      <c r="AF59" s="278">
        <f ca="1">IF(SUM($AD$3:AF$3)&lt;=$AB59,SUM($T59:V59),SUM(OFFSET(V59,0,0,1,-$AB59)))/$AB59</f>
        <v>111600</v>
      </c>
      <c r="AG59" s="278">
        <f ca="1">IF(SUM($AD$3:AG$3)&lt;=$AB59,SUM($T59:W59),SUM(OFFSET(W59,0,0,1,-$AB59)))/$AB59</f>
        <v>111600</v>
      </c>
      <c r="AH59" s="278">
        <f ca="1">IF(SUM($AD$3:AH$3)&lt;=$AB59,SUM($T59:X59),SUM(OFFSET(X59,0,0,1,-$AB59)))/$AB59</f>
        <v>111600</v>
      </c>
      <c r="AI59" s="278">
        <f ca="1">IF(SUM($AD$3:AI$3)&lt;=$AB59,SUM($T59:Y59),SUM(OFFSET(Y59,0,0,1,-$AB59)))/$AB59</f>
        <v>111600</v>
      </c>
      <c r="AJ59" s="278">
        <f ca="1">IF(SUM($AD$3:AJ$3)&lt;=$AB59,SUM($T59:Z59),SUM(OFFSET(Z59,0,0,1,-$AB59)))/$AB59</f>
        <v>111600</v>
      </c>
    </row>
    <row r="60" spans="2:36" outlineLevel="1" x14ac:dyDescent="0.2">
      <c r="B60" s="196" t="s">
        <v>305</v>
      </c>
      <c r="C60" s="290" t="s">
        <v>219</v>
      </c>
      <c r="D60" s="290"/>
      <c r="E60" s="303">
        <v>60</v>
      </c>
      <c r="F60" s="303">
        <v>3</v>
      </c>
      <c r="G60" s="303">
        <f>E60+F60</f>
        <v>63</v>
      </c>
      <c r="I60" s="267">
        <v>800</v>
      </c>
      <c r="J60" s="267">
        <v>1</v>
      </c>
      <c r="L60" s="268">
        <v>1800</v>
      </c>
      <c r="M60" s="268"/>
      <c r="N60" s="268"/>
      <c r="O60" s="268"/>
      <c r="P60" s="268"/>
      <c r="Q60" s="268"/>
      <c r="R60" s="268"/>
      <c r="T60" s="278">
        <f t="shared" ref="T60:T62" si="51">L60*$G60</f>
        <v>113400</v>
      </c>
      <c r="U60" s="278">
        <f t="shared" si="50"/>
        <v>0</v>
      </c>
      <c r="V60" s="278">
        <f t="shared" si="50"/>
        <v>0</v>
      </c>
      <c r="W60" s="278">
        <f t="shared" si="50"/>
        <v>0</v>
      </c>
      <c r="X60" s="278">
        <f t="shared" si="50"/>
        <v>0</v>
      </c>
      <c r="Y60" s="278">
        <f t="shared" si="50"/>
        <v>0</v>
      </c>
      <c r="Z60" s="278">
        <f t="shared" si="50"/>
        <v>0</v>
      </c>
      <c r="AB60" s="268">
        <v>10</v>
      </c>
      <c r="AD60" s="278">
        <f ca="1">IF(SUM($AD$3:AD$3)&lt;=$AB60,SUM($T60:T60),SUM(OFFSET(T60,0,0,1,-$AB60)))/$AB60</f>
        <v>11340</v>
      </c>
      <c r="AE60" s="278">
        <f ca="1">IF(SUM($AD$3:AE$3)&lt;=$AB60,SUM($T60:U60),SUM(OFFSET(U60,0,0,1,-$AB60)))/$AB60</f>
        <v>11340</v>
      </c>
      <c r="AF60" s="278">
        <f ca="1">IF(SUM($AD$3:AF$3)&lt;=$AB60,SUM($T60:V60),SUM(OFFSET(V60,0,0,1,-$AB60)))/$AB60</f>
        <v>11340</v>
      </c>
      <c r="AG60" s="278">
        <f ca="1">IF(SUM($AD$3:AG$3)&lt;=$AB60,SUM($T60:W60),SUM(OFFSET(W60,0,0,1,-$AB60)))/$AB60</f>
        <v>11340</v>
      </c>
      <c r="AH60" s="278">
        <f ca="1">IF(SUM($AD$3:AH$3)&lt;=$AB60,SUM($T60:X60),SUM(OFFSET(X60,0,0,1,-$AB60)))/$AB60</f>
        <v>11340</v>
      </c>
      <c r="AI60" s="278">
        <f ca="1">IF(SUM($AD$3:AI$3)&lt;=$AB60,SUM($T60:Y60),SUM(OFFSET(Y60,0,0,1,-$AB60)))/$AB60</f>
        <v>11340</v>
      </c>
      <c r="AJ60" s="278">
        <f ca="1">IF(SUM($AD$3:AJ$3)&lt;=$AB60,SUM($T60:Z60),SUM(OFFSET(Z60,0,0,1,-$AB60)))/$AB60</f>
        <v>11340</v>
      </c>
    </row>
    <row r="61" spans="2:36" outlineLevel="1" x14ac:dyDescent="0.2">
      <c r="B61" s="196" t="s">
        <v>307</v>
      </c>
      <c r="C61" s="290" t="s">
        <v>220</v>
      </c>
      <c r="D61" s="290"/>
      <c r="E61" s="303">
        <v>3</v>
      </c>
      <c r="F61" s="303"/>
      <c r="G61" s="303">
        <f>E61+F61</f>
        <v>3</v>
      </c>
      <c r="I61" s="267">
        <v>800</v>
      </c>
      <c r="J61" s="267">
        <v>1</v>
      </c>
      <c r="L61" s="268">
        <v>1800</v>
      </c>
      <c r="M61" s="268"/>
      <c r="N61" s="268"/>
      <c r="O61" s="268"/>
      <c r="P61" s="268"/>
      <c r="Q61" s="268"/>
      <c r="R61" s="268"/>
      <c r="T61" s="278">
        <f t="shared" si="51"/>
        <v>5400</v>
      </c>
      <c r="U61" s="278">
        <f t="shared" si="50"/>
        <v>0</v>
      </c>
      <c r="V61" s="278">
        <f t="shared" si="50"/>
        <v>0</v>
      </c>
      <c r="W61" s="278">
        <f t="shared" si="50"/>
        <v>0</v>
      </c>
      <c r="X61" s="278">
        <f t="shared" si="50"/>
        <v>0</v>
      </c>
      <c r="Y61" s="278">
        <f t="shared" si="50"/>
        <v>0</v>
      </c>
      <c r="Z61" s="278">
        <f t="shared" si="50"/>
        <v>0</v>
      </c>
      <c r="AB61" s="268">
        <v>10</v>
      </c>
      <c r="AD61" s="278">
        <f ca="1">IF(SUM($AD$3:AD$3)&lt;=$AB61,SUM($T61:T61),SUM(OFFSET(T61,0,0,1,-$AB61)))/$AB61</f>
        <v>540</v>
      </c>
      <c r="AE61" s="278">
        <f ca="1">IF(SUM($AD$3:AE$3)&lt;=$AB61,SUM($T61:U61),SUM(OFFSET(U61,0,0,1,-$AB61)))/$AB61</f>
        <v>540</v>
      </c>
      <c r="AF61" s="278">
        <f ca="1">IF(SUM($AD$3:AF$3)&lt;=$AB61,SUM($T61:V61),SUM(OFFSET(V61,0,0,1,-$AB61)))/$AB61</f>
        <v>540</v>
      </c>
      <c r="AG61" s="278">
        <f ca="1">IF(SUM($AD$3:AG$3)&lt;=$AB61,SUM($T61:W61),SUM(OFFSET(W61,0,0,1,-$AB61)))/$AB61</f>
        <v>540</v>
      </c>
      <c r="AH61" s="278">
        <f ca="1">IF(SUM($AD$3:AH$3)&lt;=$AB61,SUM($T61:X61),SUM(OFFSET(X61,0,0,1,-$AB61)))/$AB61</f>
        <v>540</v>
      </c>
      <c r="AI61" s="278">
        <f ca="1">IF(SUM($AD$3:AI$3)&lt;=$AB61,SUM($T61:Y61),SUM(OFFSET(Y61,0,0,1,-$AB61)))/$AB61</f>
        <v>540</v>
      </c>
      <c r="AJ61" s="278">
        <f ca="1">IF(SUM($AD$3:AJ$3)&lt;=$AB61,SUM($T61:Z61),SUM(OFFSET(Z61,0,0,1,-$AB61)))/$AB61</f>
        <v>540</v>
      </c>
    </row>
    <row r="62" spans="2:36" outlineLevel="1" x14ac:dyDescent="0.2">
      <c r="B62" s="197" t="s">
        <v>309</v>
      </c>
      <c r="C62" s="298" t="s">
        <v>221</v>
      </c>
      <c r="D62" s="298"/>
      <c r="E62" s="305">
        <v>3</v>
      </c>
      <c r="F62" s="305"/>
      <c r="G62" s="305">
        <f>E62+F62</f>
        <v>3</v>
      </c>
      <c r="I62" s="275">
        <v>800</v>
      </c>
      <c r="J62" s="275">
        <v>1</v>
      </c>
      <c r="L62" s="276">
        <v>1800</v>
      </c>
      <c r="M62" s="276"/>
      <c r="N62" s="276"/>
      <c r="O62" s="276"/>
      <c r="P62" s="276"/>
      <c r="Q62" s="276"/>
      <c r="R62" s="276"/>
      <c r="T62" s="278">
        <f t="shared" si="51"/>
        <v>5400</v>
      </c>
      <c r="U62" s="278">
        <f t="shared" si="50"/>
        <v>0</v>
      </c>
      <c r="V62" s="278">
        <f t="shared" si="50"/>
        <v>0</v>
      </c>
      <c r="W62" s="278">
        <f t="shared" si="50"/>
        <v>0</v>
      </c>
      <c r="X62" s="278">
        <f t="shared" si="50"/>
        <v>0</v>
      </c>
      <c r="Y62" s="278">
        <f t="shared" si="50"/>
        <v>0</v>
      </c>
      <c r="Z62" s="278">
        <f t="shared" si="50"/>
        <v>0</v>
      </c>
      <c r="AB62" s="268">
        <v>10</v>
      </c>
      <c r="AD62" s="278">
        <f ca="1">IF(SUM($AD$3:AD$3)&lt;=$AB62,SUM($T62:T62),SUM(OFFSET(T62,0,0,1,-$AB62)))/$AB62</f>
        <v>540</v>
      </c>
      <c r="AE62" s="278">
        <f ca="1">IF(SUM($AD$3:AE$3)&lt;=$AB62,SUM($T62:U62),SUM(OFFSET(U62,0,0,1,-$AB62)))/$AB62</f>
        <v>540</v>
      </c>
      <c r="AF62" s="278">
        <f ca="1">IF(SUM($AD$3:AF$3)&lt;=$AB62,SUM($T62:V62),SUM(OFFSET(V62,0,0,1,-$AB62)))/$AB62</f>
        <v>540</v>
      </c>
      <c r="AG62" s="278">
        <f ca="1">IF(SUM($AD$3:AG$3)&lt;=$AB62,SUM($T62:W62),SUM(OFFSET(W62,0,0,1,-$AB62)))/$AB62</f>
        <v>540</v>
      </c>
      <c r="AH62" s="278">
        <f ca="1">IF(SUM($AD$3:AH$3)&lt;=$AB62,SUM($T62:X62),SUM(OFFSET(X62,0,0,1,-$AB62)))/$AB62</f>
        <v>540</v>
      </c>
      <c r="AI62" s="278">
        <f ca="1">IF(SUM($AD$3:AI$3)&lt;=$AB62,SUM($T62:Y62),SUM(OFFSET(Y62,0,0,1,-$AB62)))/$AB62</f>
        <v>540</v>
      </c>
      <c r="AJ62" s="278">
        <f ca="1">IF(SUM($AD$3:AJ$3)&lt;=$AB62,SUM($T62:Z62),SUM(OFFSET(Z62,0,0,1,-$AB62)))/$AB62</f>
        <v>540</v>
      </c>
    </row>
    <row r="63" spans="2:36" x14ac:dyDescent="0.2">
      <c r="B63" s="272" t="s">
        <v>326</v>
      </c>
      <c r="C63" s="295" t="s">
        <v>142</v>
      </c>
      <c r="D63" s="296"/>
      <c r="E63" s="306"/>
      <c r="F63" s="306"/>
      <c r="G63" s="306"/>
      <c r="I63" s="273"/>
      <c r="J63" s="273"/>
      <c r="L63" s="274"/>
      <c r="M63" s="274"/>
      <c r="N63" s="274"/>
      <c r="O63" s="274"/>
      <c r="P63" s="274"/>
      <c r="Q63" s="274"/>
      <c r="R63" s="274"/>
      <c r="T63" s="280">
        <f>SUM(T64:T78)</f>
        <v>10840</v>
      </c>
      <c r="U63" s="280">
        <f t="shared" ref="U63:Z63" si="52">SUM(U64:U78)</f>
        <v>0</v>
      </c>
      <c r="V63" s="280">
        <f t="shared" si="52"/>
        <v>0</v>
      </c>
      <c r="W63" s="280">
        <f t="shared" si="52"/>
        <v>0</v>
      </c>
      <c r="X63" s="280">
        <f t="shared" si="52"/>
        <v>0</v>
      </c>
      <c r="Y63" s="280">
        <f t="shared" si="52"/>
        <v>0</v>
      </c>
      <c r="Z63" s="280">
        <f t="shared" si="52"/>
        <v>0</v>
      </c>
      <c r="AB63" s="367"/>
      <c r="AD63" s="280">
        <f ca="1">SUM(AD64:AD78)</f>
        <v>1083.9999999999998</v>
      </c>
      <c r="AE63" s="280">
        <f t="shared" ref="AE63:AJ63" ca="1" si="53">SUM(AE64:AE78)</f>
        <v>1083.9999999999998</v>
      </c>
      <c r="AF63" s="280">
        <f t="shared" ca="1" si="53"/>
        <v>1083.9999999999998</v>
      </c>
      <c r="AG63" s="280">
        <f t="shared" ca="1" si="53"/>
        <v>1083.9999999999998</v>
      </c>
      <c r="AH63" s="280">
        <f t="shared" ca="1" si="53"/>
        <v>1083.9999999999998</v>
      </c>
      <c r="AI63" s="280">
        <f t="shared" ca="1" si="53"/>
        <v>1083.9999999999998</v>
      </c>
      <c r="AJ63" s="280">
        <f t="shared" ca="1" si="53"/>
        <v>1083.9999999999998</v>
      </c>
    </row>
    <row r="64" spans="2:36" outlineLevel="1" x14ac:dyDescent="0.2">
      <c r="B64" s="196" t="s">
        <v>311</v>
      </c>
      <c r="C64" s="290" t="s">
        <v>145</v>
      </c>
      <c r="D64" s="294"/>
      <c r="E64" s="303">
        <v>3525</v>
      </c>
      <c r="F64" s="303"/>
      <c r="G64" s="303">
        <v>3525</v>
      </c>
      <c r="I64" s="267">
        <v>1</v>
      </c>
      <c r="J64" s="267">
        <v>2</v>
      </c>
      <c r="L64" s="267">
        <v>1</v>
      </c>
      <c r="M64" s="268"/>
      <c r="N64" s="268"/>
      <c r="O64" s="268"/>
      <c r="P64" s="268"/>
      <c r="Q64" s="268"/>
      <c r="R64" s="268"/>
      <c r="T64" s="277">
        <f t="shared" ref="T64:T78" si="54">L64*$G64</f>
        <v>3525</v>
      </c>
      <c r="U64" s="277">
        <f t="shared" ref="U64:U78" si="55">M64*$G64</f>
        <v>0</v>
      </c>
      <c r="V64" s="277">
        <f t="shared" ref="V64:V78" si="56">N64*$G64</f>
        <v>0</v>
      </c>
      <c r="W64" s="277">
        <f t="shared" ref="W64:W78" si="57">O64*$G64</f>
        <v>0</v>
      </c>
      <c r="X64" s="277">
        <f t="shared" ref="X64:X78" si="58">P64*$G64</f>
        <v>0</v>
      </c>
      <c r="Y64" s="277">
        <f t="shared" ref="Y64:Y78" si="59">Q64*$G64</f>
        <v>0</v>
      </c>
      <c r="Z64" s="277">
        <f t="shared" ref="Z64:Z78" si="60">R64*$G64</f>
        <v>0</v>
      </c>
      <c r="AB64" s="266">
        <v>10</v>
      </c>
      <c r="AD64" s="278">
        <f ca="1">IF(SUM($AD$3:AD$3)&lt;=$AB64,SUM($T64:T64),SUM(OFFSET(T64,0,0,1,-$AB64)))/$AB64</f>
        <v>352.5</v>
      </c>
      <c r="AE64" s="278">
        <f ca="1">IF(SUM($AD$3:AE$3)&lt;=$AB64,SUM($T64:U64),SUM(OFFSET(U64,0,0,1,-$AB64)))/$AB64</f>
        <v>352.5</v>
      </c>
      <c r="AF64" s="278">
        <f ca="1">IF(SUM($AD$3:AF$3)&lt;=$AB64,SUM($T64:V64),SUM(OFFSET(V64,0,0,1,-$AB64)))/$AB64</f>
        <v>352.5</v>
      </c>
      <c r="AG64" s="278">
        <f ca="1">IF(SUM($AD$3:AG$3)&lt;=$AB64,SUM($T64:W64),SUM(OFFSET(W64,0,0,1,-$AB64)))/$AB64</f>
        <v>352.5</v>
      </c>
      <c r="AH64" s="278">
        <f ca="1">IF(SUM($AD$3:AH$3)&lt;=$AB64,SUM($T64:X64),SUM(OFFSET(X64,0,0,1,-$AB64)))/$AB64</f>
        <v>352.5</v>
      </c>
      <c r="AI64" s="278">
        <f ca="1">IF(SUM($AD$3:AI$3)&lt;=$AB64,SUM($T64:Y64),SUM(OFFSET(Y64,0,0,1,-$AB64)))/$AB64</f>
        <v>352.5</v>
      </c>
      <c r="AJ64" s="278">
        <f ca="1">IF(SUM($AD$3:AJ$3)&lt;=$AB64,SUM($T64:Z64),SUM(OFFSET(Z64,0,0,1,-$AB64)))/$AB64</f>
        <v>352.5</v>
      </c>
    </row>
    <row r="65" spans="2:36" outlineLevel="1" x14ac:dyDescent="0.2">
      <c r="B65" s="196" t="s">
        <v>312</v>
      </c>
      <c r="C65" s="290" t="s">
        <v>146</v>
      </c>
      <c r="D65" s="294"/>
      <c r="E65" s="303">
        <v>3025</v>
      </c>
      <c r="F65" s="303"/>
      <c r="G65" s="303">
        <v>3025</v>
      </c>
      <c r="I65" s="267">
        <v>1</v>
      </c>
      <c r="J65" s="267">
        <v>2</v>
      </c>
      <c r="L65" s="267">
        <v>1</v>
      </c>
      <c r="M65" s="268"/>
      <c r="N65" s="268"/>
      <c r="O65" s="268"/>
      <c r="P65" s="268"/>
      <c r="Q65" s="268"/>
      <c r="R65" s="268"/>
      <c r="T65" s="278">
        <f t="shared" si="54"/>
        <v>3025</v>
      </c>
      <c r="U65" s="278">
        <f t="shared" si="55"/>
        <v>0</v>
      </c>
      <c r="V65" s="278">
        <f t="shared" si="56"/>
        <v>0</v>
      </c>
      <c r="W65" s="278">
        <f t="shared" si="57"/>
        <v>0</v>
      </c>
      <c r="X65" s="278">
        <f t="shared" si="58"/>
        <v>0</v>
      </c>
      <c r="Y65" s="278">
        <f t="shared" si="59"/>
        <v>0</v>
      </c>
      <c r="Z65" s="278">
        <f t="shared" si="60"/>
        <v>0</v>
      </c>
      <c r="AB65" s="268">
        <v>10</v>
      </c>
      <c r="AD65" s="278">
        <f ca="1">IF(SUM($AD$3:AD$3)&lt;=$AB65,SUM($T65:T65),SUM(OFFSET(T65,0,0,1,-$AB65)))/$AB65</f>
        <v>302.5</v>
      </c>
      <c r="AE65" s="278">
        <f ca="1">IF(SUM($AD$3:AE$3)&lt;=$AB65,SUM($T65:U65),SUM(OFFSET(U65,0,0,1,-$AB65)))/$AB65</f>
        <v>302.5</v>
      </c>
      <c r="AF65" s="278">
        <f ca="1">IF(SUM($AD$3:AF$3)&lt;=$AB65,SUM($T65:V65),SUM(OFFSET(V65,0,0,1,-$AB65)))/$AB65</f>
        <v>302.5</v>
      </c>
      <c r="AG65" s="278">
        <f ca="1">IF(SUM($AD$3:AG$3)&lt;=$AB65,SUM($T65:W65),SUM(OFFSET(W65,0,0,1,-$AB65)))/$AB65</f>
        <v>302.5</v>
      </c>
      <c r="AH65" s="278">
        <f ca="1">IF(SUM($AD$3:AH$3)&lt;=$AB65,SUM($T65:X65),SUM(OFFSET(X65,0,0,1,-$AB65)))/$AB65</f>
        <v>302.5</v>
      </c>
      <c r="AI65" s="278">
        <f ca="1">IF(SUM($AD$3:AI$3)&lt;=$AB65,SUM($T65:Y65),SUM(OFFSET(Y65,0,0,1,-$AB65)))/$AB65</f>
        <v>302.5</v>
      </c>
      <c r="AJ65" s="278">
        <f ca="1">IF(SUM($AD$3:AJ$3)&lt;=$AB65,SUM($T65:Z65),SUM(OFFSET(Z65,0,0,1,-$AB65)))/$AB65</f>
        <v>302.5</v>
      </c>
    </row>
    <row r="66" spans="2:36" outlineLevel="1" x14ac:dyDescent="0.2">
      <c r="B66" s="196" t="s">
        <v>310</v>
      </c>
      <c r="C66" s="290" t="s">
        <v>143</v>
      </c>
      <c r="D66" s="294" t="s">
        <v>144</v>
      </c>
      <c r="E66" s="303">
        <v>1408</v>
      </c>
      <c r="F66" s="303"/>
      <c r="G66" s="303">
        <v>1408</v>
      </c>
      <c r="I66" s="267">
        <v>1</v>
      </c>
      <c r="J66" s="267">
        <v>2</v>
      </c>
      <c r="L66" s="267">
        <v>1</v>
      </c>
      <c r="M66" s="268"/>
      <c r="N66" s="268"/>
      <c r="O66" s="268"/>
      <c r="P66" s="268"/>
      <c r="Q66" s="268"/>
      <c r="R66" s="268"/>
      <c r="T66" s="278">
        <f t="shared" si="54"/>
        <v>1408</v>
      </c>
      <c r="U66" s="278">
        <f t="shared" si="55"/>
        <v>0</v>
      </c>
      <c r="V66" s="278">
        <f t="shared" si="56"/>
        <v>0</v>
      </c>
      <c r="W66" s="278">
        <f t="shared" si="57"/>
        <v>0</v>
      </c>
      <c r="X66" s="278">
        <f t="shared" si="58"/>
        <v>0</v>
      </c>
      <c r="Y66" s="278">
        <f t="shared" si="59"/>
        <v>0</v>
      </c>
      <c r="Z66" s="278">
        <f t="shared" si="60"/>
        <v>0</v>
      </c>
      <c r="AB66" s="268">
        <v>10</v>
      </c>
      <c r="AD66" s="278">
        <f ca="1">IF(SUM($AD$3:AD$3)&lt;=$AB66,SUM($T66:T66),SUM(OFFSET(T66,0,0,1,-$AB66)))/$AB66</f>
        <v>140.80000000000001</v>
      </c>
      <c r="AE66" s="278">
        <f ca="1">IF(SUM($AD$3:AE$3)&lt;=$AB66,SUM($T66:U66),SUM(OFFSET(U66,0,0,1,-$AB66)))/$AB66</f>
        <v>140.80000000000001</v>
      </c>
      <c r="AF66" s="278">
        <f ca="1">IF(SUM($AD$3:AF$3)&lt;=$AB66,SUM($T66:V66),SUM(OFFSET(V66,0,0,1,-$AB66)))/$AB66</f>
        <v>140.80000000000001</v>
      </c>
      <c r="AG66" s="278">
        <f ca="1">IF(SUM($AD$3:AG$3)&lt;=$AB66,SUM($T66:W66),SUM(OFFSET(W66,0,0,1,-$AB66)))/$AB66</f>
        <v>140.80000000000001</v>
      </c>
      <c r="AH66" s="278">
        <f ca="1">IF(SUM($AD$3:AH$3)&lt;=$AB66,SUM($T66:X66),SUM(OFFSET(X66,0,0,1,-$AB66)))/$AB66</f>
        <v>140.80000000000001</v>
      </c>
      <c r="AI66" s="278">
        <f ca="1">IF(SUM($AD$3:AI$3)&lt;=$AB66,SUM($T66:Y66),SUM(OFFSET(Y66,0,0,1,-$AB66)))/$AB66</f>
        <v>140.80000000000001</v>
      </c>
      <c r="AJ66" s="278">
        <f ca="1">IF(SUM($AD$3:AJ$3)&lt;=$AB66,SUM($T66:Z66),SUM(OFFSET(Z66,0,0,1,-$AB66)))/$AB66</f>
        <v>140.80000000000001</v>
      </c>
    </row>
    <row r="67" spans="2:36" outlineLevel="1" x14ac:dyDescent="0.2">
      <c r="B67" s="196" t="s">
        <v>317</v>
      </c>
      <c r="C67" s="290" t="s">
        <v>157</v>
      </c>
      <c r="D67" s="294" t="s">
        <v>158</v>
      </c>
      <c r="E67" s="303">
        <v>950</v>
      </c>
      <c r="F67" s="303"/>
      <c r="G67" s="303">
        <v>950</v>
      </c>
      <c r="I67" s="267">
        <v>1</v>
      </c>
      <c r="J67" s="267">
        <v>2</v>
      </c>
      <c r="L67" s="267">
        <v>1</v>
      </c>
      <c r="M67" s="268"/>
      <c r="N67" s="268"/>
      <c r="O67" s="268"/>
      <c r="P67" s="268"/>
      <c r="Q67" s="268"/>
      <c r="R67" s="268"/>
      <c r="T67" s="278">
        <f t="shared" si="54"/>
        <v>950</v>
      </c>
      <c r="U67" s="278">
        <f t="shared" si="55"/>
        <v>0</v>
      </c>
      <c r="V67" s="278">
        <f t="shared" si="56"/>
        <v>0</v>
      </c>
      <c r="W67" s="278">
        <f t="shared" si="57"/>
        <v>0</v>
      </c>
      <c r="X67" s="278">
        <f t="shared" si="58"/>
        <v>0</v>
      </c>
      <c r="Y67" s="278">
        <f t="shared" si="59"/>
        <v>0</v>
      </c>
      <c r="Z67" s="278">
        <f t="shared" si="60"/>
        <v>0</v>
      </c>
      <c r="AB67" s="268">
        <v>10</v>
      </c>
      <c r="AD67" s="278">
        <f ca="1">IF(SUM($AD$3:AD$3)&lt;=$AB67,SUM($T67:T67),SUM(OFFSET(T67,0,0,1,-$AB67)))/$AB67</f>
        <v>95</v>
      </c>
      <c r="AE67" s="278">
        <f ca="1">IF(SUM($AD$3:AE$3)&lt;=$AB67,SUM($T67:U67),SUM(OFFSET(U67,0,0,1,-$AB67)))/$AB67</f>
        <v>95</v>
      </c>
      <c r="AF67" s="278">
        <f ca="1">IF(SUM($AD$3:AF$3)&lt;=$AB67,SUM($T67:V67),SUM(OFFSET(V67,0,0,1,-$AB67)))/$AB67</f>
        <v>95</v>
      </c>
      <c r="AG67" s="278">
        <f ca="1">IF(SUM($AD$3:AG$3)&lt;=$AB67,SUM($T67:W67),SUM(OFFSET(W67,0,0,1,-$AB67)))/$AB67</f>
        <v>95</v>
      </c>
      <c r="AH67" s="278">
        <f ca="1">IF(SUM($AD$3:AH$3)&lt;=$AB67,SUM($T67:X67),SUM(OFFSET(X67,0,0,1,-$AB67)))/$AB67</f>
        <v>95</v>
      </c>
      <c r="AI67" s="278">
        <f ca="1">IF(SUM($AD$3:AI$3)&lt;=$AB67,SUM($T67:Y67),SUM(OFFSET(Y67,0,0,1,-$AB67)))/$AB67</f>
        <v>95</v>
      </c>
      <c r="AJ67" s="278">
        <f ca="1">IF(SUM($AD$3:AJ$3)&lt;=$AB67,SUM($T67:Z67),SUM(OFFSET(Z67,0,0,1,-$AB67)))/$AB67</f>
        <v>95</v>
      </c>
    </row>
    <row r="68" spans="2:36" outlineLevel="1" x14ac:dyDescent="0.2">
      <c r="B68" s="196" t="s">
        <v>319</v>
      </c>
      <c r="C68" s="290" t="s">
        <v>160</v>
      </c>
      <c r="D68" s="294" t="s">
        <v>161</v>
      </c>
      <c r="E68" s="303">
        <v>378</v>
      </c>
      <c r="F68" s="303"/>
      <c r="G68" s="303">
        <v>378</v>
      </c>
      <c r="I68" s="267">
        <v>1</v>
      </c>
      <c r="J68" s="267">
        <v>2</v>
      </c>
      <c r="L68" s="267">
        <v>1</v>
      </c>
      <c r="M68" s="268"/>
      <c r="N68" s="268"/>
      <c r="O68" s="268"/>
      <c r="P68" s="268"/>
      <c r="Q68" s="268"/>
      <c r="R68" s="268"/>
      <c r="T68" s="278">
        <f t="shared" si="54"/>
        <v>378</v>
      </c>
      <c r="U68" s="278">
        <f t="shared" si="55"/>
        <v>0</v>
      </c>
      <c r="V68" s="278">
        <f t="shared" si="56"/>
        <v>0</v>
      </c>
      <c r="W68" s="278">
        <f t="shared" si="57"/>
        <v>0</v>
      </c>
      <c r="X68" s="278">
        <f t="shared" si="58"/>
        <v>0</v>
      </c>
      <c r="Y68" s="278">
        <f t="shared" si="59"/>
        <v>0</v>
      </c>
      <c r="Z68" s="278">
        <f t="shared" si="60"/>
        <v>0</v>
      </c>
      <c r="AB68" s="268">
        <v>10</v>
      </c>
      <c r="AD68" s="278">
        <f ca="1">IF(SUM($AD$3:AD$3)&lt;=$AB68,SUM($T68:T68),SUM(OFFSET(T68,0,0,1,-$AB68)))/$AB68</f>
        <v>37.799999999999997</v>
      </c>
      <c r="AE68" s="278">
        <f ca="1">IF(SUM($AD$3:AE$3)&lt;=$AB68,SUM($T68:U68),SUM(OFFSET(U68,0,0,1,-$AB68)))/$AB68</f>
        <v>37.799999999999997</v>
      </c>
      <c r="AF68" s="278">
        <f ca="1">IF(SUM($AD$3:AF$3)&lt;=$AB68,SUM($T68:V68),SUM(OFFSET(V68,0,0,1,-$AB68)))/$AB68</f>
        <v>37.799999999999997</v>
      </c>
      <c r="AG68" s="278">
        <f ca="1">IF(SUM($AD$3:AG$3)&lt;=$AB68,SUM($T68:W68),SUM(OFFSET(W68,0,0,1,-$AB68)))/$AB68</f>
        <v>37.799999999999997</v>
      </c>
      <c r="AH68" s="278">
        <f ca="1">IF(SUM($AD$3:AH$3)&lt;=$AB68,SUM($T68:X68),SUM(OFFSET(X68,0,0,1,-$AB68)))/$AB68</f>
        <v>37.799999999999997</v>
      </c>
      <c r="AI68" s="278">
        <f ca="1">IF(SUM($AD$3:AI$3)&lt;=$AB68,SUM($T68:Y68),SUM(OFFSET(Y68,0,0,1,-$AB68)))/$AB68</f>
        <v>37.799999999999997</v>
      </c>
      <c r="AJ68" s="278">
        <f ca="1">IF(SUM($AD$3:AJ$3)&lt;=$AB68,SUM($T68:Z68),SUM(OFFSET(Z68,0,0,1,-$AB68)))/$AB68</f>
        <v>37.799999999999997</v>
      </c>
    </row>
    <row r="69" spans="2:36" outlineLevel="1" x14ac:dyDescent="0.2">
      <c r="B69" s="196" t="s">
        <v>241</v>
      </c>
      <c r="C69" s="290" t="s">
        <v>155</v>
      </c>
      <c r="D69" s="294" t="s">
        <v>156</v>
      </c>
      <c r="E69" s="303">
        <v>350</v>
      </c>
      <c r="F69" s="303"/>
      <c r="G69" s="303">
        <v>350</v>
      </c>
      <c r="I69" s="267">
        <v>1</v>
      </c>
      <c r="J69" s="267">
        <v>2</v>
      </c>
      <c r="L69" s="267">
        <v>1</v>
      </c>
      <c r="M69" s="268"/>
      <c r="N69" s="268"/>
      <c r="O69" s="268"/>
      <c r="P69" s="268"/>
      <c r="Q69" s="268"/>
      <c r="R69" s="268"/>
      <c r="T69" s="278">
        <f t="shared" si="54"/>
        <v>350</v>
      </c>
      <c r="U69" s="278">
        <f t="shared" si="55"/>
        <v>0</v>
      </c>
      <c r="V69" s="278">
        <f t="shared" si="56"/>
        <v>0</v>
      </c>
      <c r="W69" s="278">
        <f t="shared" si="57"/>
        <v>0</v>
      </c>
      <c r="X69" s="278">
        <f t="shared" si="58"/>
        <v>0</v>
      </c>
      <c r="Y69" s="278">
        <f t="shared" si="59"/>
        <v>0</v>
      </c>
      <c r="Z69" s="278">
        <f t="shared" si="60"/>
        <v>0</v>
      </c>
      <c r="AB69" s="268">
        <v>10</v>
      </c>
      <c r="AD69" s="278">
        <f ca="1">IF(SUM($AD$3:AD$3)&lt;=$AB69,SUM($T69:T69),SUM(OFFSET(T69,0,0,1,-$AB69)))/$AB69</f>
        <v>35</v>
      </c>
      <c r="AE69" s="278">
        <f ca="1">IF(SUM($AD$3:AE$3)&lt;=$AB69,SUM($T69:U69),SUM(OFFSET(U69,0,0,1,-$AB69)))/$AB69</f>
        <v>35</v>
      </c>
      <c r="AF69" s="278">
        <f ca="1">IF(SUM($AD$3:AF$3)&lt;=$AB69,SUM($T69:V69),SUM(OFFSET(V69,0,0,1,-$AB69)))/$AB69</f>
        <v>35</v>
      </c>
      <c r="AG69" s="278">
        <f ca="1">IF(SUM($AD$3:AG$3)&lt;=$AB69,SUM($T69:W69),SUM(OFFSET(W69,0,0,1,-$AB69)))/$AB69</f>
        <v>35</v>
      </c>
      <c r="AH69" s="278">
        <f ca="1">IF(SUM($AD$3:AH$3)&lt;=$AB69,SUM($T69:X69),SUM(OFFSET(X69,0,0,1,-$AB69)))/$AB69</f>
        <v>35</v>
      </c>
      <c r="AI69" s="278">
        <f ca="1">IF(SUM($AD$3:AI$3)&lt;=$AB69,SUM($T69:Y69),SUM(OFFSET(Y69,0,0,1,-$AB69)))/$AB69</f>
        <v>35</v>
      </c>
      <c r="AJ69" s="278">
        <f ca="1">IF(SUM($AD$3:AJ$3)&lt;=$AB69,SUM($T69:Z69),SUM(OFFSET(Z69,0,0,1,-$AB69)))/$AB69</f>
        <v>35</v>
      </c>
    </row>
    <row r="70" spans="2:36" outlineLevel="1" x14ac:dyDescent="0.2">
      <c r="B70" s="196" t="s">
        <v>313</v>
      </c>
      <c r="C70" s="290" t="s">
        <v>147</v>
      </c>
      <c r="D70" s="294" t="s">
        <v>148</v>
      </c>
      <c r="E70" s="303">
        <v>340</v>
      </c>
      <c r="F70" s="303"/>
      <c r="G70" s="303">
        <v>340</v>
      </c>
      <c r="I70" s="267">
        <v>1</v>
      </c>
      <c r="J70" s="267">
        <v>2</v>
      </c>
      <c r="L70" s="267">
        <v>1</v>
      </c>
      <c r="M70" s="268"/>
      <c r="N70" s="268"/>
      <c r="O70" s="268"/>
      <c r="P70" s="268"/>
      <c r="Q70" s="268"/>
      <c r="R70" s="268"/>
      <c r="T70" s="278">
        <f t="shared" si="54"/>
        <v>340</v>
      </c>
      <c r="U70" s="278">
        <f t="shared" si="55"/>
        <v>0</v>
      </c>
      <c r="V70" s="278">
        <f t="shared" si="56"/>
        <v>0</v>
      </c>
      <c r="W70" s="278">
        <f t="shared" si="57"/>
        <v>0</v>
      </c>
      <c r="X70" s="278">
        <f t="shared" si="58"/>
        <v>0</v>
      </c>
      <c r="Y70" s="278">
        <f t="shared" si="59"/>
        <v>0</v>
      </c>
      <c r="Z70" s="278">
        <f t="shared" si="60"/>
        <v>0</v>
      </c>
      <c r="AB70" s="268">
        <v>10</v>
      </c>
      <c r="AD70" s="278">
        <f ca="1">IF(SUM($AD$3:AD$3)&lt;=$AB70,SUM($T70:T70),SUM(OFFSET(T70,0,0,1,-$AB70)))/$AB70</f>
        <v>34</v>
      </c>
      <c r="AE70" s="278">
        <f ca="1">IF(SUM($AD$3:AE$3)&lt;=$AB70,SUM($T70:U70),SUM(OFFSET(U70,0,0,1,-$AB70)))/$AB70</f>
        <v>34</v>
      </c>
      <c r="AF70" s="278">
        <f ca="1">IF(SUM($AD$3:AF$3)&lt;=$AB70,SUM($T70:V70),SUM(OFFSET(V70,0,0,1,-$AB70)))/$AB70</f>
        <v>34</v>
      </c>
      <c r="AG70" s="278">
        <f ca="1">IF(SUM($AD$3:AG$3)&lt;=$AB70,SUM($T70:W70),SUM(OFFSET(W70,0,0,1,-$AB70)))/$AB70</f>
        <v>34</v>
      </c>
      <c r="AH70" s="278">
        <f ca="1">IF(SUM($AD$3:AH$3)&lt;=$AB70,SUM($T70:X70),SUM(OFFSET(X70,0,0,1,-$AB70)))/$AB70</f>
        <v>34</v>
      </c>
      <c r="AI70" s="278">
        <f ca="1">IF(SUM($AD$3:AI$3)&lt;=$AB70,SUM($T70:Y70),SUM(OFFSET(Y70,0,0,1,-$AB70)))/$AB70</f>
        <v>34</v>
      </c>
      <c r="AJ70" s="278">
        <f ca="1">IF(SUM($AD$3:AJ$3)&lt;=$AB70,SUM($T70:Z70),SUM(OFFSET(Z70,0,0,1,-$AB70)))/$AB70</f>
        <v>34</v>
      </c>
    </row>
    <row r="71" spans="2:36" outlineLevel="1" x14ac:dyDescent="0.2">
      <c r="B71" s="196" t="s">
        <v>315</v>
      </c>
      <c r="C71" s="290" t="s">
        <v>152</v>
      </c>
      <c r="D71" s="294" t="s">
        <v>153</v>
      </c>
      <c r="E71" s="303">
        <v>19</v>
      </c>
      <c r="F71" s="303"/>
      <c r="G71" s="303">
        <v>19</v>
      </c>
      <c r="I71" s="267">
        <v>8</v>
      </c>
      <c r="J71" s="267">
        <v>2</v>
      </c>
      <c r="L71" s="267">
        <v>16</v>
      </c>
      <c r="M71" s="268"/>
      <c r="N71" s="268"/>
      <c r="O71" s="268"/>
      <c r="P71" s="268"/>
      <c r="Q71" s="268"/>
      <c r="R71" s="268"/>
      <c r="T71" s="278">
        <f t="shared" si="54"/>
        <v>304</v>
      </c>
      <c r="U71" s="278">
        <f t="shared" si="55"/>
        <v>0</v>
      </c>
      <c r="V71" s="278">
        <f t="shared" si="56"/>
        <v>0</v>
      </c>
      <c r="W71" s="278">
        <f t="shared" si="57"/>
        <v>0</v>
      </c>
      <c r="X71" s="278">
        <f t="shared" si="58"/>
        <v>0</v>
      </c>
      <c r="Y71" s="278">
        <f t="shared" si="59"/>
        <v>0</v>
      </c>
      <c r="Z71" s="278">
        <f t="shared" si="60"/>
        <v>0</v>
      </c>
      <c r="AB71" s="268">
        <v>10</v>
      </c>
      <c r="AD71" s="278">
        <f ca="1">IF(SUM($AD$3:AD$3)&lt;=$AB71,SUM($T71:T71),SUM(OFFSET(T71,0,0,1,-$AB71)))/$AB71</f>
        <v>30.4</v>
      </c>
      <c r="AE71" s="278">
        <f ca="1">IF(SUM($AD$3:AE$3)&lt;=$AB71,SUM($T71:U71),SUM(OFFSET(U71,0,0,1,-$AB71)))/$AB71</f>
        <v>30.4</v>
      </c>
      <c r="AF71" s="278">
        <f ca="1">IF(SUM($AD$3:AF$3)&lt;=$AB71,SUM($T71:V71),SUM(OFFSET(V71,0,0,1,-$AB71)))/$AB71</f>
        <v>30.4</v>
      </c>
      <c r="AG71" s="278">
        <f ca="1">IF(SUM($AD$3:AG$3)&lt;=$AB71,SUM($T71:W71),SUM(OFFSET(W71,0,0,1,-$AB71)))/$AB71</f>
        <v>30.4</v>
      </c>
      <c r="AH71" s="278">
        <f ca="1">IF(SUM($AD$3:AH$3)&lt;=$AB71,SUM($T71:X71),SUM(OFFSET(X71,0,0,1,-$AB71)))/$AB71</f>
        <v>30.4</v>
      </c>
      <c r="AI71" s="278">
        <f ca="1">IF(SUM($AD$3:AI$3)&lt;=$AB71,SUM($T71:Y71),SUM(OFFSET(Y71,0,0,1,-$AB71)))/$AB71</f>
        <v>30.4</v>
      </c>
      <c r="AJ71" s="278">
        <f ca="1">IF(SUM($AD$3:AJ$3)&lt;=$AB71,SUM($T71:Z71),SUM(OFFSET(Z71,0,0,1,-$AB71)))/$AB71</f>
        <v>30.4</v>
      </c>
    </row>
    <row r="72" spans="2:36" outlineLevel="1" x14ac:dyDescent="0.2">
      <c r="B72" s="196" t="s">
        <v>314</v>
      </c>
      <c r="C72" s="290" t="s">
        <v>149</v>
      </c>
      <c r="D72" s="294"/>
      <c r="E72" s="303">
        <v>167</v>
      </c>
      <c r="F72" s="303"/>
      <c r="G72" s="303">
        <v>167</v>
      </c>
      <c r="I72" s="267">
        <v>1</v>
      </c>
      <c r="J72" s="267">
        <v>2</v>
      </c>
      <c r="L72" s="267">
        <v>1</v>
      </c>
      <c r="M72" s="268"/>
      <c r="N72" s="268"/>
      <c r="O72" s="268"/>
      <c r="P72" s="268"/>
      <c r="Q72" s="268"/>
      <c r="R72" s="268"/>
      <c r="T72" s="278">
        <f t="shared" si="54"/>
        <v>167</v>
      </c>
      <c r="U72" s="278">
        <f t="shared" si="55"/>
        <v>0</v>
      </c>
      <c r="V72" s="278">
        <f t="shared" si="56"/>
        <v>0</v>
      </c>
      <c r="W72" s="278">
        <f t="shared" si="57"/>
        <v>0</v>
      </c>
      <c r="X72" s="278">
        <f t="shared" si="58"/>
        <v>0</v>
      </c>
      <c r="Y72" s="278">
        <f t="shared" si="59"/>
        <v>0</v>
      </c>
      <c r="Z72" s="278">
        <f t="shared" si="60"/>
        <v>0</v>
      </c>
      <c r="AB72" s="268">
        <v>10</v>
      </c>
      <c r="AD72" s="278">
        <f ca="1">IF(SUM($AD$3:AD$3)&lt;=$AB72,SUM($T72:T72),SUM(OFFSET(T72,0,0,1,-$AB72)))/$AB72</f>
        <v>16.7</v>
      </c>
      <c r="AE72" s="278">
        <f ca="1">IF(SUM($AD$3:AE$3)&lt;=$AB72,SUM($T72:U72),SUM(OFFSET(U72,0,0,1,-$AB72)))/$AB72</f>
        <v>16.7</v>
      </c>
      <c r="AF72" s="278">
        <f ca="1">IF(SUM($AD$3:AF$3)&lt;=$AB72,SUM($T72:V72),SUM(OFFSET(V72,0,0,1,-$AB72)))/$AB72</f>
        <v>16.7</v>
      </c>
      <c r="AG72" s="278">
        <f ca="1">IF(SUM($AD$3:AG$3)&lt;=$AB72,SUM($T72:W72),SUM(OFFSET(W72,0,0,1,-$AB72)))/$AB72</f>
        <v>16.7</v>
      </c>
      <c r="AH72" s="278">
        <f ca="1">IF(SUM($AD$3:AH$3)&lt;=$AB72,SUM($T72:X72),SUM(OFFSET(X72,0,0,1,-$AB72)))/$AB72</f>
        <v>16.7</v>
      </c>
      <c r="AI72" s="278">
        <f ca="1">IF(SUM($AD$3:AI$3)&lt;=$AB72,SUM($T72:Y72),SUM(OFFSET(Y72,0,0,1,-$AB72)))/$AB72</f>
        <v>16.7</v>
      </c>
      <c r="AJ72" s="278">
        <f ca="1">IF(SUM($AD$3:AJ$3)&lt;=$AB72,SUM($T72:Z72),SUM(OFFSET(Z72,0,0,1,-$AB72)))/$AB72</f>
        <v>16.7</v>
      </c>
    </row>
    <row r="73" spans="2:36" outlineLevel="1" x14ac:dyDescent="0.2">
      <c r="B73" s="196" t="s">
        <v>323</v>
      </c>
      <c r="C73" s="290" t="s">
        <v>150</v>
      </c>
      <c r="D73" s="294" t="s">
        <v>151</v>
      </c>
      <c r="E73" s="303">
        <v>166</v>
      </c>
      <c r="F73" s="303"/>
      <c r="G73" s="303">
        <v>166</v>
      </c>
      <c r="I73" s="267">
        <v>1</v>
      </c>
      <c r="J73" s="267">
        <v>2</v>
      </c>
      <c r="L73" s="267">
        <v>1</v>
      </c>
      <c r="M73" s="268"/>
      <c r="N73" s="268"/>
      <c r="O73" s="268"/>
      <c r="P73" s="268"/>
      <c r="Q73" s="268"/>
      <c r="R73" s="268"/>
      <c r="T73" s="278">
        <f t="shared" si="54"/>
        <v>166</v>
      </c>
      <c r="U73" s="278">
        <f t="shared" si="55"/>
        <v>0</v>
      </c>
      <c r="V73" s="278">
        <f t="shared" si="56"/>
        <v>0</v>
      </c>
      <c r="W73" s="278">
        <f t="shared" si="57"/>
        <v>0</v>
      </c>
      <c r="X73" s="278">
        <f t="shared" si="58"/>
        <v>0</v>
      </c>
      <c r="Y73" s="278">
        <f t="shared" si="59"/>
        <v>0</v>
      </c>
      <c r="Z73" s="278">
        <f t="shared" si="60"/>
        <v>0</v>
      </c>
      <c r="AB73" s="268">
        <v>10</v>
      </c>
      <c r="AD73" s="278">
        <f ca="1">IF(SUM($AD$3:AD$3)&lt;=$AB73,SUM($T73:T73),SUM(OFFSET(T73,0,0,1,-$AB73)))/$AB73</f>
        <v>16.600000000000001</v>
      </c>
      <c r="AE73" s="278">
        <f ca="1">IF(SUM($AD$3:AE$3)&lt;=$AB73,SUM($T73:U73),SUM(OFFSET(U73,0,0,1,-$AB73)))/$AB73</f>
        <v>16.600000000000001</v>
      </c>
      <c r="AF73" s="278">
        <f ca="1">IF(SUM($AD$3:AF$3)&lt;=$AB73,SUM($T73:V73),SUM(OFFSET(V73,0,0,1,-$AB73)))/$AB73</f>
        <v>16.600000000000001</v>
      </c>
      <c r="AG73" s="278">
        <f ca="1">IF(SUM($AD$3:AG$3)&lt;=$AB73,SUM($T73:W73),SUM(OFFSET(W73,0,0,1,-$AB73)))/$AB73</f>
        <v>16.600000000000001</v>
      </c>
      <c r="AH73" s="278">
        <f ca="1">IF(SUM($AD$3:AH$3)&lt;=$AB73,SUM($T73:X73),SUM(OFFSET(X73,0,0,1,-$AB73)))/$AB73</f>
        <v>16.600000000000001</v>
      </c>
      <c r="AI73" s="278">
        <f ca="1">IF(SUM($AD$3:AI$3)&lt;=$AB73,SUM($T73:Y73),SUM(OFFSET(Y73,0,0,1,-$AB73)))/$AB73</f>
        <v>16.600000000000001</v>
      </c>
      <c r="AJ73" s="278">
        <f ca="1">IF(SUM($AD$3:AJ$3)&lt;=$AB73,SUM($T73:Z73),SUM(OFFSET(Z73,0,0,1,-$AB73)))/$AB73</f>
        <v>16.600000000000001</v>
      </c>
    </row>
    <row r="74" spans="2:36" outlineLevel="1" x14ac:dyDescent="0.2">
      <c r="B74" s="196" t="s">
        <v>321</v>
      </c>
      <c r="C74" s="290" t="s">
        <v>162</v>
      </c>
      <c r="D74" s="294"/>
      <c r="E74" s="303">
        <v>88</v>
      </c>
      <c r="F74" s="303"/>
      <c r="G74" s="303">
        <v>88</v>
      </c>
      <c r="I74" s="267">
        <v>1</v>
      </c>
      <c r="J74" s="267">
        <v>2</v>
      </c>
      <c r="L74" s="267">
        <v>1</v>
      </c>
      <c r="M74" s="268"/>
      <c r="N74" s="268"/>
      <c r="O74" s="268"/>
      <c r="P74" s="268"/>
      <c r="Q74" s="268"/>
      <c r="R74" s="268"/>
      <c r="T74" s="278">
        <f t="shared" si="54"/>
        <v>88</v>
      </c>
      <c r="U74" s="278">
        <f t="shared" si="55"/>
        <v>0</v>
      </c>
      <c r="V74" s="278">
        <f t="shared" si="56"/>
        <v>0</v>
      </c>
      <c r="W74" s="278">
        <f t="shared" si="57"/>
        <v>0</v>
      </c>
      <c r="X74" s="278">
        <f t="shared" si="58"/>
        <v>0</v>
      </c>
      <c r="Y74" s="278">
        <f t="shared" si="59"/>
        <v>0</v>
      </c>
      <c r="Z74" s="278">
        <f t="shared" si="60"/>
        <v>0</v>
      </c>
      <c r="AB74" s="268">
        <v>10</v>
      </c>
      <c r="AD74" s="278">
        <f ca="1">IF(SUM($AD$3:AD$3)&lt;=$AB74,SUM($T74:T74),SUM(OFFSET(T74,0,0,1,-$AB74)))/$AB74</f>
        <v>8.8000000000000007</v>
      </c>
      <c r="AE74" s="278">
        <f ca="1">IF(SUM($AD$3:AE$3)&lt;=$AB74,SUM($T74:U74),SUM(OFFSET(U74,0,0,1,-$AB74)))/$AB74</f>
        <v>8.8000000000000007</v>
      </c>
      <c r="AF74" s="278">
        <f ca="1">IF(SUM($AD$3:AF$3)&lt;=$AB74,SUM($T74:V74),SUM(OFFSET(V74,0,0,1,-$AB74)))/$AB74</f>
        <v>8.8000000000000007</v>
      </c>
      <c r="AG74" s="278">
        <f ca="1">IF(SUM($AD$3:AG$3)&lt;=$AB74,SUM($T74:W74),SUM(OFFSET(W74,0,0,1,-$AB74)))/$AB74</f>
        <v>8.8000000000000007</v>
      </c>
      <c r="AH74" s="278">
        <f ca="1">IF(SUM($AD$3:AH$3)&lt;=$AB74,SUM($T74:X74),SUM(OFFSET(X74,0,0,1,-$AB74)))/$AB74</f>
        <v>8.8000000000000007</v>
      </c>
      <c r="AI74" s="278">
        <f ca="1">IF(SUM($AD$3:AI$3)&lt;=$AB74,SUM($T74:Y74),SUM(OFFSET(Y74,0,0,1,-$AB74)))/$AB74</f>
        <v>8.8000000000000007</v>
      </c>
      <c r="AJ74" s="278">
        <f ca="1">IF(SUM($AD$3:AJ$3)&lt;=$AB74,SUM($T74:Z74),SUM(OFFSET(Z74,0,0,1,-$AB74)))/$AB74</f>
        <v>8.8000000000000007</v>
      </c>
    </row>
    <row r="75" spans="2:36" outlineLevel="1" x14ac:dyDescent="0.2">
      <c r="B75" s="196" t="s">
        <v>322</v>
      </c>
      <c r="C75" s="290" t="s">
        <v>164</v>
      </c>
      <c r="D75" s="294" t="s">
        <v>165</v>
      </c>
      <c r="E75" s="303">
        <v>50</v>
      </c>
      <c r="F75" s="303"/>
      <c r="G75" s="303">
        <v>50</v>
      </c>
      <c r="I75" s="267">
        <v>1</v>
      </c>
      <c r="J75" s="267">
        <v>2</v>
      </c>
      <c r="L75" s="267">
        <v>1</v>
      </c>
      <c r="M75" s="268"/>
      <c r="N75" s="268"/>
      <c r="O75" s="268"/>
      <c r="P75" s="268"/>
      <c r="Q75" s="268"/>
      <c r="R75" s="268"/>
      <c r="T75" s="278">
        <f t="shared" si="54"/>
        <v>50</v>
      </c>
      <c r="U75" s="278">
        <f t="shared" si="55"/>
        <v>0</v>
      </c>
      <c r="V75" s="278">
        <f t="shared" si="56"/>
        <v>0</v>
      </c>
      <c r="W75" s="278">
        <f t="shared" si="57"/>
        <v>0</v>
      </c>
      <c r="X75" s="278">
        <f t="shared" si="58"/>
        <v>0</v>
      </c>
      <c r="Y75" s="278">
        <f t="shared" si="59"/>
        <v>0</v>
      </c>
      <c r="Z75" s="278">
        <f t="shared" si="60"/>
        <v>0</v>
      </c>
      <c r="AB75" s="268">
        <v>10</v>
      </c>
      <c r="AD75" s="278">
        <f ca="1">IF(SUM($AD$3:AD$3)&lt;=$AB75,SUM($T75:T75),SUM(OFFSET(T75,0,0,1,-$AB75)))/$AB75</f>
        <v>5</v>
      </c>
      <c r="AE75" s="278">
        <f ca="1">IF(SUM($AD$3:AE$3)&lt;=$AB75,SUM($T75:U75),SUM(OFFSET(U75,0,0,1,-$AB75)))/$AB75</f>
        <v>5</v>
      </c>
      <c r="AF75" s="278">
        <f ca="1">IF(SUM($AD$3:AF$3)&lt;=$AB75,SUM($T75:V75),SUM(OFFSET(V75,0,0,1,-$AB75)))/$AB75</f>
        <v>5</v>
      </c>
      <c r="AG75" s="278">
        <f ca="1">IF(SUM($AD$3:AG$3)&lt;=$AB75,SUM($T75:W75),SUM(OFFSET(W75,0,0,1,-$AB75)))/$AB75</f>
        <v>5</v>
      </c>
      <c r="AH75" s="278">
        <f ca="1">IF(SUM($AD$3:AH$3)&lt;=$AB75,SUM($T75:X75),SUM(OFFSET(X75,0,0,1,-$AB75)))/$AB75</f>
        <v>5</v>
      </c>
      <c r="AI75" s="278">
        <f ca="1">IF(SUM($AD$3:AI$3)&lt;=$AB75,SUM($T75:Y75),SUM(OFFSET(Y75,0,0,1,-$AB75)))/$AB75</f>
        <v>5</v>
      </c>
      <c r="AJ75" s="278">
        <f ca="1">IF(SUM($AD$3:AJ$3)&lt;=$AB75,SUM($T75:Z75),SUM(OFFSET(Z75,0,0,1,-$AB75)))/$AB75</f>
        <v>5</v>
      </c>
    </row>
    <row r="76" spans="2:36" outlineLevel="1" x14ac:dyDescent="0.2">
      <c r="B76" s="196" t="s">
        <v>316</v>
      </c>
      <c r="C76" s="290" t="s">
        <v>154</v>
      </c>
      <c r="D76" s="294"/>
      <c r="E76" s="303">
        <v>9</v>
      </c>
      <c r="F76" s="303"/>
      <c r="G76" s="303">
        <v>9</v>
      </c>
      <c r="I76" s="267">
        <v>2</v>
      </c>
      <c r="J76" s="267">
        <v>2</v>
      </c>
      <c r="L76" s="267">
        <v>4</v>
      </c>
      <c r="M76" s="268"/>
      <c r="N76" s="268"/>
      <c r="O76" s="268"/>
      <c r="P76" s="268"/>
      <c r="Q76" s="268"/>
      <c r="R76" s="268"/>
      <c r="T76" s="278">
        <f t="shared" si="54"/>
        <v>36</v>
      </c>
      <c r="U76" s="278">
        <f t="shared" si="55"/>
        <v>0</v>
      </c>
      <c r="V76" s="278">
        <f t="shared" si="56"/>
        <v>0</v>
      </c>
      <c r="W76" s="278">
        <f t="shared" si="57"/>
        <v>0</v>
      </c>
      <c r="X76" s="278">
        <f t="shared" si="58"/>
        <v>0</v>
      </c>
      <c r="Y76" s="278">
        <f t="shared" si="59"/>
        <v>0</v>
      </c>
      <c r="Z76" s="278">
        <f t="shared" si="60"/>
        <v>0</v>
      </c>
      <c r="AB76" s="268">
        <v>10</v>
      </c>
      <c r="AD76" s="278">
        <f ca="1">IF(SUM($AD$3:AD$3)&lt;=$AB76,SUM($T76:T76),SUM(OFFSET(T76,0,0,1,-$AB76)))/$AB76</f>
        <v>3.6</v>
      </c>
      <c r="AE76" s="278">
        <f ca="1">IF(SUM($AD$3:AE$3)&lt;=$AB76,SUM($T76:U76),SUM(OFFSET(U76,0,0,1,-$AB76)))/$AB76</f>
        <v>3.6</v>
      </c>
      <c r="AF76" s="278">
        <f ca="1">IF(SUM($AD$3:AF$3)&lt;=$AB76,SUM($T76:V76),SUM(OFFSET(V76,0,0,1,-$AB76)))/$AB76</f>
        <v>3.6</v>
      </c>
      <c r="AG76" s="278">
        <f ca="1">IF(SUM($AD$3:AG$3)&lt;=$AB76,SUM($T76:W76),SUM(OFFSET(W76,0,0,1,-$AB76)))/$AB76</f>
        <v>3.6</v>
      </c>
      <c r="AH76" s="278">
        <f ca="1">IF(SUM($AD$3:AH$3)&lt;=$AB76,SUM($T76:X76),SUM(OFFSET(X76,0,0,1,-$AB76)))/$AB76</f>
        <v>3.6</v>
      </c>
      <c r="AI76" s="278">
        <f ca="1">IF(SUM($AD$3:AI$3)&lt;=$AB76,SUM($T76:Y76),SUM(OFFSET(Y76,0,0,1,-$AB76)))/$AB76</f>
        <v>3.6</v>
      </c>
      <c r="AJ76" s="278">
        <f ca="1">IF(SUM($AD$3:AJ$3)&lt;=$AB76,SUM($T76:Z76),SUM(OFFSET(Z76,0,0,1,-$AB76)))/$AB76</f>
        <v>3.6</v>
      </c>
    </row>
    <row r="77" spans="2:36" outlineLevel="1" x14ac:dyDescent="0.2">
      <c r="B77" s="196" t="s">
        <v>320</v>
      </c>
      <c r="C77" s="290" t="s">
        <v>163</v>
      </c>
      <c r="D77" s="294"/>
      <c r="E77" s="303">
        <v>31</v>
      </c>
      <c r="F77" s="303"/>
      <c r="G77" s="303">
        <v>31</v>
      </c>
      <c r="I77" s="267">
        <v>1</v>
      </c>
      <c r="J77" s="267">
        <v>2</v>
      </c>
      <c r="L77" s="267">
        <v>1</v>
      </c>
      <c r="M77" s="268"/>
      <c r="N77" s="268"/>
      <c r="O77" s="268"/>
      <c r="P77" s="268"/>
      <c r="Q77" s="268"/>
      <c r="R77" s="268"/>
      <c r="T77" s="278">
        <f t="shared" si="54"/>
        <v>31</v>
      </c>
      <c r="U77" s="278">
        <f t="shared" si="55"/>
        <v>0</v>
      </c>
      <c r="V77" s="278">
        <f t="shared" si="56"/>
        <v>0</v>
      </c>
      <c r="W77" s="278">
        <f t="shared" si="57"/>
        <v>0</v>
      </c>
      <c r="X77" s="278">
        <f t="shared" si="58"/>
        <v>0</v>
      </c>
      <c r="Y77" s="278">
        <f t="shared" si="59"/>
        <v>0</v>
      </c>
      <c r="Z77" s="278">
        <f t="shared" si="60"/>
        <v>0</v>
      </c>
      <c r="AB77" s="268">
        <v>10</v>
      </c>
      <c r="AD77" s="278">
        <f ca="1">IF(SUM($AD$3:AD$3)&lt;=$AB77,SUM($T77:T77),SUM(OFFSET(T77,0,0,1,-$AB77)))/$AB77</f>
        <v>3.1</v>
      </c>
      <c r="AE77" s="278">
        <f ca="1">IF(SUM($AD$3:AE$3)&lt;=$AB77,SUM($T77:U77),SUM(OFFSET(U77,0,0,1,-$AB77)))/$AB77</f>
        <v>3.1</v>
      </c>
      <c r="AF77" s="278">
        <f ca="1">IF(SUM($AD$3:AF$3)&lt;=$AB77,SUM($T77:V77),SUM(OFFSET(V77,0,0,1,-$AB77)))/$AB77</f>
        <v>3.1</v>
      </c>
      <c r="AG77" s="278">
        <f ca="1">IF(SUM($AD$3:AG$3)&lt;=$AB77,SUM($T77:W77),SUM(OFFSET(W77,0,0,1,-$AB77)))/$AB77</f>
        <v>3.1</v>
      </c>
      <c r="AH77" s="278">
        <f ca="1">IF(SUM($AD$3:AH$3)&lt;=$AB77,SUM($T77:X77),SUM(OFFSET(X77,0,0,1,-$AB77)))/$AB77</f>
        <v>3.1</v>
      </c>
      <c r="AI77" s="278">
        <f ca="1">IF(SUM($AD$3:AI$3)&lt;=$AB77,SUM($T77:Y77),SUM(OFFSET(Y77,0,0,1,-$AB77)))/$AB77</f>
        <v>3.1</v>
      </c>
      <c r="AJ77" s="278">
        <f ca="1">IF(SUM($AD$3:AJ$3)&lt;=$AB77,SUM($T77:Z77),SUM(OFFSET(Z77,0,0,1,-$AB77)))/$AB77</f>
        <v>3.1</v>
      </c>
    </row>
    <row r="78" spans="2:36" outlineLevel="1" x14ac:dyDescent="0.2">
      <c r="B78" s="196" t="s">
        <v>318</v>
      </c>
      <c r="C78" s="290" t="s">
        <v>159</v>
      </c>
      <c r="D78" s="294"/>
      <c r="E78" s="303">
        <v>22</v>
      </c>
      <c r="F78" s="303"/>
      <c r="G78" s="303">
        <v>22</v>
      </c>
      <c r="I78" s="267">
        <v>1</v>
      </c>
      <c r="J78" s="267">
        <v>2</v>
      </c>
      <c r="L78" s="267">
        <v>1</v>
      </c>
      <c r="M78" s="268"/>
      <c r="N78" s="268"/>
      <c r="O78" s="268"/>
      <c r="P78" s="268"/>
      <c r="Q78" s="268"/>
      <c r="R78" s="268"/>
      <c r="T78" s="278">
        <f t="shared" si="54"/>
        <v>22</v>
      </c>
      <c r="U78" s="278">
        <f t="shared" si="55"/>
        <v>0</v>
      </c>
      <c r="V78" s="278">
        <f t="shared" si="56"/>
        <v>0</v>
      </c>
      <c r="W78" s="278">
        <f t="shared" si="57"/>
        <v>0</v>
      </c>
      <c r="X78" s="278">
        <f t="shared" si="58"/>
        <v>0</v>
      </c>
      <c r="Y78" s="278">
        <f t="shared" si="59"/>
        <v>0</v>
      </c>
      <c r="Z78" s="278">
        <f t="shared" si="60"/>
        <v>0</v>
      </c>
      <c r="AB78" s="268">
        <v>10</v>
      </c>
      <c r="AD78" s="278">
        <f ca="1">IF(SUM($AD$3:AD$3)&lt;=$AB78,SUM($T78:T78),SUM(OFFSET(T78,0,0,1,-$AB78)))/$AB78</f>
        <v>2.2000000000000002</v>
      </c>
      <c r="AE78" s="278">
        <f ca="1">IF(SUM($AD$3:AE$3)&lt;=$AB78,SUM($T78:U78),SUM(OFFSET(U78,0,0,1,-$AB78)))/$AB78</f>
        <v>2.2000000000000002</v>
      </c>
      <c r="AF78" s="278">
        <f ca="1">IF(SUM($AD$3:AF$3)&lt;=$AB78,SUM($T78:V78),SUM(OFFSET(V78,0,0,1,-$AB78)))/$AB78</f>
        <v>2.2000000000000002</v>
      </c>
      <c r="AG78" s="278">
        <f ca="1">IF(SUM($AD$3:AG$3)&lt;=$AB78,SUM($T78:W78),SUM(OFFSET(W78,0,0,1,-$AB78)))/$AB78</f>
        <v>2.2000000000000002</v>
      </c>
      <c r="AH78" s="278">
        <f ca="1">IF(SUM($AD$3:AH$3)&lt;=$AB78,SUM($T78:X78),SUM(OFFSET(X78,0,0,1,-$AB78)))/$AB78</f>
        <v>2.2000000000000002</v>
      </c>
      <c r="AI78" s="278">
        <f ca="1">IF(SUM($AD$3:AI$3)&lt;=$AB78,SUM($T78:Y78),SUM(OFFSET(Y78,0,0,1,-$AB78)))/$AB78</f>
        <v>2.2000000000000002</v>
      </c>
      <c r="AJ78" s="278">
        <f ca="1">IF(SUM($AD$3:AJ$3)&lt;=$AB78,SUM($T78:Z78),SUM(OFFSET(Z78,0,0,1,-$AB78)))/$AB78</f>
        <v>2.2000000000000002</v>
      </c>
    </row>
    <row r="79" spans="2:36" x14ac:dyDescent="0.2">
      <c r="B79" s="272" t="s">
        <v>325</v>
      </c>
      <c r="C79" s="295" t="s">
        <v>174</v>
      </c>
      <c r="D79" s="296"/>
      <c r="E79" s="306"/>
      <c r="F79" s="306"/>
      <c r="G79" s="306"/>
      <c r="I79" s="273"/>
      <c r="J79" s="273"/>
      <c r="L79" s="274"/>
      <c r="M79" s="274"/>
      <c r="N79" s="274"/>
      <c r="O79" s="274"/>
      <c r="P79" s="274"/>
      <c r="Q79" s="274"/>
      <c r="R79" s="274"/>
      <c r="T79" s="280">
        <f>SUM(T80:T82)</f>
        <v>0</v>
      </c>
      <c r="U79" s="280">
        <f t="shared" ref="U79:Z79" si="61">SUM(U80:U82)</f>
        <v>135000</v>
      </c>
      <c r="V79" s="280">
        <f t="shared" si="61"/>
        <v>0</v>
      </c>
      <c r="W79" s="280">
        <f t="shared" si="61"/>
        <v>0</v>
      </c>
      <c r="X79" s="280">
        <f t="shared" si="61"/>
        <v>0</v>
      </c>
      <c r="Y79" s="280">
        <f t="shared" si="61"/>
        <v>0</v>
      </c>
      <c r="Z79" s="280">
        <f t="shared" si="61"/>
        <v>0</v>
      </c>
      <c r="AB79" s="367"/>
      <c r="AD79" s="280">
        <f ca="1">SUM(AD80:AD82)</f>
        <v>0</v>
      </c>
      <c r="AE79" s="280">
        <f t="shared" ref="AE79:AJ79" ca="1" si="62">SUM(AE80:AE82)</f>
        <v>13500</v>
      </c>
      <c r="AF79" s="280">
        <f t="shared" ca="1" si="62"/>
        <v>13500</v>
      </c>
      <c r="AG79" s="280">
        <f t="shared" ca="1" si="62"/>
        <v>13500</v>
      </c>
      <c r="AH79" s="280">
        <f t="shared" ca="1" si="62"/>
        <v>13500</v>
      </c>
      <c r="AI79" s="280">
        <f t="shared" ca="1" si="62"/>
        <v>13500</v>
      </c>
      <c r="AJ79" s="280">
        <f t="shared" ca="1" si="62"/>
        <v>13500</v>
      </c>
    </row>
    <row r="80" spans="2:36" outlineLevel="1" x14ac:dyDescent="0.2">
      <c r="B80" s="196" t="s">
        <v>324</v>
      </c>
      <c r="C80" s="290" t="s">
        <v>175</v>
      </c>
      <c r="D80" s="294" t="s">
        <v>176</v>
      </c>
      <c r="E80" s="303"/>
      <c r="F80" s="303"/>
      <c r="G80" s="303">
        <v>121000</v>
      </c>
      <c r="I80" s="267">
        <v>1</v>
      </c>
      <c r="J80" s="267">
        <v>2</v>
      </c>
      <c r="L80" s="267"/>
      <c r="M80" s="267">
        <v>1</v>
      </c>
      <c r="N80" s="268"/>
      <c r="O80" s="268"/>
      <c r="P80" s="268"/>
      <c r="Q80" s="268"/>
      <c r="R80" s="268"/>
      <c r="T80" s="277">
        <f>L80*$G80</f>
        <v>0</v>
      </c>
      <c r="U80" s="277">
        <f t="shared" ref="U80:Z82" si="63">M80*$G80</f>
        <v>121000</v>
      </c>
      <c r="V80" s="277">
        <f t="shared" si="63"/>
        <v>0</v>
      </c>
      <c r="W80" s="277">
        <f t="shared" si="63"/>
        <v>0</v>
      </c>
      <c r="X80" s="277">
        <f t="shared" si="63"/>
        <v>0</v>
      </c>
      <c r="Y80" s="277">
        <f t="shared" si="63"/>
        <v>0</v>
      </c>
      <c r="Z80" s="277">
        <f t="shared" si="63"/>
        <v>0</v>
      </c>
      <c r="AB80" s="266">
        <v>10</v>
      </c>
      <c r="AD80" s="278">
        <f ca="1">IF(SUM($AD$3:AD$3)&lt;=$AB80,SUM($T80:T80),SUM(OFFSET(T80,0,0,1,-$AB80)))/$AB80</f>
        <v>0</v>
      </c>
      <c r="AE80" s="278">
        <f ca="1">IF(SUM($AD$3:AE$3)&lt;=$AB80,SUM($T80:U80),SUM(OFFSET(U80,0,0,1,-$AB80)))/$AB80</f>
        <v>12100</v>
      </c>
      <c r="AF80" s="278">
        <f ca="1">IF(SUM($AD$3:AF$3)&lt;=$AB80,SUM($T80:V80),SUM(OFFSET(V80,0,0,1,-$AB80)))/$AB80</f>
        <v>12100</v>
      </c>
      <c r="AG80" s="278">
        <f ca="1">IF(SUM($AD$3:AG$3)&lt;=$AB80,SUM($T80:W80),SUM(OFFSET(W80,0,0,1,-$AB80)))/$AB80</f>
        <v>12100</v>
      </c>
      <c r="AH80" s="278">
        <f ca="1">IF(SUM($AD$3:AH$3)&lt;=$AB80,SUM($T80:X80),SUM(OFFSET(X80,0,0,1,-$AB80)))/$AB80</f>
        <v>12100</v>
      </c>
      <c r="AI80" s="278">
        <f ca="1">IF(SUM($AD$3:AI$3)&lt;=$AB80,SUM($T80:Y80),SUM(OFFSET(Y80,0,0,1,-$AB80)))/$AB80</f>
        <v>12100</v>
      </c>
      <c r="AJ80" s="278">
        <f ca="1">IF(SUM($AD$3:AJ$3)&lt;=$AB80,SUM($T80:Z80),SUM(OFFSET(Z80,0,0,1,-$AB80)))/$AB80</f>
        <v>12100</v>
      </c>
    </row>
    <row r="81" spans="2:36" outlineLevel="1" x14ac:dyDescent="0.2">
      <c r="B81" s="196" t="s">
        <v>328</v>
      </c>
      <c r="C81" s="290" t="s">
        <v>177</v>
      </c>
      <c r="D81" s="294"/>
      <c r="E81" s="303"/>
      <c r="F81" s="303"/>
      <c r="G81" s="303">
        <v>1000</v>
      </c>
      <c r="I81" s="267">
        <v>1</v>
      </c>
      <c r="J81" s="267">
        <v>2</v>
      </c>
      <c r="L81" s="267"/>
      <c r="M81" s="267">
        <v>10</v>
      </c>
      <c r="N81" s="268"/>
      <c r="O81" s="268"/>
      <c r="P81" s="268"/>
      <c r="Q81" s="268"/>
      <c r="R81" s="268"/>
      <c r="T81" s="278">
        <f t="shared" ref="T81:T82" si="64">L81*$G81</f>
        <v>0</v>
      </c>
      <c r="U81" s="278">
        <f t="shared" si="63"/>
        <v>10000</v>
      </c>
      <c r="V81" s="278">
        <f t="shared" si="63"/>
        <v>0</v>
      </c>
      <c r="W81" s="278">
        <f t="shared" si="63"/>
        <v>0</v>
      </c>
      <c r="X81" s="278">
        <f t="shared" si="63"/>
        <v>0</v>
      </c>
      <c r="Y81" s="278">
        <f t="shared" si="63"/>
        <v>0</v>
      </c>
      <c r="Z81" s="278">
        <f t="shared" si="63"/>
        <v>0</v>
      </c>
      <c r="AB81" s="268">
        <v>10</v>
      </c>
      <c r="AD81" s="278">
        <f ca="1">IF(SUM($AD$3:AD$3)&lt;=$AB81,SUM($T81:T81),SUM(OFFSET(T81,0,0,1,-$AB81)))/$AB81</f>
        <v>0</v>
      </c>
      <c r="AE81" s="278">
        <f ca="1">IF(SUM($AD$3:AE$3)&lt;=$AB81,SUM($T81:U81),SUM(OFFSET(U81,0,0,1,-$AB81)))/$AB81</f>
        <v>1000</v>
      </c>
      <c r="AF81" s="278">
        <f ca="1">IF(SUM($AD$3:AF$3)&lt;=$AB81,SUM($T81:V81),SUM(OFFSET(V81,0,0,1,-$AB81)))/$AB81</f>
        <v>1000</v>
      </c>
      <c r="AG81" s="278">
        <f ca="1">IF(SUM($AD$3:AG$3)&lt;=$AB81,SUM($T81:W81),SUM(OFFSET(W81,0,0,1,-$AB81)))/$AB81</f>
        <v>1000</v>
      </c>
      <c r="AH81" s="278">
        <f ca="1">IF(SUM($AD$3:AH$3)&lt;=$AB81,SUM($T81:X81),SUM(OFFSET(X81,0,0,1,-$AB81)))/$AB81</f>
        <v>1000</v>
      </c>
      <c r="AI81" s="278">
        <f ca="1">IF(SUM($AD$3:AI$3)&lt;=$AB81,SUM($T81:Y81),SUM(OFFSET(Y81,0,0,1,-$AB81)))/$AB81</f>
        <v>1000</v>
      </c>
      <c r="AJ81" s="278">
        <f ca="1">IF(SUM($AD$3:AJ$3)&lt;=$AB81,SUM($T81:Z81),SUM(OFFSET(Z81,0,0,1,-$AB81)))/$AB81</f>
        <v>1000</v>
      </c>
    </row>
    <row r="82" spans="2:36" outlineLevel="1" x14ac:dyDescent="0.2">
      <c r="B82" s="196" t="s">
        <v>327</v>
      </c>
      <c r="C82" s="290" t="s">
        <v>178</v>
      </c>
      <c r="D82" s="294"/>
      <c r="E82" s="303"/>
      <c r="F82" s="303"/>
      <c r="G82" s="303">
        <v>400</v>
      </c>
      <c r="I82" s="267">
        <v>1</v>
      </c>
      <c r="J82" s="267">
        <v>2</v>
      </c>
      <c r="L82" s="267"/>
      <c r="M82" s="267">
        <v>10</v>
      </c>
      <c r="N82" s="268"/>
      <c r="O82" s="268"/>
      <c r="P82" s="268"/>
      <c r="Q82" s="268"/>
      <c r="R82" s="268"/>
      <c r="T82" s="278">
        <f t="shared" si="64"/>
        <v>0</v>
      </c>
      <c r="U82" s="278">
        <f t="shared" si="63"/>
        <v>4000</v>
      </c>
      <c r="V82" s="278">
        <f t="shared" si="63"/>
        <v>0</v>
      </c>
      <c r="W82" s="278">
        <f t="shared" si="63"/>
        <v>0</v>
      </c>
      <c r="X82" s="278">
        <f t="shared" si="63"/>
        <v>0</v>
      </c>
      <c r="Y82" s="278">
        <f t="shared" si="63"/>
        <v>0</v>
      </c>
      <c r="Z82" s="278">
        <f t="shared" si="63"/>
        <v>0</v>
      </c>
      <c r="AB82" s="268">
        <v>10</v>
      </c>
      <c r="AD82" s="278">
        <f ca="1">IF(SUM($AD$3:AD$3)&lt;=$AB82,SUM($T82:T82),SUM(OFFSET(T82,0,0,1,-$AB82)))/$AB82</f>
        <v>0</v>
      </c>
      <c r="AE82" s="278">
        <f ca="1">IF(SUM($AD$3:AE$3)&lt;=$AB82,SUM($T82:U82),SUM(OFFSET(U82,0,0,1,-$AB82)))/$AB82</f>
        <v>400</v>
      </c>
      <c r="AF82" s="278">
        <f ca="1">IF(SUM($AD$3:AF$3)&lt;=$AB82,SUM($T82:V82),SUM(OFFSET(V82,0,0,1,-$AB82)))/$AB82</f>
        <v>400</v>
      </c>
      <c r="AG82" s="278">
        <f ca="1">IF(SUM($AD$3:AG$3)&lt;=$AB82,SUM($T82:W82),SUM(OFFSET(W82,0,0,1,-$AB82)))/$AB82</f>
        <v>400</v>
      </c>
      <c r="AH82" s="278">
        <f ca="1">IF(SUM($AD$3:AH$3)&lt;=$AB82,SUM($T82:X82),SUM(OFFSET(X82,0,0,1,-$AB82)))/$AB82</f>
        <v>400</v>
      </c>
      <c r="AI82" s="278">
        <f ca="1">IF(SUM($AD$3:AI$3)&lt;=$AB82,SUM($T82:Y82),SUM(OFFSET(Y82,0,0,1,-$AB82)))/$AB82</f>
        <v>400</v>
      </c>
      <c r="AJ82" s="278">
        <f ca="1">IF(SUM($AD$3:AJ$3)&lt;=$AB82,SUM($T82:Z82),SUM(OFFSET(Z82,0,0,1,-$AB82)))/$AB82</f>
        <v>400</v>
      </c>
    </row>
    <row r="83" spans="2:36" x14ac:dyDescent="0.2">
      <c r="B83" s="272" t="s">
        <v>330</v>
      </c>
      <c r="C83" s="295" t="s">
        <v>222</v>
      </c>
      <c r="D83" s="296"/>
      <c r="E83" s="306"/>
      <c r="F83" s="306"/>
      <c r="G83" s="306"/>
      <c r="I83" s="273"/>
      <c r="J83" s="273"/>
      <c r="L83" s="274"/>
      <c r="M83" s="274"/>
      <c r="N83" s="274"/>
      <c r="O83" s="274"/>
      <c r="P83" s="274"/>
      <c r="Q83" s="274"/>
      <c r="R83" s="274"/>
      <c r="T83" s="280">
        <f>SUM(T84:T90)</f>
        <v>440688</v>
      </c>
      <c r="U83" s="280">
        <f t="shared" ref="U83:Z83" si="65">SUM(U84:U90)</f>
        <v>0</v>
      </c>
      <c r="V83" s="280">
        <f t="shared" si="65"/>
        <v>0</v>
      </c>
      <c r="W83" s="280">
        <f t="shared" si="65"/>
        <v>0</v>
      </c>
      <c r="X83" s="280">
        <f t="shared" si="65"/>
        <v>0</v>
      </c>
      <c r="Y83" s="280">
        <f t="shared" si="65"/>
        <v>0</v>
      </c>
      <c r="Z83" s="280">
        <f t="shared" si="65"/>
        <v>0</v>
      </c>
      <c r="AB83" s="367"/>
      <c r="AD83" s="280">
        <f ca="1">SUM(AD84:AD90)</f>
        <v>44068.800000000003</v>
      </c>
      <c r="AE83" s="280">
        <f t="shared" ref="AE83:AJ83" ca="1" si="66">SUM(AE84:AE90)</f>
        <v>44068.800000000003</v>
      </c>
      <c r="AF83" s="280">
        <f t="shared" ca="1" si="66"/>
        <v>44068.800000000003</v>
      </c>
      <c r="AG83" s="280">
        <f t="shared" ca="1" si="66"/>
        <v>44068.800000000003</v>
      </c>
      <c r="AH83" s="280">
        <f t="shared" ca="1" si="66"/>
        <v>44068.800000000003</v>
      </c>
      <c r="AI83" s="280">
        <f t="shared" ca="1" si="66"/>
        <v>44068.800000000003</v>
      </c>
      <c r="AJ83" s="280">
        <f t="shared" ca="1" si="66"/>
        <v>44068.800000000003</v>
      </c>
    </row>
    <row r="84" spans="2:36" ht="15.75" outlineLevel="1" x14ac:dyDescent="0.2">
      <c r="B84" s="195" t="s">
        <v>343</v>
      </c>
      <c r="C84" s="289" t="s">
        <v>329</v>
      </c>
      <c r="D84" s="289"/>
      <c r="E84" s="302">
        <v>1500</v>
      </c>
      <c r="F84" s="302"/>
      <c r="G84" s="302">
        <v>1500</v>
      </c>
      <c r="I84" s="265"/>
      <c r="J84" s="265">
        <v>2</v>
      </c>
      <c r="L84" s="266">
        <v>250</v>
      </c>
      <c r="M84" s="266"/>
      <c r="N84" s="266"/>
      <c r="O84" s="266"/>
      <c r="P84" s="266"/>
      <c r="Q84" s="266"/>
      <c r="R84" s="266"/>
      <c r="T84" s="277">
        <f t="shared" ref="T84:Z90" si="67">L84*$G84</f>
        <v>375000</v>
      </c>
      <c r="U84" s="277">
        <f t="shared" si="67"/>
        <v>0</v>
      </c>
      <c r="V84" s="277">
        <f t="shared" si="67"/>
        <v>0</v>
      </c>
      <c r="W84" s="277">
        <f t="shared" si="67"/>
        <v>0</v>
      </c>
      <c r="X84" s="277">
        <f t="shared" si="67"/>
        <v>0</v>
      </c>
      <c r="Y84" s="277">
        <f t="shared" si="67"/>
        <v>0</v>
      </c>
      <c r="Z84" s="277">
        <f t="shared" si="67"/>
        <v>0</v>
      </c>
      <c r="AB84" s="266">
        <v>10</v>
      </c>
      <c r="AD84" s="278">
        <f ca="1">IF(SUM($AD$3:AD$3)&lt;=$AB84,SUM($T84:T84),SUM(OFFSET(T84,0,0,1,-$AB84)))/$AB84</f>
        <v>37500</v>
      </c>
      <c r="AE84" s="278">
        <f ca="1">IF(SUM($AD$3:AE$3)&lt;=$AB84,SUM($T84:U84),SUM(OFFSET(U84,0,0,1,-$AB84)))/$AB84</f>
        <v>37500</v>
      </c>
      <c r="AF84" s="278">
        <f ca="1">IF(SUM($AD$3:AF$3)&lt;=$AB84,SUM($T84:V84),SUM(OFFSET(V84,0,0,1,-$AB84)))/$AB84</f>
        <v>37500</v>
      </c>
      <c r="AG84" s="278">
        <f ca="1">IF(SUM($AD$3:AG$3)&lt;=$AB84,SUM($T84:W84),SUM(OFFSET(W84,0,0,1,-$AB84)))/$AB84</f>
        <v>37500</v>
      </c>
      <c r="AH84" s="278">
        <f ca="1">IF(SUM($AD$3:AH$3)&lt;=$AB84,SUM($T84:X84),SUM(OFFSET(X84,0,0,1,-$AB84)))/$AB84</f>
        <v>37500</v>
      </c>
      <c r="AI84" s="278">
        <f ca="1">IF(SUM($AD$3:AI$3)&lt;=$AB84,SUM($T84:Y84),SUM(OFFSET(Y84,0,0,1,-$AB84)))/$AB84</f>
        <v>37500</v>
      </c>
      <c r="AJ84" s="278">
        <f ca="1">IF(SUM($AD$3:AJ$3)&lt;=$AB84,SUM($T84:Z84),SUM(OFFSET(Z84,0,0,1,-$AB84)))/$AB84</f>
        <v>37500</v>
      </c>
    </row>
    <row r="85" spans="2:36" outlineLevel="1" x14ac:dyDescent="0.2">
      <c r="B85" s="196" t="s">
        <v>335</v>
      </c>
      <c r="C85" s="290" t="s">
        <v>179</v>
      </c>
      <c r="D85" s="290"/>
      <c r="E85" s="303">
        <v>50000</v>
      </c>
      <c r="F85" s="303"/>
      <c r="G85" s="303">
        <v>50000</v>
      </c>
      <c r="I85" s="267"/>
      <c r="J85" s="267">
        <v>2</v>
      </c>
      <c r="L85" s="268">
        <v>1</v>
      </c>
      <c r="M85" s="268"/>
      <c r="N85" s="268"/>
      <c r="O85" s="268"/>
      <c r="P85" s="268"/>
      <c r="Q85" s="268"/>
      <c r="R85" s="268"/>
      <c r="T85" s="278">
        <f t="shared" si="67"/>
        <v>50000</v>
      </c>
      <c r="U85" s="278">
        <f t="shared" si="67"/>
        <v>0</v>
      </c>
      <c r="V85" s="278">
        <f t="shared" si="67"/>
        <v>0</v>
      </c>
      <c r="W85" s="278">
        <f t="shared" si="67"/>
        <v>0</v>
      </c>
      <c r="X85" s="278">
        <f t="shared" si="67"/>
        <v>0</v>
      </c>
      <c r="Y85" s="278">
        <f t="shared" si="67"/>
        <v>0</v>
      </c>
      <c r="Z85" s="278">
        <f t="shared" si="67"/>
        <v>0</v>
      </c>
      <c r="AB85" s="268">
        <v>10</v>
      </c>
      <c r="AD85" s="278">
        <f ca="1">IF(SUM($AD$3:AD$3)&lt;=$AB85,SUM($T85:T85),SUM(OFFSET(T85,0,0,1,-$AB85)))/$AB85</f>
        <v>5000</v>
      </c>
      <c r="AE85" s="278">
        <f ca="1">IF(SUM($AD$3:AE$3)&lt;=$AB85,SUM($T85:U85),SUM(OFFSET(U85,0,0,1,-$AB85)))/$AB85</f>
        <v>5000</v>
      </c>
      <c r="AF85" s="278">
        <f ca="1">IF(SUM($AD$3:AF$3)&lt;=$AB85,SUM($T85:V85),SUM(OFFSET(V85,0,0,1,-$AB85)))/$AB85</f>
        <v>5000</v>
      </c>
      <c r="AG85" s="278">
        <f ca="1">IF(SUM($AD$3:AG$3)&lt;=$AB85,SUM($T85:W85),SUM(OFFSET(W85,0,0,1,-$AB85)))/$AB85</f>
        <v>5000</v>
      </c>
      <c r="AH85" s="278">
        <f ca="1">IF(SUM($AD$3:AH$3)&lt;=$AB85,SUM($T85:X85),SUM(OFFSET(X85,0,0,1,-$AB85)))/$AB85</f>
        <v>5000</v>
      </c>
      <c r="AI85" s="278">
        <f ca="1">IF(SUM($AD$3:AI$3)&lt;=$AB85,SUM($T85:Y85),SUM(OFFSET(Y85,0,0,1,-$AB85)))/$AB85</f>
        <v>5000</v>
      </c>
      <c r="AJ85" s="278">
        <f ca="1">IF(SUM($AD$3:AJ$3)&lt;=$AB85,SUM($T85:Z85),SUM(OFFSET(Z85,0,0,1,-$AB85)))/$AB85</f>
        <v>5000</v>
      </c>
    </row>
    <row r="86" spans="2:36" outlineLevel="1" x14ac:dyDescent="0.2">
      <c r="B86" s="196" t="s">
        <v>336</v>
      </c>
      <c r="C86" s="290" t="s">
        <v>171</v>
      </c>
      <c r="D86" s="290"/>
      <c r="E86" s="303">
        <v>10000</v>
      </c>
      <c r="F86" s="303"/>
      <c r="G86" s="303">
        <v>10000</v>
      </c>
      <c r="I86" s="267"/>
      <c r="J86" s="267">
        <v>2</v>
      </c>
      <c r="L86" s="268">
        <v>1</v>
      </c>
      <c r="M86" s="268"/>
      <c r="N86" s="268"/>
      <c r="O86" s="268"/>
      <c r="P86" s="268"/>
      <c r="Q86" s="268"/>
      <c r="R86" s="268"/>
      <c r="T86" s="278">
        <f t="shared" si="67"/>
        <v>10000</v>
      </c>
      <c r="U86" s="278">
        <f t="shared" si="67"/>
        <v>0</v>
      </c>
      <c r="V86" s="278">
        <f t="shared" si="67"/>
        <v>0</v>
      </c>
      <c r="W86" s="278">
        <f t="shared" si="67"/>
        <v>0</v>
      </c>
      <c r="X86" s="278">
        <f t="shared" si="67"/>
        <v>0</v>
      </c>
      <c r="Y86" s="278">
        <f t="shared" si="67"/>
        <v>0</v>
      </c>
      <c r="Z86" s="278">
        <f t="shared" si="67"/>
        <v>0</v>
      </c>
      <c r="AB86" s="268">
        <v>10</v>
      </c>
      <c r="AD86" s="278">
        <f ca="1">IF(SUM($AD$3:AD$3)&lt;=$AB86,SUM($T86:T86),SUM(OFFSET(T86,0,0,1,-$AB86)))/$AB86</f>
        <v>1000</v>
      </c>
      <c r="AE86" s="278">
        <f ca="1">IF(SUM($AD$3:AE$3)&lt;=$AB86,SUM($T86:U86),SUM(OFFSET(U86,0,0,1,-$AB86)))/$AB86</f>
        <v>1000</v>
      </c>
      <c r="AF86" s="278">
        <f ca="1">IF(SUM($AD$3:AF$3)&lt;=$AB86,SUM($T86:V86),SUM(OFFSET(V86,0,0,1,-$AB86)))/$AB86</f>
        <v>1000</v>
      </c>
      <c r="AG86" s="278">
        <f ca="1">IF(SUM($AD$3:AG$3)&lt;=$AB86,SUM($T86:W86),SUM(OFFSET(W86,0,0,1,-$AB86)))/$AB86</f>
        <v>1000</v>
      </c>
      <c r="AH86" s="278">
        <f ca="1">IF(SUM($AD$3:AH$3)&lt;=$AB86,SUM($T86:X86),SUM(OFFSET(X86,0,0,1,-$AB86)))/$AB86</f>
        <v>1000</v>
      </c>
      <c r="AI86" s="278">
        <f ca="1">IF(SUM($AD$3:AI$3)&lt;=$AB86,SUM($T86:Y86),SUM(OFFSET(Y86,0,0,1,-$AB86)))/$AB86</f>
        <v>1000</v>
      </c>
      <c r="AJ86" s="278">
        <f ca="1">IF(SUM($AD$3:AJ$3)&lt;=$AB86,SUM($T86:Z86),SUM(OFFSET(Z86,0,0,1,-$AB86)))/$AB86</f>
        <v>1000</v>
      </c>
    </row>
    <row r="87" spans="2:36" outlineLevel="1" x14ac:dyDescent="0.2">
      <c r="B87" s="196" t="s">
        <v>333</v>
      </c>
      <c r="C87" s="290" t="s">
        <v>225</v>
      </c>
      <c r="D87" s="290"/>
      <c r="E87" s="303">
        <v>2659</v>
      </c>
      <c r="F87" s="303">
        <v>133</v>
      </c>
      <c r="G87" s="303">
        <f>E87+F87</f>
        <v>2792</v>
      </c>
      <c r="I87" s="267">
        <v>1</v>
      </c>
      <c r="J87" s="267">
        <v>1</v>
      </c>
      <c r="L87" s="268">
        <v>1</v>
      </c>
      <c r="M87" s="268"/>
      <c r="N87" s="268"/>
      <c r="O87" s="268"/>
      <c r="P87" s="268"/>
      <c r="Q87" s="268"/>
      <c r="R87" s="268"/>
      <c r="T87" s="278">
        <f t="shared" si="67"/>
        <v>2792</v>
      </c>
      <c r="U87" s="278">
        <f t="shared" si="67"/>
        <v>0</v>
      </c>
      <c r="V87" s="278">
        <f t="shared" si="67"/>
        <v>0</v>
      </c>
      <c r="W87" s="278">
        <f t="shared" si="67"/>
        <v>0</v>
      </c>
      <c r="X87" s="278">
        <f t="shared" si="67"/>
        <v>0</v>
      </c>
      <c r="Y87" s="278">
        <f t="shared" si="67"/>
        <v>0</v>
      </c>
      <c r="Z87" s="278">
        <f t="shared" si="67"/>
        <v>0</v>
      </c>
      <c r="AB87" s="268">
        <v>10</v>
      </c>
      <c r="AD87" s="278">
        <f ca="1">IF(SUM($AD$3:AD$3)&lt;=$AB87,SUM($T87:T87),SUM(OFFSET(T87,0,0,1,-$AB87)))/$AB87</f>
        <v>279.2</v>
      </c>
      <c r="AE87" s="278">
        <f ca="1">IF(SUM($AD$3:AE$3)&lt;=$AB87,SUM($T87:U87),SUM(OFFSET(U87,0,0,1,-$AB87)))/$AB87</f>
        <v>279.2</v>
      </c>
      <c r="AF87" s="278">
        <f ca="1">IF(SUM($AD$3:AF$3)&lt;=$AB87,SUM($T87:V87),SUM(OFFSET(V87,0,0,1,-$AB87)))/$AB87</f>
        <v>279.2</v>
      </c>
      <c r="AG87" s="278">
        <f ca="1">IF(SUM($AD$3:AG$3)&lt;=$AB87,SUM($T87:W87),SUM(OFFSET(W87,0,0,1,-$AB87)))/$AB87</f>
        <v>279.2</v>
      </c>
      <c r="AH87" s="278">
        <f ca="1">IF(SUM($AD$3:AH$3)&lt;=$AB87,SUM($T87:X87),SUM(OFFSET(X87,0,0,1,-$AB87)))/$AB87</f>
        <v>279.2</v>
      </c>
      <c r="AI87" s="278">
        <f ca="1">IF(SUM($AD$3:AI$3)&lt;=$AB87,SUM($T87:Y87),SUM(OFFSET(Y87,0,0,1,-$AB87)))/$AB87</f>
        <v>279.2</v>
      </c>
      <c r="AJ87" s="278">
        <f ca="1">IF(SUM($AD$3:AJ$3)&lt;=$AB87,SUM($T87:Z87),SUM(OFFSET(Z87,0,0,1,-$AB87)))/$AB87</f>
        <v>279.2</v>
      </c>
    </row>
    <row r="88" spans="2:36" outlineLevel="1" x14ac:dyDescent="0.2">
      <c r="B88" s="196" t="s">
        <v>334</v>
      </c>
      <c r="C88" s="290" t="s">
        <v>226</v>
      </c>
      <c r="D88" s="290"/>
      <c r="E88" s="303">
        <v>4</v>
      </c>
      <c r="F88" s="303"/>
      <c r="G88" s="303">
        <f>E88+F88</f>
        <v>4</v>
      </c>
      <c r="I88" s="267">
        <v>216</v>
      </c>
      <c r="J88" s="267">
        <v>1</v>
      </c>
      <c r="L88" s="268">
        <v>450</v>
      </c>
      <c r="M88" s="268"/>
      <c r="N88" s="268"/>
      <c r="O88" s="268"/>
      <c r="P88" s="268"/>
      <c r="Q88" s="268"/>
      <c r="R88" s="268"/>
      <c r="T88" s="278">
        <f t="shared" si="67"/>
        <v>1800</v>
      </c>
      <c r="U88" s="278">
        <f t="shared" si="67"/>
        <v>0</v>
      </c>
      <c r="V88" s="278">
        <f t="shared" si="67"/>
        <v>0</v>
      </c>
      <c r="W88" s="278">
        <f t="shared" si="67"/>
        <v>0</v>
      </c>
      <c r="X88" s="278">
        <f t="shared" si="67"/>
        <v>0</v>
      </c>
      <c r="Y88" s="278">
        <f t="shared" si="67"/>
        <v>0</v>
      </c>
      <c r="Z88" s="278">
        <f t="shared" si="67"/>
        <v>0</v>
      </c>
      <c r="AB88" s="268">
        <v>10</v>
      </c>
      <c r="AD88" s="278">
        <f ca="1">IF(SUM($AD$3:AD$3)&lt;=$AB88,SUM($T88:T88),SUM(OFFSET(T88,0,0,1,-$AB88)))/$AB88</f>
        <v>180</v>
      </c>
      <c r="AE88" s="278">
        <f ca="1">IF(SUM($AD$3:AE$3)&lt;=$AB88,SUM($T88:U88),SUM(OFFSET(U88,0,0,1,-$AB88)))/$AB88</f>
        <v>180</v>
      </c>
      <c r="AF88" s="278">
        <f ca="1">IF(SUM($AD$3:AF$3)&lt;=$AB88,SUM($T88:V88),SUM(OFFSET(V88,0,0,1,-$AB88)))/$AB88</f>
        <v>180</v>
      </c>
      <c r="AG88" s="278">
        <f ca="1">IF(SUM($AD$3:AG$3)&lt;=$AB88,SUM($T88:W88),SUM(OFFSET(W88,0,0,1,-$AB88)))/$AB88</f>
        <v>180</v>
      </c>
      <c r="AH88" s="278">
        <f ca="1">IF(SUM($AD$3:AH$3)&lt;=$AB88,SUM($T88:X88),SUM(OFFSET(X88,0,0,1,-$AB88)))/$AB88</f>
        <v>180</v>
      </c>
      <c r="AI88" s="278">
        <f ca="1">IF(SUM($AD$3:AI$3)&lt;=$AB88,SUM($T88:Y88),SUM(OFFSET(Y88,0,0,1,-$AB88)))/$AB88</f>
        <v>180</v>
      </c>
      <c r="AJ88" s="278">
        <f ca="1">IF(SUM($AD$3:AJ$3)&lt;=$AB88,SUM($T88:Z88),SUM(OFFSET(Z88,0,0,1,-$AB88)))/$AB88</f>
        <v>180</v>
      </c>
    </row>
    <row r="89" spans="2:36" outlineLevel="1" x14ac:dyDescent="0.2">
      <c r="B89" s="196" t="s">
        <v>332</v>
      </c>
      <c r="C89" s="290" t="s">
        <v>223</v>
      </c>
      <c r="D89" s="290"/>
      <c r="E89" s="303">
        <v>349</v>
      </c>
      <c r="F89" s="303"/>
      <c r="G89" s="303">
        <f>E89+F89</f>
        <v>349</v>
      </c>
      <c r="I89" s="267">
        <v>1</v>
      </c>
      <c r="J89" s="267">
        <v>1</v>
      </c>
      <c r="L89" s="268">
        <v>2</v>
      </c>
      <c r="M89" s="268"/>
      <c r="N89" s="268"/>
      <c r="O89" s="268"/>
      <c r="P89" s="268"/>
      <c r="Q89" s="268"/>
      <c r="R89" s="268"/>
      <c r="T89" s="278">
        <f t="shared" si="67"/>
        <v>698</v>
      </c>
      <c r="U89" s="278">
        <f t="shared" si="67"/>
        <v>0</v>
      </c>
      <c r="V89" s="278">
        <f t="shared" si="67"/>
        <v>0</v>
      </c>
      <c r="W89" s="278">
        <f t="shared" si="67"/>
        <v>0</v>
      </c>
      <c r="X89" s="278">
        <f t="shared" si="67"/>
        <v>0</v>
      </c>
      <c r="Y89" s="278">
        <f t="shared" si="67"/>
        <v>0</v>
      </c>
      <c r="Z89" s="278">
        <f t="shared" si="67"/>
        <v>0</v>
      </c>
      <c r="AB89" s="268">
        <v>10</v>
      </c>
      <c r="AD89" s="278">
        <f ca="1">IF(SUM($AD$3:AD$3)&lt;=$AB89,SUM($T89:T89),SUM(OFFSET(T89,0,0,1,-$AB89)))/$AB89</f>
        <v>69.8</v>
      </c>
      <c r="AE89" s="278">
        <f ca="1">IF(SUM($AD$3:AE$3)&lt;=$AB89,SUM($T89:U89),SUM(OFFSET(U89,0,0,1,-$AB89)))/$AB89</f>
        <v>69.8</v>
      </c>
      <c r="AF89" s="278">
        <f ca="1">IF(SUM($AD$3:AF$3)&lt;=$AB89,SUM($T89:V89),SUM(OFFSET(V89,0,0,1,-$AB89)))/$AB89</f>
        <v>69.8</v>
      </c>
      <c r="AG89" s="278">
        <f ca="1">IF(SUM($AD$3:AG$3)&lt;=$AB89,SUM($T89:W89),SUM(OFFSET(W89,0,0,1,-$AB89)))/$AB89</f>
        <v>69.8</v>
      </c>
      <c r="AH89" s="278">
        <f ca="1">IF(SUM($AD$3:AH$3)&lt;=$AB89,SUM($T89:X89),SUM(OFFSET(X89,0,0,1,-$AB89)))/$AB89</f>
        <v>69.8</v>
      </c>
      <c r="AI89" s="278">
        <f ca="1">IF(SUM($AD$3:AI$3)&lt;=$AB89,SUM($T89:Y89),SUM(OFFSET(Y89,0,0,1,-$AB89)))/$AB89</f>
        <v>69.8</v>
      </c>
      <c r="AJ89" s="278">
        <f ca="1">IF(SUM($AD$3:AJ$3)&lt;=$AB89,SUM($T89:Z89),SUM(OFFSET(Z89,0,0,1,-$AB89)))/$AB89</f>
        <v>69.8</v>
      </c>
    </row>
    <row r="90" spans="2:36" outlineLevel="1" x14ac:dyDescent="0.2">
      <c r="B90" s="196" t="s">
        <v>331</v>
      </c>
      <c r="C90" s="290" t="s">
        <v>224</v>
      </c>
      <c r="D90" s="290"/>
      <c r="E90" s="303">
        <v>199</v>
      </c>
      <c r="F90" s="303"/>
      <c r="G90" s="303">
        <f>E90+F90</f>
        <v>199</v>
      </c>
      <c r="I90" s="267">
        <v>1</v>
      </c>
      <c r="J90" s="267">
        <v>1</v>
      </c>
      <c r="L90" s="268">
        <v>2</v>
      </c>
      <c r="M90" s="268"/>
      <c r="N90" s="268"/>
      <c r="O90" s="268"/>
      <c r="P90" s="268"/>
      <c r="Q90" s="268"/>
      <c r="R90" s="268"/>
      <c r="T90" s="278">
        <f t="shared" si="67"/>
        <v>398</v>
      </c>
      <c r="U90" s="278">
        <f t="shared" si="67"/>
        <v>0</v>
      </c>
      <c r="V90" s="278">
        <f t="shared" si="67"/>
        <v>0</v>
      </c>
      <c r="W90" s="278">
        <f t="shared" si="67"/>
        <v>0</v>
      </c>
      <c r="X90" s="278">
        <f t="shared" si="67"/>
        <v>0</v>
      </c>
      <c r="Y90" s="278">
        <f t="shared" si="67"/>
        <v>0</v>
      </c>
      <c r="Z90" s="278">
        <f t="shared" si="67"/>
        <v>0</v>
      </c>
      <c r="AB90" s="268">
        <v>10</v>
      </c>
      <c r="AD90" s="278">
        <f ca="1">IF(SUM($AD$3:AD$3)&lt;=$AB90,SUM($T90:T90),SUM(OFFSET(T90,0,0,1,-$AB90)))/$AB90</f>
        <v>39.799999999999997</v>
      </c>
      <c r="AE90" s="278">
        <f ca="1">IF(SUM($AD$3:AE$3)&lt;=$AB90,SUM($T90:U90),SUM(OFFSET(U90,0,0,1,-$AB90)))/$AB90</f>
        <v>39.799999999999997</v>
      </c>
      <c r="AF90" s="278">
        <f ca="1">IF(SUM($AD$3:AF$3)&lt;=$AB90,SUM($T90:V90),SUM(OFFSET(V90,0,0,1,-$AB90)))/$AB90</f>
        <v>39.799999999999997</v>
      </c>
      <c r="AG90" s="278">
        <f ca="1">IF(SUM($AD$3:AG$3)&lt;=$AB90,SUM($T90:W90),SUM(OFFSET(W90,0,0,1,-$AB90)))/$AB90</f>
        <v>39.799999999999997</v>
      </c>
      <c r="AH90" s="278">
        <f ca="1">IF(SUM($AD$3:AH$3)&lt;=$AB90,SUM($T90:X90),SUM(OFFSET(X90,0,0,1,-$AB90)))/$AB90</f>
        <v>39.799999999999997</v>
      </c>
      <c r="AI90" s="278">
        <f ca="1">IF(SUM($AD$3:AI$3)&lt;=$AB90,SUM($T90:Y90),SUM(OFFSET(Y90,0,0,1,-$AB90)))/$AB90</f>
        <v>39.799999999999997</v>
      </c>
      <c r="AJ90" s="278">
        <f ca="1">IF(SUM($AD$3:AJ$3)&lt;=$AB90,SUM($T90:Z90),SUM(OFFSET(Z90,0,0,1,-$AB90)))/$AB90</f>
        <v>39.799999999999997</v>
      </c>
    </row>
    <row r="91" spans="2:36" x14ac:dyDescent="0.2">
      <c r="B91" s="272" t="s">
        <v>340</v>
      </c>
      <c r="C91" s="295" t="s">
        <v>227</v>
      </c>
      <c r="D91" s="296"/>
      <c r="E91" s="306"/>
      <c r="F91" s="306"/>
      <c r="G91" s="306"/>
      <c r="I91" s="273"/>
      <c r="J91" s="273"/>
      <c r="L91" s="274"/>
      <c r="M91" s="274"/>
      <c r="N91" s="274"/>
      <c r="O91" s="274"/>
      <c r="P91" s="274"/>
      <c r="Q91" s="274"/>
      <c r="R91" s="274"/>
      <c r="T91" s="280">
        <f>SUM(T92:T101)</f>
        <v>936750</v>
      </c>
      <c r="U91" s="280">
        <f t="shared" ref="U91:Z91" si="68">SUM(U92:U101)</f>
        <v>11000</v>
      </c>
      <c r="V91" s="280">
        <f t="shared" si="68"/>
        <v>0</v>
      </c>
      <c r="W91" s="280">
        <f t="shared" si="68"/>
        <v>0</v>
      </c>
      <c r="X91" s="280">
        <f t="shared" si="68"/>
        <v>0</v>
      </c>
      <c r="Y91" s="280">
        <f t="shared" si="68"/>
        <v>0</v>
      </c>
      <c r="Z91" s="280">
        <f t="shared" si="68"/>
        <v>0</v>
      </c>
      <c r="AB91" s="367"/>
      <c r="AD91" s="280">
        <f ca="1">SUM(AD92:AD101)</f>
        <v>93675</v>
      </c>
      <c r="AE91" s="280">
        <f t="shared" ref="AE91:AJ91" ca="1" si="69">SUM(AE92:AE101)</f>
        <v>94775</v>
      </c>
      <c r="AF91" s="280">
        <f t="shared" ca="1" si="69"/>
        <v>94775</v>
      </c>
      <c r="AG91" s="280">
        <f t="shared" ca="1" si="69"/>
        <v>94775</v>
      </c>
      <c r="AH91" s="280">
        <f t="shared" ca="1" si="69"/>
        <v>94775</v>
      </c>
      <c r="AI91" s="280">
        <f t="shared" ca="1" si="69"/>
        <v>94775</v>
      </c>
      <c r="AJ91" s="280">
        <f t="shared" ca="1" si="69"/>
        <v>94775</v>
      </c>
    </row>
    <row r="92" spans="2:36" outlineLevel="1" x14ac:dyDescent="0.2">
      <c r="B92" s="196" t="s">
        <v>337</v>
      </c>
      <c r="C92" s="290" t="s">
        <v>228</v>
      </c>
      <c r="D92" s="290"/>
      <c r="E92" s="303"/>
      <c r="F92" s="303"/>
      <c r="G92" s="307">
        <v>0</v>
      </c>
      <c r="I92" s="267"/>
      <c r="J92" s="267">
        <v>1</v>
      </c>
      <c r="L92" s="268"/>
      <c r="M92" s="268"/>
      <c r="N92" s="268"/>
      <c r="O92" s="268"/>
      <c r="P92" s="268"/>
      <c r="Q92" s="268"/>
      <c r="R92" s="268"/>
      <c r="T92" s="277">
        <f t="shared" ref="T92:T101" si="70">L92*$G92</f>
        <v>0</v>
      </c>
      <c r="U92" s="277">
        <f t="shared" ref="U92:Z92" si="71">M92*$G92</f>
        <v>0</v>
      </c>
      <c r="V92" s="277">
        <f t="shared" si="71"/>
        <v>0</v>
      </c>
      <c r="W92" s="277">
        <f t="shared" si="71"/>
        <v>0</v>
      </c>
      <c r="X92" s="277">
        <f t="shared" si="71"/>
        <v>0</v>
      </c>
      <c r="Y92" s="277">
        <f t="shared" si="71"/>
        <v>0</v>
      </c>
      <c r="Z92" s="277">
        <f t="shared" si="71"/>
        <v>0</v>
      </c>
      <c r="AB92" s="266"/>
      <c r="AD92" s="278"/>
      <c r="AE92" s="278"/>
      <c r="AF92" s="278"/>
      <c r="AG92" s="278"/>
      <c r="AH92" s="278"/>
      <c r="AI92" s="278"/>
      <c r="AJ92" s="278"/>
    </row>
    <row r="93" spans="2:36" ht="15.75" outlineLevel="1" x14ac:dyDescent="0.2">
      <c r="B93" s="196" t="s">
        <v>344</v>
      </c>
      <c r="C93" s="290" t="s">
        <v>229</v>
      </c>
      <c r="D93" s="290"/>
      <c r="E93" s="303"/>
      <c r="F93" s="303"/>
      <c r="G93" s="303">
        <v>750</v>
      </c>
      <c r="I93" s="267"/>
      <c r="J93" s="267">
        <v>1</v>
      </c>
      <c r="L93" s="268">
        <v>1000</v>
      </c>
      <c r="M93" s="268"/>
      <c r="N93" s="268"/>
      <c r="O93" s="268"/>
      <c r="P93" s="268"/>
      <c r="Q93" s="268"/>
      <c r="R93" s="268"/>
      <c r="T93" s="278">
        <f t="shared" si="70"/>
        <v>750000</v>
      </c>
      <c r="U93" s="278">
        <f t="shared" ref="U93:U101" si="72">M93*$G93</f>
        <v>0</v>
      </c>
      <c r="V93" s="278">
        <f t="shared" ref="V93:V101" si="73">N93*$G93</f>
        <v>0</v>
      </c>
      <c r="W93" s="278">
        <f t="shared" ref="W93:W101" si="74">O93*$G93</f>
        <v>0</v>
      </c>
      <c r="X93" s="278">
        <f t="shared" ref="X93:X101" si="75">P93*$G93</f>
        <v>0</v>
      </c>
      <c r="Y93" s="278">
        <f t="shared" ref="Y93:Y101" si="76">Q93*$G93</f>
        <v>0</v>
      </c>
      <c r="Z93" s="278">
        <f t="shared" ref="Z93:Z101" si="77">R93*$G93</f>
        <v>0</v>
      </c>
      <c r="AB93" s="268">
        <v>10</v>
      </c>
      <c r="AD93" s="278">
        <f ca="1">IF(SUM($AD$3:AD$3)&lt;=$AB93,SUM($T93:T93),SUM(OFFSET(T93,0,0,1,-$AB93)))/$AB93</f>
        <v>75000</v>
      </c>
      <c r="AE93" s="278">
        <f ca="1">IF(SUM($AD$3:AE$3)&lt;=$AB93,SUM($T93:U93),SUM(OFFSET(U93,0,0,1,-$AB93)))/$AB93</f>
        <v>75000</v>
      </c>
      <c r="AF93" s="278">
        <f ca="1">IF(SUM($AD$3:AF$3)&lt;=$AB93,SUM($T93:V93),SUM(OFFSET(V93,0,0,1,-$AB93)))/$AB93</f>
        <v>75000</v>
      </c>
      <c r="AG93" s="278">
        <f ca="1">IF(SUM($AD$3:AG$3)&lt;=$AB93,SUM($T93:W93),SUM(OFFSET(W93,0,0,1,-$AB93)))/$AB93</f>
        <v>75000</v>
      </c>
      <c r="AH93" s="278">
        <f ca="1">IF(SUM($AD$3:AH$3)&lt;=$AB93,SUM($T93:X93),SUM(OFFSET(X93,0,0,1,-$AB93)))/$AB93</f>
        <v>75000</v>
      </c>
      <c r="AI93" s="278">
        <f ca="1">IF(SUM($AD$3:AI$3)&lt;=$AB93,SUM($T93:Y93),SUM(OFFSET(Y93,0,0,1,-$AB93)))/$AB93</f>
        <v>75000</v>
      </c>
      <c r="AJ93" s="278">
        <f ca="1">IF(SUM($AD$3:AJ$3)&lt;=$AB93,SUM($T93:Z93),SUM(OFFSET(Z93,0,0,1,-$AB93)))/$AB93</f>
        <v>75000</v>
      </c>
    </row>
    <row r="94" spans="2:36" outlineLevel="1" x14ac:dyDescent="0.2">
      <c r="B94" s="196" t="s">
        <v>350</v>
      </c>
      <c r="C94" s="290" t="s">
        <v>168</v>
      </c>
      <c r="D94" s="290"/>
      <c r="E94" s="303"/>
      <c r="F94" s="303"/>
      <c r="G94" s="303">
        <v>40000</v>
      </c>
      <c r="I94" s="267"/>
      <c r="J94" s="267">
        <v>2</v>
      </c>
      <c r="L94" s="268">
        <v>1</v>
      </c>
      <c r="M94" s="268"/>
      <c r="N94" s="268"/>
      <c r="O94" s="268"/>
      <c r="P94" s="268"/>
      <c r="Q94" s="268"/>
      <c r="R94" s="268"/>
      <c r="T94" s="278">
        <f t="shared" si="70"/>
        <v>40000</v>
      </c>
      <c r="U94" s="278">
        <f t="shared" si="72"/>
        <v>0</v>
      </c>
      <c r="V94" s="278">
        <f t="shared" si="73"/>
        <v>0</v>
      </c>
      <c r="W94" s="278">
        <f t="shared" si="74"/>
        <v>0</v>
      </c>
      <c r="X94" s="278">
        <f t="shared" si="75"/>
        <v>0</v>
      </c>
      <c r="Y94" s="278">
        <f t="shared" si="76"/>
        <v>0</v>
      </c>
      <c r="Z94" s="278">
        <f t="shared" si="77"/>
        <v>0</v>
      </c>
      <c r="AB94" s="268">
        <v>10</v>
      </c>
      <c r="AD94" s="278">
        <f ca="1">IF(SUM($AD$3:AD$3)&lt;=$AB94,SUM($T94:T94),SUM(OFFSET(T94,0,0,1,-$AB94)))/$AB94</f>
        <v>4000</v>
      </c>
      <c r="AE94" s="278">
        <f ca="1">IF(SUM($AD$3:AE$3)&lt;=$AB94,SUM($T94:U94),SUM(OFFSET(U94,0,0,1,-$AB94)))/$AB94</f>
        <v>4000</v>
      </c>
      <c r="AF94" s="278">
        <f ca="1">IF(SUM($AD$3:AF$3)&lt;=$AB94,SUM($T94:V94),SUM(OFFSET(V94,0,0,1,-$AB94)))/$AB94</f>
        <v>4000</v>
      </c>
      <c r="AG94" s="278">
        <f ca="1">IF(SUM($AD$3:AG$3)&lt;=$AB94,SUM($T94:W94),SUM(OFFSET(W94,0,0,1,-$AB94)))/$AB94</f>
        <v>4000</v>
      </c>
      <c r="AH94" s="278">
        <f ca="1">IF(SUM($AD$3:AH$3)&lt;=$AB94,SUM($T94:X94),SUM(OFFSET(X94,0,0,1,-$AB94)))/$AB94</f>
        <v>4000</v>
      </c>
      <c r="AI94" s="278">
        <f ca="1">IF(SUM($AD$3:AI$3)&lt;=$AB94,SUM($T94:Y94),SUM(OFFSET(Y94,0,0,1,-$AB94)))/$AB94</f>
        <v>4000</v>
      </c>
      <c r="AJ94" s="278">
        <f ca="1">IF(SUM($AD$3:AJ$3)&lt;=$AB94,SUM($T94:Z94),SUM(OFFSET(Z94,0,0,1,-$AB94)))/$AB94</f>
        <v>4000</v>
      </c>
    </row>
    <row r="95" spans="2:36" outlineLevel="1" x14ac:dyDescent="0.2">
      <c r="B95" s="196" t="s">
        <v>338</v>
      </c>
      <c r="C95" s="290" t="s">
        <v>170</v>
      </c>
      <c r="D95" s="290"/>
      <c r="E95" s="303"/>
      <c r="F95" s="303"/>
      <c r="G95" s="303">
        <v>2000</v>
      </c>
      <c r="I95" s="267"/>
      <c r="J95" s="267">
        <v>1</v>
      </c>
      <c r="L95" s="268">
        <v>17</v>
      </c>
      <c r="M95" s="268">
        <f>MAX(Staff!E15-Staff!D15,0)</f>
        <v>4</v>
      </c>
      <c r="N95" s="268">
        <f>MAX(Staff!F15-Staff!E15,0)</f>
        <v>0</v>
      </c>
      <c r="O95" s="268">
        <f>MAX(Staff!G15-Staff!F15,0)</f>
        <v>0</v>
      </c>
      <c r="P95" s="268">
        <f>MAX(Staff!H15-Staff!G15,0)</f>
        <v>0</v>
      </c>
      <c r="Q95" s="268">
        <f>MAX(Staff!I15-Staff!H15,0)</f>
        <v>0</v>
      </c>
      <c r="R95" s="268">
        <f>MAX(Staff!J15-Staff!I15,0)</f>
        <v>0</v>
      </c>
      <c r="T95" s="278">
        <f t="shared" si="70"/>
        <v>34000</v>
      </c>
      <c r="U95" s="278">
        <f t="shared" si="72"/>
        <v>8000</v>
      </c>
      <c r="V95" s="278">
        <f t="shared" si="73"/>
        <v>0</v>
      </c>
      <c r="W95" s="278">
        <f t="shared" si="74"/>
        <v>0</v>
      </c>
      <c r="X95" s="278">
        <f t="shared" si="75"/>
        <v>0</v>
      </c>
      <c r="Y95" s="278">
        <f t="shared" si="76"/>
        <v>0</v>
      </c>
      <c r="Z95" s="278">
        <f t="shared" si="77"/>
        <v>0</v>
      </c>
      <c r="AB95" s="268">
        <v>10</v>
      </c>
      <c r="AD95" s="278">
        <f ca="1">IF(SUM($AD$3:AD$3)&lt;=$AB95,SUM($T95:T95),SUM(OFFSET(T95,0,0,1,-$AB95)))/$AB95</f>
        <v>3400</v>
      </c>
      <c r="AE95" s="278">
        <f ca="1">IF(SUM($AD$3:AE$3)&lt;=$AB95,SUM($T95:U95),SUM(OFFSET(U95,0,0,1,-$AB95)))/$AB95</f>
        <v>4200</v>
      </c>
      <c r="AF95" s="278">
        <f ca="1">IF(SUM($AD$3:AF$3)&lt;=$AB95,SUM($T95:V95),SUM(OFFSET(V95,0,0,1,-$AB95)))/$AB95</f>
        <v>4200</v>
      </c>
      <c r="AG95" s="278">
        <f ca="1">IF(SUM($AD$3:AG$3)&lt;=$AB95,SUM($T95:W95),SUM(OFFSET(W95,0,0,1,-$AB95)))/$AB95</f>
        <v>4200</v>
      </c>
      <c r="AH95" s="278">
        <f ca="1">IF(SUM($AD$3:AH$3)&lt;=$AB95,SUM($T95:X95),SUM(OFFSET(X95,0,0,1,-$AB95)))/$AB95</f>
        <v>4200</v>
      </c>
      <c r="AI95" s="278">
        <f ca="1">IF(SUM($AD$3:AI$3)&lt;=$AB95,SUM($T95:Y95),SUM(OFFSET(Y95,0,0,1,-$AB95)))/$AB95</f>
        <v>4200</v>
      </c>
      <c r="AJ95" s="278">
        <f ca="1">IF(SUM($AD$3:AJ$3)&lt;=$AB95,SUM($T95:Z95),SUM(OFFSET(Z95,0,0,1,-$AB95)))/$AB95</f>
        <v>4200</v>
      </c>
    </row>
    <row r="96" spans="2:36" outlineLevel="1" x14ac:dyDescent="0.2">
      <c r="B96" s="196" t="s">
        <v>348</v>
      </c>
      <c r="C96" s="290" t="s">
        <v>173</v>
      </c>
      <c r="D96" s="290"/>
      <c r="E96" s="303"/>
      <c r="F96" s="303"/>
      <c r="G96" s="303">
        <v>15000</v>
      </c>
      <c r="I96" s="267"/>
      <c r="J96" s="267">
        <v>2</v>
      </c>
      <c r="L96" s="268">
        <v>2</v>
      </c>
      <c r="M96" s="268"/>
      <c r="N96" s="268"/>
      <c r="O96" s="268"/>
      <c r="P96" s="268"/>
      <c r="Q96" s="268"/>
      <c r="R96" s="268"/>
      <c r="T96" s="278">
        <f t="shared" si="70"/>
        <v>30000</v>
      </c>
      <c r="U96" s="278">
        <f t="shared" si="72"/>
        <v>0</v>
      </c>
      <c r="V96" s="278">
        <f t="shared" si="73"/>
        <v>0</v>
      </c>
      <c r="W96" s="278">
        <f t="shared" si="74"/>
        <v>0</v>
      </c>
      <c r="X96" s="278">
        <f t="shared" si="75"/>
        <v>0</v>
      </c>
      <c r="Y96" s="278">
        <f t="shared" si="76"/>
        <v>0</v>
      </c>
      <c r="Z96" s="278">
        <f t="shared" si="77"/>
        <v>0</v>
      </c>
      <c r="AB96" s="268">
        <v>10</v>
      </c>
      <c r="AD96" s="278">
        <f ca="1">IF(SUM($AD$3:AD$3)&lt;=$AB96,SUM($T96:T96),SUM(OFFSET(T96,0,0,1,-$AB96)))/$AB96</f>
        <v>3000</v>
      </c>
      <c r="AE96" s="278">
        <f ca="1">IF(SUM($AD$3:AE$3)&lt;=$AB96,SUM($T96:U96),SUM(OFFSET(U96,0,0,1,-$AB96)))/$AB96</f>
        <v>3000</v>
      </c>
      <c r="AF96" s="278">
        <f ca="1">IF(SUM($AD$3:AF$3)&lt;=$AB96,SUM($T96:V96),SUM(OFFSET(V96,0,0,1,-$AB96)))/$AB96</f>
        <v>3000</v>
      </c>
      <c r="AG96" s="278">
        <f ca="1">IF(SUM($AD$3:AG$3)&lt;=$AB96,SUM($T96:W96),SUM(OFFSET(W96,0,0,1,-$AB96)))/$AB96</f>
        <v>3000</v>
      </c>
      <c r="AH96" s="278">
        <f ca="1">IF(SUM($AD$3:AH$3)&lt;=$AB96,SUM($T96:X96),SUM(OFFSET(X96,0,0,1,-$AB96)))/$AB96</f>
        <v>3000</v>
      </c>
      <c r="AI96" s="278">
        <f ca="1">IF(SUM($AD$3:AI$3)&lt;=$AB96,SUM($T96:Y96),SUM(OFFSET(Y96,0,0,1,-$AB96)))/$AB96</f>
        <v>3000</v>
      </c>
      <c r="AJ96" s="278">
        <f ca="1">IF(SUM($AD$3:AJ$3)&lt;=$AB96,SUM($T96:Z96),SUM(OFFSET(Z96,0,0,1,-$AB96)))/$AB96</f>
        <v>3000</v>
      </c>
    </row>
    <row r="97" spans="2:36" outlineLevel="1" x14ac:dyDescent="0.2">
      <c r="B97" s="196" t="s">
        <v>349</v>
      </c>
      <c r="C97" s="290" t="s">
        <v>172</v>
      </c>
      <c r="D97" s="290"/>
      <c r="E97" s="303"/>
      <c r="F97" s="303"/>
      <c r="G97" s="303">
        <v>25000</v>
      </c>
      <c r="I97" s="267"/>
      <c r="J97" s="267">
        <v>2</v>
      </c>
      <c r="L97" s="268">
        <v>1</v>
      </c>
      <c r="M97" s="268"/>
      <c r="N97" s="268"/>
      <c r="O97" s="268"/>
      <c r="P97" s="268"/>
      <c r="Q97" s="268"/>
      <c r="R97" s="268"/>
      <c r="T97" s="278">
        <f t="shared" si="70"/>
        <v>25000</v>
      </c>
      <c r="U97" s="278">
        <f t="shared" si="72"/>
        <v>0</v>
      </c>
      <c r="V97" s="278">
        <f t="shared" si="73"/>
        <v>0</v>
      </c>
      <c r="W97" s="278">
        <f t="shared" si="74"/>
        <v>0</v>
      </c>
      <c r="X97" s="278">
        <f t="shared" si="75"/>
        <v>0</v>
      </c>
      <c r="Y97" s="278">
        <f t="shared" si="76"/>
        <v>0</v>
      </c>
      <c r="Z97" s="278">
        <f t="shared" si="77"/>
        <v>0</v>
      </c>
      <c r="AB97" s="268">
        <v>10</v>
      </c>
      <c r="AD97" s="278">
        <f ca="1">IF(SUM($AD$3:AD$3)&lt;=$AB97,SUM($T97:T97),SUM(OFFSET(T97,0,0,1,-$AB97)))/$AB97</f>
        <v>2500</v>
      </c>
      <c r="AE97" s="278">
        <f ca="1">IF(SUM($AD$3:AE$3)&lt;=$AB97,SUM($T97:U97),SUM(OFFSET(U97,0,0,1,-$AB97)))/$AB97</f>
        <v>2500</v>
      </c>
      <c r="AF97" s="278">
        <f ca="1">IF(SUM($AD$3:AF$3)&lt;=$AB97,SUM($T97:V97),SUM(OFFSET(V97,0,0,1,-$AB97)))/$AB97</f>
        <v>2500</v>
      </c>
      <c r="AG97" s="278">
        <f ca="1">IF(SUM($AD$3:AG$3)&lt;=$AB97,SUM($T97:W97),SUM(OFFSET(W97,0,0,1,-$AB97)))/$AB97</f>
        <v>2500</v>
      </c>
      <c r="AH97" s="278">
        <f ca="1">IF(SUM($AD$3:AH$3)&lt;=$AB97,SUM($T97:X97),SUM(OFFSET(X97,0,0,1,-$AB97)))/$AB97</f>
        <v>2500</v>
      </c>
      <c r="AI97" s="278">
        <f ca="1">IF(SUM($AD$3:AI$3)&lt;=$AB97,SUM($T97:Y97),SUM(OFFSET(Y97,0,0,1,-$AB97)))/$AB97</f>
        <v>2500</v>
      </c>
      <c r="AJ97" s="278">
        <f ca="1">IF(SUM($AD$3:AJ$3)&lt;=$AB97,SUM($T97:Z97),SUM(OFFSET(Z97,0,0,1,-$AB97)))/$AB97</f>
        <v>2500</v>
      </c>
    </row>
    <row r="98" spans="2:36" outlineLevel="1" x14ac:dyDescent="0.2">
      <c r="B98" s="196" t="s">
        <v>345</v>
      </c>
      <c r="C98" s="290" t="s">
        <v>166</v>
      </c>
      <c r="D98" s="290"/>
      <c r="E98" s="303"/>
      <c r="F98" s="303"/>
      <c r="G98" s="303">
        <v>20000</v>
      </c>
      <c r="I98" s="267"/>
      <c r="J98" s="267">
        <v>2</v>
      </c>
      <c r="L98" s="268">
        <v>1</v>
      </c>
      <c r="M98" s="268"/>
      <c r="N98" s="268"/>
      <c r="O98" s="268"/>
      <c r="P98" s="268"/>
      <c r="Q98" s="268"/>
      <c r="R98" s="268"/>
      <c r="T98" s="278">
        <f t="shared" si="70"/>
        <v>20000</v>
      </c>
      <c r="U98" s="278">
        <f t="shared" si="72"/>
        <v>0</v>
      </c>
      <c r="V98" s="278">
        <f t="shared" si="73"/>
        <v>0</v>
      </c>
      <c r="W98" s="278">
        <f t="shared" si="74"/>
        <v>0</v>
      </c>
      <c r="X98" s="278">
        <f t="shared" si="75"/>
        <v>0</v>
      </c>
      <c r="Y98" s="278">
        <f t="shared" si="76"/>
        <v>0</v>
      </c>
      <c r="Z98" s="278">
        <f t="shared" si="77"/>
        <v>0</v>
      </c>
      <c r="AB98" s="268">
        <v>10</v>
      </c>
      <c r="AD98" s="278">
        <f ca="1">IF(SUM($AD$3:AD$3)&lt;=$AB98,SUM($T98:T98),SUM(OFFSET(T98,0,0,1,-$AB98)))/$AB98</f>
        <v>2000</v>
      </c>
      <c r="AE98" s="278">
        <f ca="1">IF(SUM($AD$3:AE$3)&lt;=$AB98,SUM($T98:U98),SUM(OFFSET(U98,0,0,1,-$AB98)))/$AB98</f>
        <v>2000</v>
      </c>
      <c r="AF98" s="278">
        <f ca="1">IF(SUM($AD$3:AF$3)&lt;=$AB98,SUM($T98:V98),SUM(OFFSET(V98,0,0,1,-$AB98)))/$AB98</f>
        <v>2000</v>
      </c>
      <c r="AG98" s="278">
        <f ca="1">IF(SUM($AD$3:AG$3)&lt;=$AB98,SUM($T98:W98),SUM(OFFSET(W98,0,0,1,-$AB98)))/$AB98</f>
        <v>2000</v>
      </c>
      <c r="AH98" s="278">
        <f ca="1">IF(SUM($AD$3:AH$3)&lt;=$AB98,SUM($T98:X98),SUM(OFFSET(X98,0,0,1,-$AB98)))/$AB98</f>
        <v>2000</v>
      </c>
      <c r="AI98" s="278">
        <f ca="1">IF(SUM($AD$3:AI$3)&lt;=$AB98,SUM($T98:Y98),SUM(OFFSET(Y98,0,0,1,-$AB98)))/$AB98</f>
        <v>2000</v>
      </c>
      <c r="AJ98" s="278">
        <f ca="1">IF(SUM($AD$3:AJ$3)&lt;=$AB98,SUM($T98:Z98),SUM(OFFSET(Z98,0,0,1,-$AB98)))/$AB98</f>
        <v>2000</v>
      </c>
    </row>
    <row r="99" spans="2:36" outlineLevel="1" x14ac:dyDescent="0.2">
      <c r="B99" s="196" t="s">
        <v>346</v>
      </c>
      <c r="C99" s="290" t="s">
        <v>167</v>
      </c>
      <c r="D99" s="290"/>
      <c r="E99" s="303"/>
      <c r="F99" s="303"/>
      <c r="G99" s="303">
        <v>20000</v>
      </c>
      <c r="I99" s="267"/>
      <c r="J99" s="267">
        <v>2</v>
      </c>
      <c r="L99" s="268">
        <v>1</v>
      </c>
      <c r="M99" s="268"/>
      <c r="N99" s="268"/>
      <c r="O99" s="268"/>
      <c r="P99" s="268"/>
      <c r="Q99" s="268"/>
      <c r="R99" s="268"/>
      <c r="T99" s="278">
        <f t="shared" si="70"/>
        <v>20000</v>
      </c>
      <c r="U99" s="278">
        <f t="shared" si="72"/>
        <v>0</v>
      </c>
      <c r="V99" s="278">
        <f t="shared" si="73"/>
        <v>0</v>
      </c>
      <c r="W99" s="278">
        <f t="shared" si="74"/>
        <v>0</v>
      </c>
      <c r="X99" s="278">
        <f t="shared" si="75"/>
        <v>0</v>
      </c>
      <c r="Y99" s="278">
        <f t="shared" si="76"/>
        <v>0</v>
      </c>
      <c r="Z99" s="278">
        <f t="shared" si="77"/>
        <v>0</v>
      </c>
      <c r="AB99" s="268">
        <v>10</v>
      </c>
      <c r="AD99" s="278">
        <f ca="1">IF(SUM($AD$3:AD$3)&lt;=$AB99,SUM($T99:T99),SUM(OFFSET(T99,0,0,1,-$AB99)))/$AB99</f>
        <v>2000</v>
      </c>
      <c r="AE99" s="278">
        <f ca="1">IF(SUM($AD$3:AE$3)&lt;=$AB99,SUM($T99:U99),SUM(OFFSET(U99,0,0,1,-$AB99)))/$AB99</f>
        <v>2000</v>
      </c>
      <c r="AF99" s="278">
        <f ca="1">IF(SUM($AD$3:AF$3)&lt;=$AB99,SUM($T99:V99),SUM(OFFSET(V99,0,0,1,-$AB99)))/$AB99</f>
        <v>2000</v>
      </c>
      <c r="AG99" s="278">
        <f ca="1">IF(SUM($AD$3:AG$3)&lt;=$AB99,SUM($T99:W99),SUM(OFFSET(W99,0,0,1,-$AB99)))/$AB99</f>
        <v>2000</v>
      </c>
      <c r="AH99" s="278">
        <f ca="1">IF(SUM($AD$3:AH$3)&lt;=$AB99,SUM($T99:X99),SUM(OFFSET(X99,0,0,1,-$AB99)))/$AB99</f>
        <v>2000</v>
      </c>
      <c r="AI99" s="278">
        <f ca="1">IF(SUM($AD$3:AI$3)&lt;=$AB99,SUM($T99:Y99),SUM(OFFSET(Y99,0,0,1,-$AB99)))/$AB99</f>
        <v>2000</v>
      </c>
      <c r="AJ99" s="278">
        <f ca="1">IF(SUM($AD$3:AJ$3)&lt;=$AB99,SUM($T99:Z99),SUM(OFFSET(Z99,0,0,1,-$AB99)))/$AB99</f>
        <v>2000</v>
      </c>
    </row>
    <row r="100" spans="2:36" outlineLevel="1" x14ac:dyDescent="0.2">
      <c r="B100" s="196" t="s">
        <v>339</v>
      </c>
      <c r="C100" s="290" t="s">
        <v>171</v>
      </c>
      <c r="D100" s="290"/>
      <c r="E100" s="303"/>
      <c r="F100" s="303"/>
      <c r="G100" s="303">
        <v>750</v>
      </c>
      <c r="I100" s="267"/>
      <c r="J100" s="267">
        <v>1</v>
      </c>
      <c r="L100" s="268">
        <v>17</v>
      </c>
      <c r="M100" s="268">
        <f>MAX(Staff!E15-Staff!D15,0)</f>
        <v>4</v>
      </c>
      <c r="N100" s="268">
        <f>MAX(Staff!F15-Staff!E15,0)</f>
        <v>0</v>
      </c>
      <c r="O100" s="268">
        <f>MAX(Staff!G15-Staff!F15,0)</f>
        <v>0</v>
      </c>
      <c r="P100" s="268">
        <f>MAX(Staff!H15-Staff!G15,0)</f>
        <v>0</v>
      </c>
      <c r="Q100" s="268">
        <f>MAX(Staff!I15-Staff!H15,0)</f>
        <v>0</v>
      </c>
      <c r="R100" s="268">
        <f>MAX(Staff!J15-Staff!I15,0)</f>
        <v>0</v>
      </c>
      <c r="T100" s="278">
        <f t="shared" si="70"/>
        <v>12750</v>
      </c>
      <c r="U100" s="278">
        <f t="shared" si="72"/>
        <v>3000</v>
      </c>
      <c r="V100" s="278">
        <f t="shared" si="73"/>
        <v>0</v>
      </c>
      <c r="W100" s="278">
        <f t="shared" si="74"/>
        <v>0</v>
      </c>
      <c r="X100" s="278">
        <f t="shared" si="75"/>
        <v>0</v>
      </c>
      <c r="Y100" s="278">
        <f t="shared" si="76"/>
        <v>0</v>
      </c>
      <c r="Z100" s="278">
        <f t="shared" si="77"/>
        <v>0</v>
      </c>
      <c r="AB100" s="268">
        <v>10</v>
      </c>
      <c r="AD100" s="278">
        <f ca="1">IF(SUM($AD$3:AD$3)&lt;=$AB100,SUM($T100:T100),SUM(OFFSET(T100,0,0,1,-$AB100)))/$AB100</f>
        <v>1275</v>
      </c>
      <c r="AE100" s="278">
        <f ca="1">IF(SUM($AD$3:AE$3)&lt;=$AB100,SUM($T100:U100),SUM(OFFSET(U100,0,0,1,-$AB100)))/$AB100</f>
        <v>1575</v>
      </c>
      <c r="AF100" s="278">
        <f ca="1">IF(SUM($AD$3:AF$3)&lt;=$AB100,SUM($T100:V100),SUM(OFFSET(V100,0,0,1,-$AB100)))/$AB100</f>
        <v>1575</v>
      </c>
      <c r="AG100" s="278">
        <f ca="1">IF(SUM($AD$3:AG$3)&lt;=$AB100,SUM($T100:W100),SUM(OFFSET(W100,0,0,1,-$AB100)))/$AB100</f>
        <v>1575</v>
      </c>
      <c r="AH100" s="278">
        <f ca="1">IF(SUM($AD$3:AH$3)&lt;=$AB100,SUM($T100:X100),SUM(OFFSET(X100,0,0,1,-$AB100)))/$AB100</f>
        <v>1575</v>
      </c>
      <c r="AI100" s="278">
        <f ca="1">IF(SUM($AD$3:AI$3)&lt;=$AB100,SUM($T100:Y100),SUM(OFFSET(Y100,0,0,1,-$AB100)))/$AB100</f>
        <v>1575</v>
      </c>
      <c r="AJ100" s="278">
        <f ca="1">IF(SUM($AD$3:AJ$3)&lt;=$AB100,SUM($T100:Z100),SUM(OFFSET(Z100,0,0,1,-$AB100)))/$AB100</f>
        <v>1575</v>
      </c>
    </row>
    <row r="101" spans="2:36" outlineLevel="1" x14ac:dyDescent="0.2">
      <c r="B101" s="196" t="s">
        <v>347</v>
      </c>
      <c r="C101" s="290" t="s">
        <v>169</v>
      </c>
      <c r="D101" s="290"/>
      <c r="E101" s="303"/>
      <c r="F101" s="303"/>
      <c r="G101" s="303">
        <v>5000</v>
      </c>
      <c r="I101" s="267"/>
      <c r="J101" s="267">
        <v>1</v>
      </c>
      <c r="L101" s="268">
        <v>1</v>
      </c>
      <c r="M101" s="268"/>
      <c r="N101" s="268"/>
      <c r="O101" s="268"/>
      <c r="P101" s="268"/>
      <c r="Q101" s="268"/>
      <c r="R101" s="268"/>
      <c r="T101" s="278">
        <f t="shared" si="70"/>
        <v>5000</v>
      </c>
      <c r="U101" s="278">
        <f t="shared" si="72"/>
        <v>0</v>
      </c>
      <c r="V101" s="278">
        <f t="shared" si="73"/>
        <v>0</v>
      </c>
      <c r="W101" s="278">
        <f t="shared" si="74"/>
        <v>0</v>
      </c>
      <c r="X101" s="278">
        <f t="shared" si="75"/>
        <v>0</v>
      </c>
      <c r="Y101" s="278">
        <f t="shared" si="76"/>
        <v>0</v>
      </c>
      <c r="Z101" s="278">
        <f t="shared" si="77"/>
        <v>0</v>
      </c>
      <c r="AB101" s="268">
        <v>10</v>
      </c>
      <c r="AD101" s="278">
        <f ca="1">IF(SUM($AD$3:AD$3)&lt;=$AB101,SUM($T101:T101),SUM(OFFSET(T101,0,0,1,-$AB101)))/$AB101</f>
        <v>500</v>
      </c>
      <c r="AE101" s="278">
        <f ca="1">IF(SUM($AD$3:AE$3)&lt;=$AB101,SUM($T101:U101),SUM(OFFSET(U101,0,0,1,-$AB101)))/$AB101</f>
        <v>500</v>
      </c>
      <c r="AF101" s="278">
        <f ca="1">IF(SUM($AD$3:AF$3)&lt;=$AB101,SUM($T101:V101),SUM(OFFSET(V101,0,0,1,-$AB101)))/$AB101</f>
        <v>500</v>
      </c>
      <c r="AG101" s="278">
        <f ca="1">IF(SUM($AD$3:AG$3)&lt;=$AB101,SUM($T101:W101),SUM(OFFSET(W101,0,0,1,-$AB101)))/$AB101</f>
        <v>500</v>
      </c>
      <c r="AH101" s="278">
        <f ca="1">IF(SUM($AD$3:AH$3)&lt;=$AB101,SUM($T101:X101),SUM(OFFSET(X101,0,0,1,-$AB101)))/$AB101</f>
        <v>500</v>
      </c>
      <c r="AI101" s="278">
        <f ca="1">IF(SUM($AD$3:AI$3)&lt;=$AB101,SUM($T101:Y101),SUM(OFFSET(Y101,0,0,1,-$AB101)))/$AB101</f>
        <v>500</v>
      </c>
      <c r="AJ101" s="278">
        <f ca="1">IF(SUM($AD$3:AJ$3)&lt;=$AB101,SUM($T101:Z101),SUM(OFFSET(Z101,0,0,1,-$AB101)))/$AB101</f>
        <v>500</v>
      </c>
    </row>
    <row r="102" spans="2:36" ht="15" thickBot="1" x14ac:dyDescent="0.25">
      <c r="AB102" s="368"/>
      <c r="AD102" s="278"/>
      <c r="AE102" s="278"/>
      <c r="AF102" s="278"/>
      <c r="AG102" s="278"/>
      <c r="AH102" s="278"/>
      <c r="AI102" s="278"/>
      <c r="AJ102" s="278"/>
    </row>
    <row r="103" spans="2:36" s="121" customFormat="1" ht="20.100000000000001" customHeight="1" thickBot="1" x14ac:dyDescent="0.25">
      <c r="B103" s="281" t="s">
        <v>115</v>
      </c>
      <c r="C103" s="300"/>
      <c r="D103" s="300"/>
      <c r="E103" s="282"/>
      <c r="F103" s="282"/>
      <c r="G103" s="282"/>
      <c r="H103" s="282"/>
      <c r="I103" s="283"/>
      <c r="J103" s="283"/>
      <c r="K103" s="282"/>
      <c r="L103" s="283"/>
      <c r="M103" s="283"/>
      <c r="N103" s="283"/>
      <c r="O103" s="283"/>
      <c r="P103" s="283"/>
      <c r="Q103" s="283"/>
      <c r="R103" s="283"/>
      <c r="S103" s="282"/>
      <c r="T103" s="284">
        <f t="shared" ref="T103:Z103" si="78">SUM(T4,T13,T30,T46,T52,T58,T63,T79,T83,T91)</f>
        <v>3577775.5</v>
      </c>
      <c r="U103" s="284">
        <f t="shared" si="78"/>
        <v>146000</v>
      </c>
      <c r="V103" s="284">
        <f t="shared" si="78"/>
        <v>243576</v>
      </c>
      <c r="W103" s="284">
        <f t="shared" si="78"/>
        <v>10340</v>
      </c>
      <c r="X103" s="284">
        <f t="shared" si="78"/>
        <v>243576</v>
      </c>
      <c r="Y103" s="284">
        <f t="shared" si="78"/>
        <v>0</v>
      </c>
      <c r="Z103" s="284">
        <f t="shared" si="78"/>
        <v>0</v>
      </c>
      <c r="AA103" s="282"/>
      <c r="AB103" s="369"/>
      <c r="AC103" s="282"/>
      <c r="AD103" s="284">
        <f t="shared" ref="AD103:AJ103" ca="1" si="79">SUM(AD4,AD13,AD30,AD46,AD52,AD58,AD63,AD79,AD83,AD91)</f>
        <v>438913.58333333331</v>
      </c>
      <c r="AE103" s="284">
        <f t="shared" ca="1" si="79"/>
        <v>453513.58333333331</v>
      </c>
      <c r="AF103" s="284">
        <f t="shared" ca="1" si="79"/>
        <v>534705.58333333326</v>
      </c>
      <c r="AG103" s="284">
        <f t="shared" ca="1" si="79"/>
        <v>432039.25</v>
      </c>
      <c r="AH103" s="284">
        <f t="shared" ca="1" si="79"/>
        <v>511731.24999999994</v>
      </c>
      <c r="AI103" s="284">
        <f t="shared" ca="1" si="79"/>
        <v>417731.25</v>
      </c>
      <c r="AJ103" s="284">
        <f t="shared" ca="1" si="79"/>
        <v>416631.25</v>
      </c>
    </row>
  </sheetData>
  <sortState xmlns:xlrd2="http://schemas.microsoft.com/office/spreadsheetml/2017/richdata2" ref="B93:Z101">
    <sortCondition descending="1" ref="T93:T101"/>
  </sortState>
  <conditionalFormatting sqref="T14:Z29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{58F32ABE-39E6-413F-8FE2-16DAE044D8F1}</x14:id>
        </ext>
      </extLst>
    </cfRule>
  </conditionalFormatting>
  <conditionalFormatting sqref="T47:Z51">
    <cfRule type="dataBar" priority="2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{A58E1AC0-EE7B-4AFB-B695-A1654FB54D48}</x14:id>
        </ext>
      </extLst>
    </cfRule>
  </conditionalFormatting>
  <conditionalFormatting sqref="T59:Z62">
    <cfRule type="dataBar" priority="2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{0E5A8533-09FC-4425-AEA1-96EB709D1E38}</x14:id>
        </ext>
      </extLst>
    </cfRule>
  </conditionalFormatting>
  <conditionalFormatting sqref="T64:Z78"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{F9EC1D89-8002-4C7C-9833-D354B9FF890C}</x14:id>
        </ext>
      </extLst>
    </cfRule>
  </conditionalFormatting>
  <conditionalFormatting sqref="T80:Z82"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{15E3DA52-3ED1-4A28-BE53-B234F8AB8E49}</x14:id>
        </ext>
      </extLst>
    </cfRule>
  </conditionalFormatting>
  <conditionalFormatting sqref="T84:Z90">
    <cfRule type="dataBar" priority="2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{727A71A9-7CB9-4819-BC98-A5642CB15A65}</x14:id>
        </ext>
      </extLst>
    </cfRule>
  </conditionalFormatting>
  <conditionalFormatting sqref="T92:Z102"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{5AC33CFE-9E84-4213-A470-52785F52E525}</x14:id>
        </ext>
      </extLst>
    </cfRule>
  </conditionalFormatting>
  <conditionalFormatting sqref="T5:Z12">
    <cfRule type="dataBar" priority="3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{4FB9A08A-7584-4EC9-A3A4-142845D52310}</x14:id>
        </ext>
      </extLst>
    </cfRule>
  </conditionalFormatting>
  <conditionalFormatting sqref="T31:Z45">
    <cfRule type="dataBar" priority="3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{531E34E3-2B4D-44F0-A705-5EBEFA97A4CA}</x14:id>
        </ext>
      </extLst>
    </cfRule>
  </conditionalFormatting>
  <conditionalFormatting sqref="T53:Z57">
    <cfRule type="dataBar" priority="3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{AED54601-0C37-4DDA-B784-82C6D9356625}</x14:id>
        </ext>
      </extLst>
    </cfRule>
  </conditionalFormatting>
  <pageMargins left="0.7" right="0.7" top="0.75" bottom="0.75" header="0.3" footer="0.3"/>
  <pageSetup paperSize="9" orientation="portrait" r:id="rId1"/>
  <ignoredErrors>
    <ignoredError sqref="T13:Z30 T46:Z46 T52:Z52 T53:Z53 T79:Z83 T91:Z91 T56:Z63 T54:U55 Y54:Z55 AD30:AJ30 AD46 AJ46 AD52 AJ52 AD58 AJ58 AJ63 AJ79 AJ83 AD13:AJ13" formula="1"/>
    <ignoredError sqref="AE14:AI23 AE25:AI29 AE24:AG24 AH24:AI24 AD62:AI62 AE31:AI45 AE47:AI51 AE53:AI57 AE59:AI61 AD64:AI78 AD80:AI82 AD84:AI101 AE5:AI12" formulaRange="1"/>
    <ignoredError sqref="AE46:AI46 AE52:AI52 AE58:AI58 AD63:AI63 AD79:AI79 AD83:AI83" formula="1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8F32ABE-39E6-413F-8FE2-16DAE044D8F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T14:Z29</xm:sqref>
        </x14:conditionalFormatting>
        <x14:conditionalFormatting xmlns:xm="http://schemas.microsoft.com/office/excel/2006/main">
          <x14:cfRule type="dataBar" id="{A58E1AC0-EE7B-4AFB-B695-A1654FB54D4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T47:Z51</xm:sqref>
        </x14:conditionalFormatting>
        <x14:conditionalFormatting xmlns:xm="http://schemas.microsoft.com/office/excel/2006/main">
          <x14:cfRule type="dataBar" id="{0E5A8533-09FC-4425-AEA1-96EB709D1E3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T59:Z62</xm:sqref>
        </x14:conditionalFormatting>
        <x14:conditionalFormatting xmlns:xm="http://schemas.microsoft.com/office/excel/2006/main">
          <x14:cfRule type="dataBar" id="{F9EC1D89-8002-4C7C-9833-D354B9FF890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T64:Z78</xm:sqref>
        </x14:conditionalFormatting>
        <x14:conditionalFormatting xmlns:xm="http://schemas.microsoft.com/office/excel/2006/main">
          <x14:cfRule type="dataBar" id="{15E3DA52-3ED1-4A28-BE53-B234F8AB8E4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T80:Z82</xm:sqref>
        </x14:conditionalFormatting>
        <x14:conditionalFormatting xmlns:xm="http://schemas.microsoft.com/office/excel/2006/main">
          <x14:cfRule type="dataBar" id="{727A71A9-7CB9-4819-BC98-A5642CB15A6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T84:Z90</xm:sqref>
        </x14:conditionalFormatting>
        <x14:conditionalFormatting xmlns:xm="http://schemas.microsoft.com/office/excel/2006/main">
          <x14:cfRule type="dataBar" id="{5AC33CFE-9E84-4213-A470-52785F52E52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T92:Z102</xm:sqref>
        </x14:conditionalFormatting>
        <x14:conditionalFormatting xmlns:xm="http://schemas.microsoft.com/office/excel/2006/main">
          <x14:cfRule type="dataBar" id="{4FB9A08A-7584-4EC9-A3A4-142845D5231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T5:Z12</xm:sqref>
        </x14:conditionalFormatting>
        <x14:conditionalFormatting xmlns:xm="http://schemas.microsoft.com/office/excel/2006/main">
          <x14:cfRule type="dataBar" id="{531E34E3-2B4D-44F0-A705-5EBEFA97A4C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T31:Z45</xm:sqref>
        </x14:conditionalFormatting>
        <x14:conditionalFormatting xmlns:xm="http://schemas.microsoft.com/office/excel/2006/main">
          <x14:cfRule type="dataBar" id="{AED54601-0C37-4DDA-B784-82C6D935662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T53:Z57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4:H22"/>
  <sheetViews>
    <sheetView showGridLines="0" workbookViewId="0">
      <selection activeCell="E14" sqref="E14"/>
    </sheetView>
  </sheetViews>
  <sheetFormatPr defaultRowHeight="14.25" outlineLevelRow="1" x14ac:dyDescent="0.2"/>
  <cols>
    <col min="1" max="1" width="30.75" bestFit="1" customWidth="1"/>
  </cols>
  <sheetData>
    <row r="4" spans="1:8" x14ac:dyDescent="0.2">
      <c r="A4" s="313" t="s">
        <v>445</v>
      </c>
      <c r="B4" s="130">
        <v>2019</v>
      </c>
      <c r="C4" s="131">
        <v>2020</v>
      </c>
      <c r="D4" s="131">
        <v>2021</v>
      </c>
      <c r="E4" s="131">
        <v>2022</v>
      </c>
      <c r="F4" s="131">
        <v>2023</v>
      </c>
      <c r="G4" s="131">
        <v>2024</v>
      </c>
      <c r="H4" s="132">
        <v>2025</v>
      </c>
    </row>
    <row r="5" spans="1:8" ht="15" thickBot="1" x14ac:dyDescent="0.25">
      <c r="H5" s="401" t="s">
        <v>425</v>
      </c>
    </row>
    <row r="6" spans="1:8" s="70" customFormat="1" ht="15" thickBot="1" x14ac:dyDescent="0.25">
      <c r="A6" s="325" t="s">
        <v>53</v>
      </c>
      <c r="B6" s="400">
        <f ca="1">Production!C25</f>
        <v>30303.030303030304</v>
      </c>
      <c r="C6" s="400">
        <f ca="1">Production!D25</f>
        <v>43290.043290043293</v>
      </c>
      <c r="D6" s="400">
        <f ca="1">Production!E25</f>
        <v>43290.043290043293</v>
      </c>
      <c r="E6" s="400">
        <f ca="1">Production!F25</f>
        <v>43290.043290043293</v>
      </c>
      <c r="F6" s="400">
        <f ca="1">Production!G25</f>
        <v>43290.043290043293</v>
      </c>
      <c r="G6" s="400">
        <f ca="1">Production!H25</f>
        <v>22727.272727272728</v>
      </c>
      <c r="H6" s="406">
        <f ca="1">Production!I25</f>
        <v>0</v>
      </c>
    </row>
    <row r="7" spans="1:8" ht="15" thickBot="1" x14ac:dyDescent="0.25">
      <c r="H7" s="407"/>
    </row>
    <row r="8" spans="1:8" s="70" customFormat="1" ht="15" thickBot="1" x14ac:dyDescent="0.25">
      <c r="A8" s="325" t="s">
        <v>415</v>
      </c>
      <c r="B8" s="400">
        <f ca="1">SUM(B9:B16)</f>
        <v>1468.0921963869464</v>
      </c>
      <c r="C8" s="400">
        <f t="shared" ref="C8:H8" ca="1" si="0">SUM(C9:C16)</f>
        <v>1990.3690029137533</v>
      </c>
      <c r="D8" s="400">
        <f t="shared" ca="1" si="0"/>
        <v>2153.1425238927741</v>
      </c>
      <c r="E8" s="400">
        <f t="shared" ca="1" si="0"/>
        <v>2136.1367875874125</v>
      </c>
      <c r="F8" s="400">
        <f t="shared" ca="1" si="0"/>
        <v>2305.7724144667836</v>
      </c>
      <c r="G8" s="400">
        <f t="shared" ca="1" si="0"/>
        <v>1435.0955084982518</v>
      </c>
      <c r="H8" s="406">
        <f t="shared" ca="1" si="0"/>
        <v>478.64743995312494</v>
      </c>
    </row>
    <row r="9" spans="1:8" s="70" customFormat="1" outlineLevel="1" x14ac:dyDescent="0.2">
      <c r="A9" s="162" t="s">
        <v>21</v>
      </c>
      <c r="B9" s="322">
        <f ca="1">OPEX!B7</f>
        <v>482.51748251748256</v>
      </c>
      <c r="C9" s="322">
        <f ca="1">OPEX!C7</f>
        <v>723.7762237762239</v>
      </c>
      <c r="D9" s="322">
        <f ca="1">OPEX!D7</f>
        <v>759.9650349650351</v>
      </c>
      <c r="E9" s="322">
        <f ca="1">OPEX!E7</f>
        <v>797.96328671328706</v>
      </c>
      <c r="F9" s="322">
        <f ca="1">OPEX!F7</f>
        <v>837.86145104895115</v>
      </c>
      <c r="G9" s="322">
        <f ca="1">OPEX!G7</f>
        <v>461.87112489073434</v>
      </c>
      <c r="H9" s="408">
        <f ca="1">OPEX!H7</f>
        <v>0</v>
      </c>
    </row>
    <row r="10" spans="1:8" s="70" customFormat="1" outlineLevel="1" x14ac:dyDescent="0.2">
      <c r="A10" s="162" t="s">
        <v>421</v>
      </c>
      <c r="B10" s="322">
        <f ca="1">OPEX!B51</f>
        <v>345.23858333333334</v>
      </c>
      <c r="C10" s="322">
        <f ca="1">OPEX!C51</f>
        <v>358.73858333333334</v>
      </c>
      <c r="D10" s="322">
        <f ca="1">OPEX!D51</f>
        <v>439.93058333333323</v>
      </c>
      <c r="E10" s="322">
        <f ca="1">OPEX!E51</f>
        <v>337.26425</v>
      </c>
      <c r="F10" s="322">
        <f ca="1">OPEX!F51</f>
        <v>416.95624999999995</v>
      </c>
      <c r="G10" s="322">
        <f ca="1">OPEX!G51</f>
        <v>322.95625000000001</v>
      </c>
      <c r="H10" s="408">
        <f ca="1">OPEX!H51</f>
        <v>321.85624999999999</v>
      </c>
    </row>
    <row r="11" spans="1:8" s="70" customFormat="1" outlineLevel="1" x14ac:dyDescent="0.2">
      <c r="A11" s="162" t="s">
        <v>366</v>
      </c>
      <c r="B11" s="322">
        <f ca="1">OPEX!B31</f>
        <v>328.78787878787881</v>
      </c>
      <c r="C11" s="322">
        <f ca="1">OPEX!C31</f>
        <v>493.18181818181824</v>
      </c>
      <c r="D11" s="322">
        <f ca="1">OPEX!D31</f>
        <v>517.84090909090912</v>
      </c>
      <c r="E11" s="322">
        <f ca="1">OPEX!E31</f>
        <v>543.73295454545462</v>
      </c>
      <c r="F11" s="322">
        <f ca="1">OPEX!F31</f>
        <v>570.91960227272739</v>
      </c>
      <c r="G11" s="322">
        <f ca="1">OPEX!G31</f>
        <v>314.71943075284094</v>
      </c>
      <c r="H11" s="408">
        <f ca="1">OPEX!H31</f>
        <v>0</v>
      </c>
    </row>
    <row r="12" spans="1:8" s="70" customFormat="1" outlineLevel="1" x14ac:dyDescent="0.2">
      <c r="A12" s="162" t="s">
        <v>362</v>
      </c>
      <c r="B12" s="322">
        <f>OPEX!B24</f>
        <v>117</v>
      </c>
      <c r="C12" s="322">
        <f>OPEX!C24</f>
        <v>122.85</v>
      </c>
      <c r="D12" s="322">
        <f>OPEX!D24</f>
        <v>128.99250000000001</v>
      </c>
      <c r="E12" s="322">
        <f>OPEX!E24</f>
        <v>135.44212500000003</v>
      </c>
      <c r="F12" s="322">
        <f>OPEX!F24</f>
        <v>142.21423124999998</v>
      </c>
      <c r="G12" s="322">
        <f>OPEX!G24</f>
        <v>149.32494281250001</v>
      </c>
      <c r="H12" s="408">
        <f>OPEX!H24</f>
        <v>156.79118995312498</v>
      </c>
    </row>
    <row r="13" spans="1:8" s="70" customFormat="1" outlineLevel="1" x14ac:dyDescent="0.2">
      <c r="A13" s="162" t="s">
        <v>367</v>
      </c>
      <c r="B13" s="322">
        <f ca="1">OPEX!B33</f>
        <v>106.06060606060606</v>
      </c>
      <c r="C13" s="322">
        <f ca="1">OPEX!C33</f>
        <v>159.09090909090912</v>
      </c>
      <c r="D13" s="322">
        <f ca="1">OPEX!D33</f>
        <v>167.04545454545456</v>
      </c>
      <c r="E13" s="322">
        <f ca="1">OPEX!E33</f>
        <v>175.39772727272731</v>
      </c>
      <c r="F13" s="322">
        <f ca="1">OPEX!F33</f>
        <v>184.16761363636365</v>
      </c>
      <c r="G13" s="322">
        <f ca="1">OPEX!G33</f>
        <v>101.52239701704546</v>
      </c>
      <c r="H13" s="408">
        <f ca="1">OPEX!H33</f>
        <v>0</v>
      </c>
    </row>
    <row r="14" spans="1:8" s="70" customFormat="1" outlineLevel="1" x14ac:dyDescent="0.2">
      <c r="A14" s="162" t="s">
        <v>427</v>
      </c>
      <c r="B14" s="322">
        <f ca="1">OPEX!B32</f>
        <v>75.757575757575765</v>
      </c>
      <c r="C14" s="322">
        <f ca="1">OPEX!C32</f>
        <v>113.63636363636364</v>
      </c>
      <c r="D14" s="322">
        <f ca="1">OPEX!D32</f>
        <v>119.31818181818183</v>
      </c>
      <c r="E14" s="322">
        <f ca="1">OPEX!E32</f>
        <v>125.28409090909092</v>
      </c>
      <c r="F14" s="322">
        <f ca="1">OPEX!F32</f>
        <v>131.54829545454547</v>
      </c>
      <c r="G14" s="322">
        <f ca="1">OPEX!G32</f>
        <v>72.515997869318198</v>
      </c>
      <c r="H14" s="409">
        <f ca="1">OPEX!H32</f>
        <v>0</v>
      </c>
    </row>
    <row r="15" spans="1:8" s="70" customFormat="1" outlineLevel="1" x14ac:dyDescent="0.2">
      <c r="A15" s="162" t="s">
        <v>407</v>
      </c>
      <c r="B15" s="322">
        <f ca="1">OPEX!B29</f>
        <v>8.4377622377622394</v>
      </c>
      <c r="C15" s="322">
        <f ca="1">OPEX!C29</f>
        <v>12.656643356643359</v>
      </c>
      <c r="D15" s="322">
        <f ca="1">OPEX!D29</f>
        <v>13.289475524475527</v>
      </c>
      <c r="E15" s="322">
        <f ca="1">OPEX!E29</f>
        <v>13.953949300699305</v>
      </c>
      <c r="F15" s="322">
        <f ca="1">OPEX!F29</f>
        <v>14.651646765734268</v>
      </c>
      <c r="G15" s="322">
        <f ca="1">OPEX!G29</f>
        <v>8.0767202796110151</v>
      </c>
      <c r="H15" s="408">
        <f ca="1">OPEX!H29</f>
        <v>0</v>
      </c>
    </row>
    <row r="16" spans="1:8" s="70" customFormat="1" outlineLevel="1" x14ac:dyDescent="0.2">
      <c r="A16" s="162" t="s">
        <v>408</v>
      </c>
      <c r="B16" s="322">
        <f ca="1">OPEX!B30</f>
        <v>4.292307692307693</v>
      </c>
      <c r="C16" s="322">
        <f ca="1">OPEX!C30</f>
        <v>6.4384615384615405</v>
      </c>
      <c r="D16" s="322">
        <f ca="1">OPEX!D30</f>
        <v>6.7603846153846172</v>
      </c>
      <c r="E16" s="322">
        <f ca="1">OPEX!E30</f>
        <v>7.0984038461538486</v>
      </c>
      <c r="F16" s="322">
        <f ca="1">OPEX!F30</f>
        <v>7.45332403846154</v>
      </c>
      <c r="G16" s="322">
        <f ca="1">OPEX!G30</f>
        <v>4.1086448762019243</v>
      </c>
      <c r="H16" s="408">
        <f ca="1">OPEX!H30</f>
        <v>0</v>
      </c>
    </row>
    <row r="17" spans="1:8" ht="15" thickBot="1" x14ac:dyDescent="0.25">
      <c r="H17" s="407"/>
    </row>
    <row r="18" spans="1:8" s="70" customFormat="1" ht="15" thickBot="1" x14ac:dyDescent="0.25">
      <c r="A18" s="325" t="s">
        <v>423</v>
      </c>
      <c r="B18" s="400"/>
      <c r="C18" s="400"/>
      <c r="D18" s="400"/>
      <c r="E18" s="400"/>
      <c r="F18" s="400"/>
      <c r="G18" s="400"/>
      <c r="H18" s="406"/>
    </row>
    <row r="19" spans="1:8" x14ac:dyDescent="0.2">
      <c r="A19" s="402" t="s">
        <v>62</v>
      </c>
      <c r="B19" s="403">
        <f t="shared" ref="B19:G19" ca="1" si="1">B8/B6*1000</f>
        <v>48.447042480769234</v>
      </c>
      <c r="C19" s="403">
        <f t="shared" ca="1" si="1"/>
        <v>45.977523967307697</v>
      </c>
      <c r="D19" s="403">
        <f t="shared" ca="1" si="1"/>
        <v>49.737592301923073</v>
      </c>
      <c r="E19" s="403">
        <f t="shared" ca="1" si="1"/>
        <v>49.344759793269226</v>
      </c>
      <c r="F19" s="403">
        <f t="shared" ca="1" si="1"/>
        <v>53.263342774182696</v>
      </c>
      <c r="G19" s="403">
        <f t="shared" ca="1" si="1"/>
        <v>63.144202373923072</v>
      </c>
      <c r="H19" s="410"/>
    </row>
    <row r="20" spans="1:8" x14ac:dyDescent="0.2">
      <c r="A20" s="5" t="s">
        <v>64</v>
      </c>
      <c r="B20" s="404">
        <f ca="1">B19/Parameters!$B$9</f>
        <v>4.0372535400641025</v>
      </c>
      <c r="C20" s="404">
        <f ca="1">C19/Parameters!$B$9</f>
        <v>3.8314603306089747</v>
      </c>
      <c r="D20" s="404">
        <f ca="1">D19/Parameters!$B$9</f>
        <v>4.1447993584935894</v>
      </c>
      <c r="E20" s="404">
        <f ca="1">E19/Parameters!$B$9</f>
        <v>4.1120633161057691</v>
      </c>
      <c r="F20" s="404">
        <f ca="1">F19/Parameters!$B$9</f>
        <v>4.438611897848558</v>
      </c>
      <c r="G20" s="404">
        <f ca="1">G19/Parameters!$B$9</f>
        <v>5.2620168644935896</v>
      </c>
      <c r="H20" s="411"/>
    </row>
    <row r="21" spans="1:8" x14ac:dyDescent="0.2">
      <c r="A21" s="5" t="s">
        <v>424</v>
      </c>
      <c r="B21" s="404">
        <f ca="1">B20/Parameters!$B$10</f>
        <v>5.38300472008547</v>
      </c>
      <c r="C21" s="404">
        <f ca="1">C20/Parameters!$B$10</f>
        <v>5.1086137741452999</v>
      </c>
      <c r="D21" s="404">
        <f ca="1">D20/Parameters!$B$10</f>
        <v>5.5263991446581189</v>
      </c>
      <c r="E21" s="404">
        <f ca="1">E20/Parameters!$B$10</f>
        <v>5.4827510881410255</v>
      </c>
      <c r="F21" s="404">
        <f ca="1">F20/Parameters!$B$10</f>
        <v>5.9181491971314104</v>
      </c>
      <c r="G21" s="404">
        <f ca="1">G20/Parameters!$B$10</f>
        <v>7.0160224859914528</v>
      </c>
      <c r="H21" s="411"/>
    </row>
    <row r="22" spans="1:8" x14ac:dyDescent="0.2">
      <c r="A22" s="5" t="s">
        <v>56</v>
      </c>
      <c r="B22" s="404">
        <f ca="1">B21*Parameters!$B$8</f>
        <v>20.376889500739161</v>
      </c>
      <c r="C22" s="404">
        <f ca="1">C21*Parameters!$B$8</f>
        <v>19.338206780554334</v>
      </c>
      <c r="D22" s="404">
        <f ca="1">D21*Parameters!$B$8</f>
        <v>20.919696445276362</v>
      </c>
      <c r="E22" s="404">
        <f ca="1">E21*Parameters!$B$8</f>
        <v>20.75447057778786</v>
      </c>
      <c r="F22" s="404">
        <f ca="1">F21*Parameters!$B$8</f>
        <v>22.402631710291381</v>
      </c>
      <c r="G22" s="404">
        <f ca="1">G21*Parameters!$B$8</f>
        <v>26.55853419528102</v>
      </c>
      <c r="H22" s="411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S35"/>
  <sheetViews>
    <sheetView topLeftCell="F9" workbookViewId="0">
      <selection activeCell="K33" sqref="K33"/>
    </sheetView>
  </sheetViews>
  <sheetFormatPr defaultRowHeight="14.25" x14ac:dyDescent="0.2"/>
  <cols>
    <col min="1" max="1" width="25" style="70" bestFit="1" customWidth="1"/>
    <col min="2" max="7" width="9.25" style="70" customWidth="1"/>
    <col min="8" max="8" width="1.75" customWidth="1"/>
    <col min="9" max="9" width="9.25" style="70" bestFit="1" customWidth="1"/>
    <col min="10" max="12" width="9" style="70"/>
    <col min="13" max="13" width="2.875" style="97" bestFit="1" customWidth="1"/>
    <col min="14" max="19" width="9" style="97"/>
    <col min="20" max="16384" width="9" style="70"/>
  </cols>
  <sheetData>
    <row r="2" spans="1:19" ht="18" customHeight="1" x14ac:dyDescent="0.2">
      <c r="A2" s="313" t="s">
        <v>359</v>
      </c>
      <c r="B2" s="130">
        <v>2019</v>
      </c>
      <c r="C2" s="131">
        <v>2020</v>
      </c>
      <c r="D2" s="131">
        <v>2021</v>
      </c>
      <c r="E2" s="131">
        <v>2022</v>
      </c>
      <c r="F2" s="131">
        <v>2023</v>
      </c>
      <c r="G2" s="132">
        <v>2024</v>
      </c>
    </row>
    <row r="4" spans="1:19" x14ac:dyDescent="0.2">
      <c r="A4" s="467" t="s">
        <v>53</v>
      </c>
      <c r="B4" s="468">
        <f ca="1">Production!C25</f>
        <v>30303.030303030304</v>
      </c>
      <c r="C4" s="468">
        <f ca="1">Production!D25</f>
        <v>43290.043290043293</v>
      </c>
      <c r="D4" s="468">
        <f ca="1">Production!E25</f>
        <v>43290.043290043293</v>
      </c>
      <c r="E4" s="468">
        <f ca="1">Production!F25</f>
        <v>43290.043290043293</v>
      </c>
      <c r="F4" s="468">
        <f ca="1">Production!G25</f>
        <v>43290.043290043293</v>
      </c>
      <c r="G4" s="468">
        <f ca="1">Production!H25</f>
        <v>22727.272727272728</v>
      </c>
      <c r="I4" s="472">
        <f ca="1">SUM(B4:G4)/6</f>
        <v>37698.412698412707</v>
      </c>
      <c r="M4" s="97" t="s">
        <v>116</v>
      </c>
      <c r="N4" s="97" t="s">
        <v>503</v>
      </c>
      <c r="O4" s="97" t="s">
        <v>504</v>
      </c>
      <c r="P4" s="97" t="s">
        <v>505</v>
      </c>
      <c r="Q4" s="97" t="s">
        <v>506</v>
      </c>
      <c r="R4" s="97" t="s">
        <v>507</v>
      </c>
      <c r="S4" s="97" t="s">
        <v>514</v>
      </c>
    </row>
    <row r="5" spans="1:19" ht="15" thickBot="1" x14ac:dyDescent="0.25">
      <c r="M5" s="97">
        <v>1</v>
      </c>
      <c r="N5" s="479">
        <f t="shared" ref="N5:N19" ca="1" si="0">$I$27</f>
        <v>937.92333532291661</v>
      </c>
      <c r="O5" s="97">
        <v>10</v>
      </c>
      <c r="P5" s="479">
        <f ca="1">O5*$I$10</f>
        <v>34.143509229590229</v>
      </c>
      <c r="Q5" s="479">
        <f ca="1">N5+P5</f>
        <v>972.06684455250684</v>
      </c>
      <c r="R5" s="479">
        <f t="shared" ref="R5:R24" si="1">O5*$I$16</f>
        <v>151.07141731085528</v>
      </c>
      <c r="S5" s="480">
        <f ca="1">R5-Q5</f>
        <v>-820.99542724165156</v>
      </c>
    </row>
    <row r="6" spans="1:19" x14ac:dyDescent="0.2">
      <c r="A6" s="466" t="s">
        <v>363</v>
      </c>
      <c r="B6" s="469">
        <f ca="1">OPEX!B6</f>
        <v>1122.8536130536131</v>
      </c>
      <c r="C6" s="469">
        <f ca="1">OPEX!C6</f>
        <v>1631.63041958042</v>
      </c>
      <c r="D6" s="469">
        <f ca="1">OPEX!D6</f>
        <v>1713.2119405594406</v>
      </c>
      <c r="E6" s="469">
        <f ca="1">OPEX!E6</f>
        <v>1798.872537587413</v>
      </c>
      <c r="F6" s="469">
        <f ca="1">OPEX!F6</f>
        <v>1888.8161644667837</v>
      </c>
      <c r="G6" s="469">
        <f ca="1">OPEX!G6</f>
        <v>1112.1392584982518</v>
      </c>
      <c r="I6" s="473">
        <f ca="1">SUM(B6:G6)/6</f>
        <v>1544.587322290987</v>
      </c>
      <c r="M6" s="97">
        <v>2</v>
      </c>
      <c r="N6" s="479">
        <f t="shared" ca="1" si="0"/>
        <v>937.92333532291661</v>
      </c>
      <c r="O6" s="97">
        <v>20</v>
      </c>
      <c r="P6" s="479">
        <f ca="1">O6*$I$10</f>
        <v>68.287018459180459</v>
      </c>
      <c r="Q6" s="479">
        <f t="shared" ref="Q6" ca="1" si="2">N6+P6</f>
        <v>1006.2103537820971</v>
      </c>
      <c r="R6" s="479">
        <f t="shared" si="1"/>
        <v>302.14283462171056</v>
      </c>
      <c r="S6" s="480">
        <f t="shared" ref="S6:S7" ca="1" si="3">R6-Q6</f>
        <v>-704.0675191603865</v>
      </c>
    </row>
    <row r="7" spans="1:19" x14ac:dyDescent="0.2">
      <c r="M7" s="97">
        <v>3</v>
      </c>
      <c r="N7" s="479">
        <f t="shared" ca="1" si="0"/>
        <v>937.92333532291661</v>
      </c>
      <c r="O7" s="97">
        <v>30</v>
      </c>
      <c r="P7" s="479">
        <f ca="1">O7*$I$10</f>
        <v>102.4305276887707</v>
      </c>
      <c r="Q7" s="479">
        <f ca="1">N7+P7</f>
        <v>1040.3538630116873</v>
      </c>
      <c r="R7" s="479">
        <f t="shared" si="1"/>
        <v>453.21425193256579</v>
      </c>
      <c r="S7" s="480">
        <f t="shared" ca="1" si="3"/>
        <v>-587.13961107912155</v>
      </c>
    </row>
    <row r="8" spans="1:19" x14ac:dyDescent="0.2">
      <c r="A8" s="467" t="s">
        <v>363</v>
      </c>
      <c r="B8" s="468"/>
      <c r="C8" s="468"/>
      <c r="D8" s="468"/>
      <c r="E8" s="468"/>
      <c r="F8" s="468"/>
      <c r="G8" s="468"/>
      <c r="I8" s="472"/>
      <c r="M8" s="97">
        <v>4</v>
      </c>
      <c r="N8" s="479">
        <f t="shared" ca="1" si="0"/>
        <v>937.92333532291661</v>
      </c>
      <c r="O8" s="97">
        <v>40</v>
      </c>
      <c r="P8" s="479">
        <f t="shared" ref="P8:P24" ca="1" si="4">O8*$I$10</f>
        <v>136.57403691836092</v>
      </c>
      <c r="Q8" s="479">
        <f t="shared" ref="Q8:Q19" ca="1" si="5">N8+P8</f>
        <v>1074.4973722412776</v>
      </c>
      <c r="R8" s="479">
        <f t="shared" si="1"/>
        <v>604.28566924342113</v>
      </c>
      <c r="S8" s="480">
        <f t="shared" ref="S8:S19" ca="1" si="6">R8-Q8</f>
        <v>-470.21170299785649</v>
      </c>
    </row>
    <row r="9" spans="1:19" x14ac:dyDescent="0.2">
      <c r="A9" s="162" t="s">
        <v>493</v>
      </c>
      <c r="B9" s="465">
        <f ca="1">B6/B4*1000</f>
        <v>37.054169230769233</v>
      </c>
      <c r="C9" s="465">
        <f t="shared" ref="C9:G9" ca="1" si="7">C6/C4*1000</f>
        <v>37.690662692307697</v>
      </c>
      <c r="D9" s="465">
        <f t="shared" ca="1" si="7"/>
        <v>39.575195826923071</v>
      </c>
      <c r="E9" s="465">
        <f t="shared" ca="1" si="7"/>
        <v>41.553955618269235</v>
      </c>
      <c r="F9" s="465">
        <f t="shared" ca="1" si="7"/>
        <v>43.631653399182703</v>
      </c>
      <c r="G9" s="465">
        <f t="shared" ca="1" si="7"/>
        <v>48.934127373923083</v>
      </c>
      <c r="I9" s="465">
        <f ca="1">I6/I4*1000</f>
        <v>40.972211075508277</v>
      </c>
      <c r="M9" s="97">
        <v>5</v>
      </c>
      <c r="N9" s="479">
        <f t="shared" ca="1" si="0"/>
        <v>937.92333532291661</v>
      </c>
      <c r="O9" s="97">
        <v>50</v>
      </c>
      <c r="P9" s="479">
        <f t="shared" ca="1" si="4"/>
        <v>170.71754614795117</v>
      </c>
      <c r="Q9" s="479">
        <f t="shared" ca="1" si="5"/>
        <v>1108.6408814708677</v>
      </c>
      <c r="R9" s="479">
        <f t="shared" si="1"/>
        <v>755.35708655427629</v>
      </c>
      <c r="S9" s="480">
        <f t="shared" ca="1" si="6"/>
        <v>-353.28379491659143</v>
      </c>
    </row>
    <row r="10" spans="1:19" x14ac:dyDescent="0.2">
      <c r="A10" s="162" t="s">
        <v>496</v>
      </c>
      <c r="B10" s="465">
        <f ca="1">B9/Parameters!$B$9</f>
        <v>3.0878474358974359</v>
      </c>
      <c r="C10" s="465">
        <f ca="1">C9/Parameters!$B$9</f>
        <v>3.1408885576923082</v>
      </c>
      <c r="D10" s="465">
        <f ca="1">D9/Parameters!$B$9</f>
        <v>3.2979329855769226</v>
      </c>
      <c r="E10" s="465">
        <f ca="1">E9/Parameters!$B$9</f>
        <v>3.4628296348557694</v>
      </c>
      <c r="F10" s="465">
        <f ca="1">F9/Parameters!$B$9</f>
        <v>3.6359711165985584</v>
      </c>
      <c r="G10" s="465">
        <f ca="1">G9/Parameters!$B$9</f>
        <v>4.0778439478269233</v>
      </c>
      <c r="I10" s="465">
        <f ca="1">I9/Parameters!$B$9</f>
        <v>3.4143509229590232</v>
      </c>
      <c r="M10" s="97">
        <v>6</v>
      </c>
      <c r="N10" s="479">
        <f t="shared" ca="1" si="0"/>
        <v>937.92333532291661</v>
      </c>
      <c r="O10" s="97">
        <v>60</v>
      </c>
      <c r="P10" s="479">
        <f t="shared" ca="1" si="4"/>
        <v>204.86105537754139</v>
      </c>
      <c r="Q10" s="479">
        <f t="shared" ca="1" si="5"/>
        <v>1142.7843907004581</v>
      </c>
      <c r="R10" s="479">
        <f t="shared" si="1"/>
        <v>906.42850386513157</v>
      </c>
      <c r="S10" s="480">
        <f t="shared" ca="1" si="6"/>
        <v>-236.35588683532649</v>
      </c>
    </row>
    <row r="11" spans="1:19" x14ac:dyDescent="0.2">
      <c r="A11" s="162" t="s">
        <v>498</v>
      </c>
      <c r="B11" s="465">
        <f ca="1">B10/Parameters!$B$10</f>
        <v>4.1171299145299143</v>
      </c>
      <c r="C11" s="465">
        <f ca="1">C10/Parameters!$B$10</f>
        <v>4.1878514102564113</v>
      </c>
      <c r="D11" s="465">
        <f ca="1">D10/Parameters!$B$10</f>
        <v>4.3972439807692298</v>
      </c>
      <c r="E11" s="465">
        <f ca="1">E10/Parameters!$B$10</f>
        <v>4.6171061798076929</v>
      </c>
      <c r="F11" s="465">
        <f ca="1">F10/Parameters!$B$10</f>
        <v>4.8479614887980782</v>
      </c>
      <c r="G11" s="465">
        <f ca="1">G10/Parameters!$B$10</f>
        <v>5.4371252637692313</v>
      </c>
      <c r="I11" s="465">
        <f ca="1">I10/Parameters!$B$10</f>
        <v>4.5524678972786976</v>
      </c>
      <c r="M11" s="97">
        <v>7</v>
      </c>
      <c r="N11" s="479">
        <f t="shared" ca="1" si="0"/>
        <v>937.92333532291661</v>
      </c>
      <c r="O11" s="97">
        <v>70</v>
      </c>
      <c r="P11" s="479">
        <f t="shared" ca="1" si="4"/>
        <v>239.00456460713161</v>
      </c>
      <c r="Q11" s="479">
        <f t="shared" ca="1" si="5"/>
        <v>1176.9278999300482</v>
      </c>
      <c r="R11" s="479">
        <f t="shared" si="1"/>
        <v>1057.4999211759869</v>
      </c>
      <c r="S11" s="480">
        <f t="shared" ca="1" si="6"/>
        <v>-119.42797875406131</v>
      </c>
    </row>
    <row r="12" spans="1:19" x14ac:dyDescent="0.2">
      <c r="A12" s="162" t="s">
        <v>497</v>
      </c>
      <c r="B12" s="465">
        <f ca="1">B11*Parameters!$B$8</f>
        <v>15.58503209472045</v>
      </c>
      <c r="C12" s="465">
        <f ca="1">C11*Parameters!$B$8</f>
        <v>15.852742078025637</v>
      </c>
      <c r="D12" s="465">
        <f ca="1">D11*Parameters!$B$8</f>
        <v>16.645379181926913</v>
      </c>
      <c r="E12" s="465">
        <f ca="1">E11*Parameters!$B$8</f>
        <v>17.477648141023263</v>
      </c>
      <c r="F12" s="465">
        <f ca="1">F11*Parameters!$B$8</f>
        <v>18.351530548074429</v>
      </c>
      <c r="G12" s="465">
        <f ca="1">G11*Parameters!$B$8</f>
        <v>20.581758044556157</v>
      </c>
      <c r="I12" s="465">
        <f ca="1">I11*Parameters!$B$8</f>
        <v>17.232965624640482</v>
      </c>
      <c r="M12" s="97">
        <v>8</v>
      </c>
      <c r="N12" s="479">
        <f t="shared" ca="1" si="0"/>
        <v>937.92333532291661</v>
      </c>
      <c r="O12" s="97">
        <v>80</v>
      </c>
      <c r="P12" s="479">
        <f t="shared" ca="1" si="4"/>
        <v>273.14807383672184</v>
      </c>
      <c r="Q12" s="479">
        <f t="shared" ca="1" si="5"/>
        <v>1211.0714091596385</v>
      </c>
      <c r="R12" s="479">
        <f t="shared" si="1"/>
        <v>1208.5713384868423</v>
      </c>
      <c r="S12" s="479">
        <f ca="1">R12-Q12</f>
        <v>-2.5000706727962552</v>
      </c>
    </row>
    <row r="13" spans="1:19" x14ac:dyDescent="0.2">
      <c r="M13" s="97">
        <v>9</v>
      </c>
      <c r="N13" s="479">
        <f t="shared" ca="1" si="0"/>
        <v>937.92333532291661</v>
      </c>
      <c r="O13" s="97">
        <v>90</v>
      </c>
      <c r="P13" s="479">
        <f t="shared" ca="1" si="4"/>
        <v>307.29158306631211</v>
      </c>
      <c r="Q13" s="479">
        <f t="shared" ca="1" si="5"/>
        <v>1245.2149183892288</v>
      </c>
      <c r="R13" s="479">
        <f t="shared" si="1"/>
        <v>1359.6427557976974</v>
      </c>
      <c r="S13" s="480">
        <f t="shared" ca="1" si="6"/>
        <v>114.42783740846858</v>
      </c>
    </row>
    <row r="14" spans="1:19" x14ac:dyDescent="0.2">
      <c r="A14" s="467" t="s">
        <v>508</v>
      </c>
      <c r="B14" s="468"/>
      <c r="C14" s="468"/>
      <c r="D14" s="468"/>
      <c r="E14" s="468"/>
      <c r="F14" s="468"/>
      <c r="G14" s="468"/>
      <c r="I14" s="472"/>
      <c r="M14" s="97">
        <v>10</v>
      </c>
      <c r="N14" s="479">
        <f t="shared" ca="1" si="0"/>
        <v>937.92333532291661</v>
      </c>
      <c r="O14" s="97">
        <v>100</v>
      </c>
      <c r="P14" s="479">
        <f t="shared" ca="1" si="4"/>
        <v>341.43509229590234</v>
      </c>
      <c r="Q14" s="479">
        <f t="shared" ca="1" si="5"/>
        <v>1279.358427618819</v>
      </c>
      <c r="R14" s="479">
        <f t="shared" si="1"/>
        <v>1510.7141731085526</v>
      </c>
      <c r="S14" s="480">
        <f t="shared" ca="1" si="6"/>
        <v>231.35574548973364</v>
      </c>
    </row>
    <row r="15" spans="1:19" x14ac:dyDescent="0.2">
      <c r="A15" s="162" t="s">
        <v>509</v>
      </c>
      <c r="B15" s="465">
        <f>Sales!D56/Sales!D25*1000</f>
        <v>168.91875000000002</v>
      </c>
      <c r="C15" s="465">
        <f>Sales!E56/Sales!E25*1000</f>
        <v>168.26906249999999</v>
      </c>
      <c r="D15" s="465">
        <f>Sales!F56/Sales!F25*1000</f>
        <v>171.90731250000002</v>
      </c>
      <c r="E15" s="465">
        <f>Sales!G56/Sales!G25*1000</f>
        <v>180.50267812500002</v>
      </c>
      <c r="F15" s="465">
        <f>Sales!H56/Sales!H25*1000</f>
        <v>189.52781203125002</v>
      </c>
      <c r="G15" s="465">
        <f>Sales!I56/Sales!I25*1000</f>
        <v>199.00420263281254</v>
      </c>
      <c r="I15" s="465">
        <f>SUM(Sales!C56:I56)/SUM(Sales!C25:I25)*1000</f>
        <v>181.28570077302632</v>
      </c>
      <c r="M15" s="97">
        <v>11</v>
      </c>
      <c r="N15" s="479">
        <f t="shared" ca="1" si="0"/>
        <v>937.92333532291661</v>
      </c>
      <c r="O15" s="97">
        <v>110</v>
      </c>
      <c r="P15" s="479">
        <f t="shared" ca="1" si="4"/>
        <v>375.57860152549256</v>
      </c>
      <c r="Q15" s="479">
        <f t="shared" ca="1" si="5"/>
        <v>1313.5019368484091</v>
      </c>
      <c r="R15" s="479">
        <f t="shared" si="1"/>
        <v>1661.785590419408</v>
      </c>
      <c r="S15" s="480">
        <f t="shared" ca="1" si="6"/>
        <v>348.28365357099892</v>
      </c>
    </row>
    <row r="16" spans="1:19" x14ac:dyDescent="0.2">
      <c r="A16" s="162" t="s">
        <v>510</v>
      </c>
      <c r="B16" s="465">
        <f>B15/Parameters!$B$9</f>
        <v>14.076562500000001</v>
      </c>
      <c r="C16" s="465">
        <f>C15/Parameters!$B$9</f>
        <v>14.022421874999999</v>
      </c>
      <c r="D16" s="465">
        <f>D15/Parameters!$B$9</f>
        <v>14.325609375000001</v>
      </c>
      <c r="E16" s="465">
        <f>E15/Parameters!$B$9</f>
        <v>15.041889843750001</v>
      </c>
      <c r="F16" s="465">
        <f>F15/Parameters!$B$9</f>
        <v>15.793984335937502</v>
      </c>
      <c r="G16" s="465">
        <f>G15/Parameters!$B$9</f>
        <v>16.583683552734378</v>
      </c>
      <c r="I16" s="465">
        <f>I15/Parameters!$B$9</f>
        <v>15.107141731085527</v>
      </c>
      <c r="M16" s="97">
        <v>12</v>
      </c>
      <c r="N16" s="479">
        <f t="shared" ca="1" si="0"/>
        <v>937.92333532291661</v>
      </c>
      <c r="O16" s="97">
        <v>120</v>
      </c>
      <c r="P16" s="479">
        <f t="shared" ca="1" si="4"/>
        <v>409.72211075508278</v>
      </c>
      <c r="Q16" s="479">
        <f t="shared" ca="1" si="5"/>
        <v>1347.6454460779994</v>
      </c>
      <c r="R16" s="479">
        <f t="shared" si="1"/>
        <v>1812.8570077302631</v>
      </c>
      <c r="S16" s="480">
        <f t="shared" ca="1" si="6"/>
        <v>465.21156165226375</v>
      </c>
    </row>
    <row r="17" spans="1:19" x14ac:dyDescent="0.2">
      <c r="A17" s="162" t="s">
        <v>511</v>
      </c>
      <c r="B17" s="465">
        <f>B16/Parameters!$B$10</f>
        <v>18.768750000000001</v>
      </c>
      <c r="C17" s="465">
        <f>C16/Parameters!$B$10</f>
        <v>18.696562499999999</v>
      </c>
      <c r="D17" s="465">
        <f>D16/Parameters!$B$10</f>
        <v>19.1008125</v>
      </c>
      <c r="E17" s="465">
        <f>E16/Parameters!$B$10</f>
        <v>20.055853125000002</v>
      </c>
      <c r="F17" s="465">
        <f>F16/Parameters!$B$10</f>
        <v>21.058645781250004</v>
      </c>
      <c r="G17" s="465">
        <f>G16/Parameters!$B$10</f>
        <v>22.111578070312504</v>
      </c>
      <c r="I17" s="465">
        <f>I16/Parameters!$B$10</f>
        <v>20.142855641447369</v>
      </c>
      <c r="M17" s="97">
        <v>13</v>
      </c>
      <c r="N17" s="479">
        <f t="shared" ca="1" si="0"/>
        <v>937.92333532291661</v>
      </c>
      <c r="O17" s="97">
        <v>130</v>
      </c>
      <c r="P17" s="479">
        <f t="shared" ca="1" si="4"/>
        <v>443.865619984673</v>
      </c>
      <c r="Q17" s="479">
        <f t="shared" ca="1" si="5"/>
        <v>1381.7889553075897</v>
      </c>
      <c r="R17" s="479">
        <f t="shared" si="1"/>
        <v>1963.9284250411185</v>
      </c>
      <c r="S17" s="480">
        <f t="shared" ca="1" si="6"/>
        <v>582.13946973352881</v>
      </c>
    </row>
    <row r="18" spans="1:19" x14ac:dyDescent="0.2">
      <c r="A18" s="162" t="s">
        <v>512</v>
      </c>
      <c r="B18" s="465">
        <f>B17*Parameters!$B$8</f>
        <v>71.047447420950007</v>
      </c>
      <c r="C18" s="465">
        <f>C17*Parameters!$B$8</f>
        <v>70.774188007792489</v>
      </c>
      <c r="D18" s="465">
        <f>D17*Parameters!$B$8</f>
        <v>72.304440721474492</v>
      </c>
      <c r="E18" s="465">
        <f>E17*Parameters!$B$8</f>
        <v>75.919662757548238</v>
      </c>
      <c r="F18" s="465">
        <f>F17*Parameters!$B$8</f>
        <v>79.715645895425652</v>
      </c>
      <c r="G18" s="465">
        <f>G17*Parameters!$B$8</f>
        <v>83.701428190196935</v>
      </c>
      <c r="I18" s="465">
        <f>I17*Parameters!$B$8</f>
        <v>76.24900310854575</v>
      </c>
      <c r="M18" s="97">
        <v>14</v>
      </c>
      <c r="N18" s="479">
        <f t="shared" ca="1" si="0"/>
        <v>937.92333532291661</v>
      </c>
      <c r="O18" s="97">
        <v>140</v>
      </c>
      <c r="P18" s="479">
        <f t="shared" ca="1" si="4"/>
        <v>478.00912921426323</v>
      </c>
      <c r="Q18" s="479">
        <f t="shared" ca="1" si="5"/>
        <v>1415.9324645371798</v>
      </c>
      <c r="R18" s="479">
        <f t="shared" si="1"/>
        <v>2114.9998423519737</v>
      </c>
      <c r="S18" s="480">
        <f t="shared" ca="1" si="6"/>
        <v>699.06737781479387</v>
      </c>
    </row>
    <row r="19" spans="1:19" x14ac:dyDescent="0.2">
      <c r="M19" s="97">
        <v>15</v>
      </c>
      <c r="N19" s="479">
        <f t="shared" ca="1" si="0"/>
        <v>937.92333532291661</v>
      </c>
      <c r="O19" s="97">
        <v>150</v>
      </c>
      <c r="P19" s="479">
        <f t="shared" ca="1" si="4"/>
        <v>512.15263844385345</v>
      </c>
      <c r="Q19" s="479">
        <f t="shared" ca="1" si="5"/>
        <v>1450.0759737667699</v>
      </c>
      <c r="R19" s="479">
        <f t="shared" si="1"/>
        <v>2266.0712596628291</v>
      </c>
      <c r="S19" s="480">
        <f t="shared" ca="1" si="6"/>
        <v>815.99528589605916</v>
      </c>
    </row>
    <row r="20" spans="1:19" x14ac:dyDescent="0.2">
      <c r="A20" s="467" t="s">
        <v>513</v>
      </c>
      <c r="B20" s="468"/>
      <c r="C20" s="468"/>
      <c r="D20" s="468"/>
      <c r="E20" s="468"/>
      <c r="F20" s="468"/>
      <c r="G20" s="468"/>
      <c r="I20" s="472"/>
      <c r="M20" s="97">
        <v>16</v>
      </c>
      <c r="N20" s="479">
        <f t="shared" ref="N20:N24" ca="1" si="8">$I$27</f>
        <v>937.92333532291661</v>
      </c>
      <c r="O20" s="97">
        <v>160</v>
      </c>
      <c r="P20" s="479">
        <f t="shared" ca="1" si="4"/>
        <v>546.29614767344367</v>
      </c>
      <c r="Q20" s="479">
        <f t="shared" ref="Q20:Q22" ca="1" si="9">N20+P20</f>
        <v>1484.2194829963603</v>
      </c>
      <c r="R20" s="479">
        <f t="shared" si="1"/>
        <v>2417.1426769736845</v>
      </c>
      <c r="S20" s="480">
        <f t="shared" ref="S20:S22" ca="1" si="10">R20-Q20</f>
        <v>932.92319397732422</v>
      </c>
    </row>
    <row r="21" spans="1:19" x14ac:dyDescent="0.2">
      <c r="A21" s="162" t="s">
        <v>509</v>
      </c>
      <c r="B21" s="465">
        <f ca="1">B15-B9</f>
        <v>131.86458076923077</v>
      </c>
      <c r="C21" s="465">
        <f t="shared" ref="C21:G21" ca="1" si="11">C15-C9</f>
        <v>130.57839980769228</v>
      </c>
      <c r="D21" s="465">
        <f t="shared" ca="1" si="11"/>
        <v>132.33211667307694</v>
      </c>
      <c r="E21" s="465">
        <f t="shared" ca="1" si="11"/>
        <v>138.94872250673077</v>
      </c>
      <c r="F21" s="465">
        <f t="shared" ca="1" si="11"/>
        <v>145.89615863206731</v>
      </c>
      <c r="G21" s="465">
        <f t="shared" ca="1" si="11"/>
        <v>150.07007525888946</v>
      </c>
      <c r="I21" s="465">
        <f t="shared" ref="I21" ca="1" si="12">I15-I9</f>
        <v>140.31348969751804</v>
      </c>
      <c r="M21" s="97">
        <v>17</v>
      </c>
      <c r="N21" s="479">
        <f t="shared" ca="1" si="8"/>
        <v>937.92333532291661</v>
      </c>
      <c r="O21" s="97">
        <v>170</v>
      </c>
      <c r="P21" s="479">
        <f t="shared" ca="1" si="4"/>
        <v>580.43965690303389</v>
      </c>
      <c r="Q21" s="479">
        <f t="shared" ca="1" si="9"/>
        <v>1518.3629922259506</v>
      </c>
      <c r="R21" s="479">
        <f t="shared" si="1"/>
        <v>2568.2140942845394</v>
      </c>
      <c r="S21" s="480">
        <f t="shared" ca="1" si="10"/>
        <v>1049.8511020585888</v>
      </c>
    </row>
    <row r="22" spans="1:19" x14ac:dyDescent="0.2">
      <c r="A22" s="162" t="s">
        <v>510</v>
      </c>
      <c r="B22" s="465">
        <f t="shared" ref="B22:G22" ca="1" si="13">B16-B10</f>
        <v>10.988715064102566</v>
      </c>
      <c r="C22" s="465">
        <f t="shared" ca="1" si="13"/>
        <v>10.88153331730769</v>
      </c>
      <c r="D22" s="465">
        <f t="shared" ca="1" si="13"/>
        <v>11.027676389423078</v>
      </c>
      <c r="E22" s="465">
        <f t="shared" ca="1" si="13"/>
        <v>11.579060208894232</v>
      </c>
      <c r="F22" s="465">
        <f t="shared" ca="1" si="13"/>
        <v>12.158013219338944</v>
      </c>
      <c r="G22" s="465">
        <f t="shared" ca="1" si="13"/>
        <v>12.505839604907454</v>
      </c>
      <c r="I22" s="465">
        <f t="shared" ref="I22" ca="1" si="14">I16-I10</f>
        <v>11.692790808126503</v>
      </c>
      <c r="M22" s="97">
        <v>18</v>
      </c>
      <c r="N22" s="479">
        <f t="shared" ca="1" si="8"/>
        <v>937.92333532291661</v>
      </c>
      <c r="O22" s="97">
        <v>180</v>
      </c>
      <c r="P22" s="479">
        <f t="shared" ca="1" si="4"/>
        <v>614.58316613262423</v>
      </c>
      <c r="Q22" s="479">
        <f t="shared" ca="1" si="9"/>
        <v>1552.5065014555407</v>
      </c>
      <c r="R22" s="479">
        <f t="shared" si="1"/>
        <v>2719.2855115953948</v>
      </c>
      <c r="S22" s="480">
        <f t="shared" ca="1" si="10"/>
        <v>1166.7790101398541</v>
      </c>
    </row>
    <row r="23" spans="1:19" x14ac:dyDescent="0.2">
      <c r="A23" s="162" t="s">
        <v>511</v>
      </c>
      <c r="B23" s="465">
        <f t="shared" ref="B23:G23" ca="1" si="15">B17-B11</f>
        <v>14.651620085470086</v>
      </c>
      <c r="C23" s="465">
        <f t="shared" ca="1" si="15"/>
        <v>14.508711089743588</v>
      </c>
      <c r="D23" s="465">
        <f t="shared" ca="1" si="15"/>
        <v>14.703568519230771</v>
      </c>
      <c r="E23" s="465">
        <f t="shared" ca="1" si="15"/>
        <v>15.43874694519231</v>
      </c>
      <c r="F23" s="465">
        <f t="shared" ca="1" si="15"/>
        <v>16.210684292451926</v>
      </c>
      <c r="G23" s="465">
        <f t="shared" ca="1" si="15"/>
        <v>16.674452806543272</v>
      </c>
      <c r="I23" s="465">
        <f t="shared" ref="I23" ca="1" si="16">I17-I11</f>
        <v>15.590387744168671</v>
      </c>
      <c r="M23" s="97">
        <v>19</v>
      </c>
      <c r="N23" s="479">
        <f t="shared" ca="1" si="8"/>
        <v>937.92333532291661</v>
      </c>
      <c r="O23" s="97">
        <v>190</v>
      </c>
      <c r="P23" s="479">
        <f t="shared" ca="1" si="4"/>
        <v>648.72667536221445</v>
      </c>
      <c r="Q23" s="479">
        <f t="shared" ref="Q23:Q24" ca="1" si="17">N23+P23</f>
        <v>1586.6500106851311</v>
      </c>
      <c r="R23" s="479">
        <f t="shared" si="1"/>
        <v>2870.3569289062502</v>
      </c>
      <c r="S23" s="480">
        <f t="shared" ref="S23:S24" ca="1" si="18">R23-Q23</f>
        <v>1283.7069182211192</v>
      </c>
    </row>
    <row r="24" spans="1:19" x14ac:dyDescent="0.2">
      <c r="A24" s="162" t="s">
        <v>512</v>
      </c>
      <c r="B24" s="465">
        <f t="shared" ref="B24:G24" ca="1" si="19">B18-B12</f>
        <v>55.462415326229561</v>
      </c>
      <c r="C24" s="465">
        <f t="shared" ca="1" si="19"/>
        <v>54.921445929766854</v>
      </c>
      <c r="D24" s="465">
        <f t="shared" ca="1" si="19"/>
        <v>55.659061539547579</v>
      </c>
      <c r="E24" s="465">
        <f t="shared" ca="1" si="19"/>
        <v>58.442014616524972</v>
      </c>
      <c r="F24" s="465">
        <f t="shared" ca="1" si="19"/>
        <v>61.364115347351223</v>
      </c>
      <c r="G24" s="465">
        <f t="shared" ca="1" si="19"/>
        <v>63.119670145640782</v>
      </c>
      <c r="I24" s="465">
        <f t="shared" ref="I24" ca="1" si="20">I18-I12</f>
        <v>59.016037483905265</v>
      </c>
      <c r="M24" s="97">
        <v>20</v>
      </c>
      <c r="N24" s="479">
        <f t="shared" ca="1" si="8"/>
        <v>937.92333532291661</v>
      </c>
      <c r="O24" s="97">
        <v>200</v>
      </c>
      <c r="P24" s="479">
        <f t="shared" ca="1" si="4"/>
        <v>682.87018459180467</v>
      </c>
      <c r="Q24" s="479">
        <f t="shared" ca="1" si="17"/>
        <v>1620.7935199147214</v>
      </c>
      <c r="R24" s="479">
        <f t="shared" si="1"/>
        <v>3021.4283462171052</v>
      </c>
      <c r="S24" s="480">
        <f t="shared" ca="1" si="18"/>
        <v>1400.6348263023838</v>
      </c>
    </row>
    <row r="26" spans="1:19" ht="15" thickBot="1" x14ac:dyDescent="0.25"/>
    <row r="27" spans="1:19" x14ac:dyDescent="0.2">
      <c r="A27" s="466" t="s">
        <v>364</v>
      </c>
      <c r="B27" s="469">
        <f ca="1">OPEX!B36</f>
        <v>701.50805999999989</v>
      </c>
      <c r="C27" s="469">
        <f ca="1">OPEX!C36</f>
        <v>819.9435166666666</v>
      </c>
      <c r="D27" s="469">
        <f ca="1">OPEX!D36</f>
        <v>1075.3298333333332</v>
      </c>
      <c r="E27" s="469">
        <f ca="1">OPEX!E36</f>
        <v>977.74630500000001</v>
      </c>
      <c r="F27" s="469">
        <f ca="1">OPEX!F36</f>
        <v>1069.7604087499999</v>
      </c>
      <c r="G27" s="469">
        <f ca="1">OPEX!G36</f>
        <v>983.25188818750019</v>
      </c>
      <c r="I27" s="469">
        <f ca="1">SUM(B27:G27)/6</f>
        <v>937.92333532291661</v>
      </c>
    </row>
    <row r="29" spans="1:19" x14ac:dyDescent="0.2">
      <c r="A29" s="467" t="s">
        <v>494</v>
      </c>
      <c r="B29" s="468"/>
      <c r="C29" s="468"/>
      <c r="D29" s="468"/>
      <c r="E29" s="468"/>
      <c r="F29" s="468"/>
      <c r="G29" s="468"/>
      <c r="I29" s="472"/>
    </row>
    <row r="30" spans="1:19" x14ac:dyDescent="0.2">
      <c r="A30" s="162" t="s">
        <v>502</v>
      </c>
      <c r="B30" s="322">
        <f ca="1">B27/B21</f>
        <v>5.3199127158161756</v>
      </c>
      <c r="C30" s="322">
        <f t="shared" ref="C30:G30" ca="1" si="21">C27/C21</f>
        <v>6.2793196874385675</v>
      </c>
      <c r="D30" s="322">
        <f t="shared" ca="1" si="21"/>
        <v>8.1259928456363149</v>
      </c>
      <c r="E30" s="322">
        <f t="shared" ca="1" si="21"/>
        <v>7.0367419531520863</v>
      </c>
      <c r="F30" s="322">
        <f t="shared" ca="1" si="21"/>
        <v>7.332341158123346</v>
      </c>
      <c r="G30" s="322">
        <f t="shared" ca="1" si="21"/>
        <v>6.551951723161789</v>
      </c>
      <c r="I30" s="478">
        <f t="shared" ref="I30" ca="1" si="22">I27/I21</f>
        <v>6.6844844166077868</v>
      </c>
    </row>
    <row r="31" spans="1:19" x14ac:dyDescent="0.2">
      <c r="A31" s="162" t="s">
        <v>499</v>
      </c>
      <c r="B31" s="474">
        <f ca="1">B27/B22</f>
        <v>63.838952589794097</v>
      </c>
      <c r="C31" s="474">
        <f t="shared" ref="C31:G31" ca="1" si="23">C27/C22</f>
        <v>75.351836249262803</v>
      </c>
      <c r="D31" s="474">
        <f t="shared" ca="1" si="23"/>
        <v>97.511914147635778</v>
      </c>
      <c r="E31" s="474">
        <f t="shared" ca="1" si="23"/>
        <v>84.440903437825028</v>
      </c>
      <c r="F31" s="474">
        <f t="shared" ca="1" si="23"/>
        <v>87.988093897480155</v>
      </c>
      <c r="G31" s="474">
        <f t="shared" ca="1" si="23"/>
        <v>78.623420677941482</v>
      </c>
      <c r="I31" s="475">
        <f ca="1">I27/I22</f>
        <v>80.213812999293452</v>
      </c>
    </row>
    <row r="32" spans="1:19" x14ac:dyDescent="0.2">
      <c r="A32" s="162" t="s">
        <v>500</v>
      </c>
      <c r="B32" s="470">
        <f ca="1">B27/B23</f>
        <v>47.879214442345578</v>
      </c>
      <c r="C32" s="470">
        <f t="shared" ref="C32:G32" ca="1" si="24">C27/C23</f>
        <v>56.513877186947099</v>
      </c>
      <c r="D32" s="470">
        <f t="shared" ca="1" si="24"/>
        <v>73.133935610726823</v>
      </c>
      <c r="E32" s="470">
        <f t="shared" ca="1" si="24"/>
        <v>63.330677578368771</v>
      </c>
      <c r="F32" s="470">
        <f t="shared" ca="1" si="24"/>
        <v>65.991070423110102</v>
      </c>
      <c r="G32" s="470">
        <f t="shared" ca="1" si="24"/>
        <v>58.967565508456111</v>
      </c>
      <c r="I32" s="471">
        <f t="shared" ref="I32" ca="1" si="25">I27/I23</f>
        <v>60.160359749470082</v>
      </c>
    </row>
    <row r="33" spans="1:9" x14ac:dyDescent="0.2">
      <c r="A33" s="162" t="s">
        <v>501</v>
      </c>
      <c r="B33" s="470">
        <f ca="1">B27/B24</f>
        <v>12.64835034453033</v>
      </c>
      <c r="C33" s="470">
        <f t="shared" ref="C33:G33" ca="1" si="26">C27/C24</f>
        <v>14.92938692319216</v>
      </c>
      <c r="D33" s="470">
        <f t="shared" ca="1" si="26"/>
        <v>19.319941867314387</v>
      </c>
      <c r="E33" s="470">
        <f t="shared" ca="1" si="26"/>
        <v>16.730195073109851</v>
      </c>
      <c r="F33" s="470">
        <f t="shared" ca="1" si="26"/>
        <v>17.432996510984104</v>
      </c>
      <c r="G33" s="470">
        <f t="shared" ca="1" si="26"/>
        <v>15.577582802932412</v>
      </c>
      <c r="I33" s="471">
        <f t="shared" ref="I33" ca="1" si="27">I27/I24</f>
        <v>15.892685705622055</v>
      </c>
    </row>
    <row r="34" spans="1:9" ht="15" thickBot="1" x14ac:dyDescent="0.25"/>
    <row r="35" spans="1:9" ht="15" thickBot="1" x14ac:dyDescent="0.25">
      <c r="A35" s="476" t="s">
        <v>495</v>
      </c>
      <c r="B35" s="477">
        <f t="shared" ref="B35:G35" ca="1" si="28">(B4-B30*1000)/B4</f>
        <v>0.82444288037806623</v>
      </c>
      <c r="C35" s="477">
        <f t="shared" ca="1" si="28"/>
        <v>0.8549477152201691</v>
      </c>
      <c r="D35" s="477">
        <f t="shared" ca="1" si="28"/>
        <v>0.81228956526580121</v>
      </c>
      <c r="E35" s="477">
        <f t="shared" ca="1" si="28"/>
        <v>0.8374512608821868</v>
      </c>
      <c r="F35" s="477">
        <f t="shared" ca="1" si="28"/>
        <v>0.83062291924735077</v>
      </c>
      <c r="G35" s="477">
        <f t="shared" ca="1" si="28"/>
        <v>0.7117141241808812</v>
      </c>
      <c r="I35" s="477">
        <f ca="1">(I4-I30*1000)/I4</f>
        <v>0.82268525547524618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Product Mix</vt:lpstr>
      <vt:lpstr>Parameters</vt:lpstr>
      <vt:lpstr>Sales</vt:lpstr>
      <vt:lpstr>Production</vt:lpstr>
      <vt:lpstr>Staff</vt:lpstr>
      <vt:lpstr>OPEX</vt:lpstr>
      <vt:lpstr>CAPEX</vt:lpstr>
      <vt:lpstr>Costing</vt:lpstr>
      <vt:lpstr>CVP</vt:lpstr>
      <vt:lpstr>PL-CF-BS</vt:lpstr>
      <vt:lpstr>Loans</vt:lpstr>
      <vt:lpstr>Calc1</vt:lpstr>
      <vt:lpstr>Calc2</vt:lpstr>
      <vt:lpstr>Chart</vt:lpstr>
      <vt:lpstr>channel</vt:lpstr>
      <vt:lpstr>Period1</vt:lpstr>
      <vt:lpstr>Period2</vt:lpstr>
      <vt:lpstr>Period3</vt:lpstr>
      <vt:lpstr>price</vt:lpstr>
    </vt:vector>
  </TitlesOfParts>
  <Company>1plus1 Media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Stashchuk Dmytro</dc:creator>
  <cp:lastModifiedBy>Dmytro Stashchuk</cp:lastModifiedBy>
  <dcterms:created xsi:type="dcterms:W3CDTF">2019-01-21T15:21:59Z</dcterms:created>
  <dcterms:modified xsi:type="dcterms:W3CDTF">2019-05-18T11:46:46Z</dcterms:modified>
</cp:coreProperties>
</file>