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ulia\Desktop\"/>
    </mc:Choice>
  </mc:AlternateContent>
  <xr:revisionPtr revIDLastSave="0" documentId="13_ncr:1_{018DEBE7-8ED9-4C1B-8810-FAB402C8E51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Завдання 1.1" sheetId="1" r:id="rId1"/>
    <sheet name="Таблиця сценаріїв" sheetId="2" r:id="rId2"/>
    <sheet name="Аналіз чутливості (What-if Ana" sheetId="3" r:id="rId3"/>
    <sheet name="Завдання 1.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" l="1"/>
  <c r="N5" i="4"/>
  <c r="N2" i="4"/>
  <c r="G11" i="4"/>
  <c r="G10" i="4"/>
  <c r="G9" i="4"/>
  <c r="B23" i="4"/>
  <c r="B22" i="4"/>
  <c r="B20" i="4"/>
  <c r="B18" i="4"/>
  <c r="B16" i="4"/>
  <c r="B14" i="4"/>
  <c r="B12" i="4"/>
  <c r="B10" i="4"/>
  <c r="B8" i="4"/>
  <c r="J7" i="3"/>
  <c r="I7" i="3"/>
  <c r="H7" i="3"/>
  <c r="G7" i="3" l="1"/>
  <c r="F7" i="3"/>
  <c r="E7" i="3"/>
  <c r="B9" i="3"/>
  <c r="E9" i="3" s="1"/>
  <c r="F9" i="3" s="1"/>
  <c r="B7" i="3"/>
  <c r="G9" i="3" l="1"/>
  <c r="H9" i="3" s="1"/>
  <c r="F11" i="3"/>
  <c r="F13" i="3" s="1"/>
  <c r="E11" i="3"/>
  <c r="E13" i="3" s="1"/>
  <c r="G11" i="3"/>
  <c r="G13" i="3" s="1"/>
  <c r="B11" i="3"/>
  <c r="B13" i="3" s="1"/>
  <c r="B15" i="3"/>
  <c r="B17" i="3" s="1"/>
  <c r="F15" i="2"/>
  <c r="E15" i="2"/>
  <c r="D15" i="2"/>
  <c r="C15" i="2"/>
  <c r="B15" i="2"/>
  <c r="F14" i="2"/>
  <c r="E14" i="2"/>
  <c r="D14" i="2"/>
  <c r="C14" i="2"/>
  <c r="B14" i="2"/>
  <c r="F13" i="2"/>
  <c r="E13" i="2"/>
  <c r="D13" i="2"/>
  <c r="C13" i="2"/>
  <c r="B13" i="2"/>
  <c r="E6" i="2"/>
  <c r="E5" i="2"/>
  <c r="E4" i="2"/>
  <c r="E3" i="2"/>
  <c r="E2" i="2"/>
  <c r="F13" i="1"/>
  <c r="F14" i="1"/>
  <c r="F15" i="1"/>
  <c r="F12" i="1"/>
  <c r="E13" i="1"/>
  <c r="E14" i="1"/>
  <c r="E15" i="1"/>
  <c r="E12" i="1"/>
  <c r="D13" i="1"/>
  <c r="D14" i="1"/>
  <c r="D15" i="1"/>
  <c r="D12" i="1"/>
  <c r="B7" i="1"/>
  <c r="B6" i="1"/>
  <c r="B5" i="1"/>
  <c r="C13" i="1" s="1"/>
  <c r="B4" i="1"/>
  <c r="B3" i="1"/>
  <c r="D21" i="3" l="1"/>
  <c r="D26" i="3"/>
  <c r="H11" i="3"/>
  <c r="H13" i="3" s="1"/>
  <c r="I9" i="3"/>
  <c r="E15" i="3"/>
  <c r="E17" i="3" s="1"/>
  <c r="D22" i="3" s="1"/>
  <c r="F15" i="3"/>
  <c r="F17" i="3" s="1"/>
  <c r="D23" i="3" s="1"/>
  <c r="G15" i="3"/>
  <c r="G17" i="3" s="1"/>
  <c r="D24" i="3" s="1"/>
  <c r="H15" i="3"/>
  <c r="H17" i="3" s="1"/>
  <c r="D25" i="3" s="1"/>
  <c r="C12" i="1"/>
  <c r="C15" i="1"/>
  <c r="C14" i="1"/>
  <c r="J9" i="3" l="1"/>
  <c r="J11" i="3" s="1"/>
  <c r="J13" i="3" s="1"/>
  <c r="I11" i="3"/>
  <c r="I13" i="3" s="1"/>
  <c r="I15" i="3" l="1"/>
  <c r="I17" i="3" s="1"/>
  <c r="D27" i="3" s="1"/>
  <c r="J15" i="3"/>
  <c r="J17" i="3"/>
  <c r="D28" i="3" s="1"/>
</calcChain>
</file>

<file path=xl/sharedStrings.xml><?xml version="1.0" encoding="utf-8"?>
<sst xmlns="http://schemas.openxmlformats.org/spreadsheetml/2006/main" count="106" uniqueCount="91">
  <si>
    <t>Показник</t>
  </si>
  <si>
    <t>Амортизація</t>
  </si>
  <si>
    <t>Капітальні витрати</t>
  </si>
  <si>
    <t>Значення (тис. грн/квартал)</t>
  </si>
  <si>
    <t>Виручка</t>
  </si>
  <si>
    <t>Змінні витрати</t>
  </si>
  <si>
    <t>Постійні витрати</t>
  </si>
  <si>
    <t>Показники за квартал</t>
  </si>
  <si>
    <t>тис.грн/рік</t>
  </si>
  <si>
    <t>джерело</t>
  </si>
  <si>
    <t>Ряд. 2280 форми № 2-м</t>
  </si>
  <si>
    <t>Ряд. 2050 форми № 2-м</t>
  </si>
  <si>
    <t>Ряд. 2180 форми № 2-м</t>
  </si>
  <si>
    <t>(Кінець ряд 1005 - Початок ряд 1005) + (Кінець ряд 1011 - Початок ряд 1011)</t>
  </si>
  <si>
    <t>Сценарій</t>
  </si>
  <si>
    <t>Базовий</t>
  </si>
  <si>
    <t>Постійні витрати після економії</t>
  </si>
  <si>
    <t>Прибуток</t>
  </si>
  <si>
    <t>Сценарій 1</t>
  </si>
  <si>
    <t>Сценарій 2</t>
  </si>
  <si>
    <t>Сценарій 3</t>
  </si>
  <si>
    <t>Економія (тис. грн)</t>
  </si>
  <si>
    <t>Рентабельність</t>
  </si>
  <si>
    <t xml:space="preserve">Сума витрат: 11 455,0 + 2 110,3 = </t>
  </si>
  <si>
    <t xml:space="preserve">Прибуток: 13 603,0 – 13 565,3 = </t>
  </si>
  <si>
    <t>Гроовий потік</t>
  </si>
  <si>
    <t>Таблиця сценаріїв</t>
  </si>
  <si>
    <t>Сума</t>
  </si>
  <si>
    <t>Чистий дохід від реалізації</t>
  </si>
  <si>
    <t>Собівартість реалізованої продукції</t>
  </si>
  <si>
    <t>Інші операційні витрати</t>
  </si>
  <si>
    <t>Фінансовий результат до оподаткування</t>
  </si>
  <si>
    <t>А95/Дизель</t>
  </si>
  <si>
    <t>середня ціна за 1 л/грн</t>
  </si>
  <si>
    <t>Річний обсяг</t>
  </si>
  <si>
    <t>Середньомісячний обсяг реалізації</t>
  </si>
  <si>
    <t>Постійні витрати на місяць</t>
  </si>
  <si>
    <t>Змінні витрати на 1л</t>
  </si>
  <si>
    <t>Оптимістичний</t>
  </si>
  <si>
    <t>Песимістичний</t>
  </si>
  <si>
    <t>Обсяг, л</t>
  </si>
  <si>
    <t>Ціна, грн/л</t>
  </si>
  <si>
    <t>Змінні витр/л, грн</t>
  </si>
  <si>
    <t>Постійні витр, грн</t>
  </si>
  <si>
    <t>Прибуток, грн</t>
  </si>
  <si>
    <t>Базовий прибуток на місяць</t>
  </si>
  <si>
    <t>Оптимістичний сценарій</t>
  </si>
  <si>
    <t>Песимістичний сценарій</t>
  </si>
  <si>
    <t>Обсяг</t>
  </si>
  <si>
    <t>ціна</t>
  </si>
  <si>
    <t>Постійні витарати</t>
  </si>
  <si>
    <t>Обсяг реалізації, од.</t>
  </si>
  <si>
    <t>Ціна за од., грн</t>
  </si>
  <si>
    <t>Змінні витрати на од., грн</t>
  </si>
  <si>
    <t>Постійні витрати, грн</t>
  </si>
  <si>
    <r>
      <t>Виручка</t>
    </r>
    <r>
      <rPr>
        <sz val="12"/>
        <color rgb="FF000000"/>
        <rFont val="Calibri"/>
        <family val="2"/>
        <scheme val="minor"/>
      </rPr>
      <t> = </t>
    </r>
    <r>
      <rPr>
        <sz val="10"/>
        <color rgb="FF000000"/>
        <rFont val="Arial Unicode MS"/>
        <family val="2"/>
      </rPr>
      <t>=B1*B2</t>
    </r>
  </si>
  <si>
    <r>
      <t>Змінні витрати</t>
    </r>
    <r>
      <rPr>
        <sz val="12"/>
        <color rgb="FF000000"/>
        <rFont val="Calibri"/>
        <family val="2"/>
        <scheme val="minor"/>
      </rPr>
      <t> = </t>
    </r>
    <r>
      <rPr>
        <sz val="10"/>
        <color rgb="FF000000"/>
        <rFont val="Arial Unicode MS"/>
        <family val="2"/>
      </rPr>
      <t>=B1*B3</t>
    </r>
  </si>
  <si>
    <t>Ціна</t>
  </si>
  <si>
    <r>
      <t>Валовий прибуток</t>
    </r>
    <r>
      <rPr>
        <sz val="12"/>
        <color rgb="FF000000"/>
        <rFont val="Calibri"/>
        <family val="2"/>
        <scheme val="minor"/>
      </rPr>
      <t> = </t>
    </r>
    <r>
      <rPr>
        <sz val="10"/>
        <color rgb="FF000000"/>
        <rFont val="Arial Unicode MS"/>
        <family val="2"/>
      </rPr>
      <t>=Виручка – Змінні витрати</t>
    </r>
  </si>
  <si>
    <r>
      <t>Операційний прибуток (EBIT)</t>
    </r>
    <r>
      <rPr>
        <sz val="12"/>
        <color rgb="FF000000"/>
        <rFont val="Calibri"/>
        <family val="2"/>
        <scheme val="minor"/>
      </rPr>
      <t> = </t>
    </r>
    <r>
      <rPr>
        <sz val="10"/>
        <color rgb="FF000000"/>
        <rFont val="Arial Unicode MS"/>
        <family val="2"/>
      </rPr>
      <t>=Валовий прибуток – B4</t>
    </r>
  </si>
  <si>
    <r>
      <t>Податок (18%)</t>
    </r>
    <r>
      <rPr>
        <sz val="12"/>
        <color rgb="FF000000"/>
        <rFont val="Calibri"/>
        <family val="2"/>
        <scheme val="minor"/>
      </rPr>
      <t> = </t>
    </r>
    <r>
      <rPr>
        <sz val="10"/>
        <color rgb="FF000000"/>
        <rFont val="Arial Unicode MS"/>
        <family val="2"/>
      </rPr>
      <t>=EBIT * 0.18</t>
    </r>
  </si>
  <si>
    <r>
      <t>Чистий прибуток</t>
    </r>
    <r>
      <rPr>
        <sz val="12"/>
        <color rgb="FF000000"/>
        <rFont val="Calibri"/>
        <family val="2"/>
        <scheme val="minor"/>
      </rPr>
      <t> = </t>
    </r>
    <r>
      <rPr>
        <sz val="10"/>
        <color rgb="FF000000"/>
        <rFont val="Arial Unicode MS"/>
        <family val="2"/>
      </rPr>
      <t>=EBIT – Податок</t>
    </r>
  </si>
  <si>
    <t>Чистий прибуток</t>
  </si>
  <si>
    <t xml:space="preserve"> Аналізу чутливості</t>
  </si>
  <si>
    <t>Побудова P&amp;L моделі</t>
  </si>
  <si>
    <t>Значення</t>
  </si>
  <si>
    <t>Рентабельність продажів (%) = Чистий прибуток /
Виручка*100%</t>
  </si>
  <si>
    <t>Постійний прибуток</t>
  </si>
  <si>
    <t>ТБ (грн)</t>
  </si>
  <si>
    <t>Оцінка точки беззбитковості (ТБ)</t>
  </si>
  <si>
    <t>Розрахунок показників ефективності</t>
  </si>
  <si>
    <t>Показники</t>
  </si>
  <si>
    <t>ROІ</t>
  </si>
  <si>
    <t>Рентабельність продажів</t>
  </si>
  <si>
    <t>Запас фінансової стійкості</t>
  </si>
  <si>
    <t>IRR</t>
  </si>
  <si>
    <t>Обсяг реалізації</t>
  </si>
  <si>
    <t>Дохід</t>
  </si>
  <si>
    <t>Інвестиції</t>
  </si>
  <si>
    <t>Активи середні</t>
  </si>
  <si>
    <t>Грошові потоки</t>
  </si>
  <si>
    <t>(1 088 112 × 50 грн)</t>
  </si>
  <si>
    <t>(1 088 112 × 42,11 грн)</t>
  </si>
  <si>
    <t>Грошові потоки за 3роки</t>
  </si>
  <si>
    <t>Відношення до інвестиції</t>
  </si>
  <si>
    <r>
      <t>Виручка</t>
    </r>
    <r>
      <rPr>
        <i/>
        <sz val="14"/>
        <color theme="1"/>
        <rFont val="Calibri"/>
        <family val="2"/>
        <scheme val="minor"/>
      </rPr>
      <t> = </t>
    </r>
    <r>
      <rPr>
        <i/>
        <sz val="14"/>
        <color theme="1"/>
        <rFont val="Arial Unicode MS"/>
        <family val="2"/>
      </rPr>
      <t>=B1*B2</t>
    </r>
  </si>
  <si>
    <r>
      <t>Змінні витрати</t>
    </r>
    <r>
      <rPr>
        <i/>
        <sz val="14"/>
        <color theme="1"/>
        <rFont val="Calibri"/>
        <family val="2"/>
        <scheme val="minor"/>
      </rPr>
      <t> = </t>
    </r>
    <r>
      <rPr>
        <i/>
        <sz val="14"/>
        <color theme="1"/>
        <rFont val="Arial Unicode MS"/>
        <family val="2"/>
      </rPr>
      <t>=B1*B3</t>
    </r>
  </si>
  <si>
    <r>
      <t>Валовий прибуток</t>
    </r>
    <r>
      <rPr>
        <i/>
        <sz val="14"/>
        <color theme="1"/>
        <rFont val="Calibri"/>
        <family val="2"/>
        <scheme val="minor"/>
      </rPr>
      <t> = </t>
    </r>
    <r>
      <rPr>
        <i/>
        <sz val="14"/>
        <color theme="1"/>
        <rFont val="Arial Unicode MS"/>
        <family val="2"/>
      </rPr>
      <t>=Виручка – Змінні витрати</t>
    </r>
  </si>
  <si>
    <r>
      <t>Операційний прибуток (EBIT)</t>
    </r>
    <r>
      <rPr>
        <i/>
        <sz val="14"/>
        <color theme="1"/>
        <rFont val="Calibri"/>
        <family val="2"/>
        <scheme val="minor"/>
      </rPr>
      <t> = </t>
    </r>
    <r>
      <rPr>
        <i/>
        <sz val="14"/>
        <color theme="1"/>
        <rFont val="Arial Unicode MS"/>
        <family val="2"/>
      </rPr>
      <t>=Валовий прибуток – B4</t>
    </r>
  </si>
  <si>
    <r>
      <t>Податок (18%)</t>
    </r>
    <r>
      <rPr>
        <i/>
        <sz val="14"/>
        <color theme="1"/>
        <rFont val="Calibri"/>
        <family val="2"/>
        <scheme val="minor"/>
      </rPr>
      <t> = </t>
    </r>
    <r>
      <rPr>
        <i/>
        <sz val="14"/>
        <color theme="1"/>
        <rFont val="Arial Unicode MS"/>
        <family val="2"/>
      </rPr>
      <t>=EBIT * 0.18</t>
    </r>
  </si>
  <si>
    <r>
      <t>Чистий прибуток</t>
    </r>
    <r>
      <rPr>
        <i/>
        <sz val="14"/>
        <color theme="1"/>
        <rFont val="Calibri"/>
        <family val="2"/>
        <scheme val="minor"/>
      </rPr>
      <t> = </t>
    </r>
    <r>
      <rPr>
        <i/>
        <sz val="14"/>
        <color theme="1"/>
        <rFont val="Arial Unicode MS"/>
        <family val="2"/>
      </rPr>
      <t>=EBIT – Податок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</si>
</sst>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 Unicode MS"/>
      <family val="2"/>
    </font>
    <font>
      <b/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scheme val="minor"/>
    </font>
    <font>
      <i/>
      <sz val="14"/>
      <color theme="1"/>
      <name val="Arial Unicode MS"/>
      <family val="2"/>
    </font>
    <font>
      <i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1"/>
      </left>
      <right style="thin">
        <color auto="1"/>
      </right>
      <top style="thick">
        <color theme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n">
        <color auto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0" xfId="0" applyNumberFormat="1"/>
    <xf numFmtId="3" fontId="0" fillId="0" borderId="0" xfId="0" applyNumberFormat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8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9" fontId="0" fillId="0" borderId="0" xfId="0" applyNumberFormat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7" fillId="0" borderId="11" xfId="0" applyFont="1" applyBorder="1" applyAlignment="1">
      <alignment wrapText="1"/>
    </xf>
    <xf numFmtId="0" fontId="8" fillId="0" borderId="12" xfId="0" applyFont="1" applyBorder="1"/>
    <xf numFmtId="0" fontId="7" fillId="0" borderId="13" xfId="0" applyFont="1" applyBorder="1" applyAlignment="1">
      <alignment wrapText="1"/>
    </xf>
    <xf numFmtId="0" fontId="8" fillId="0" borderId="14" xfId="0" applyFont="1" applyBorder="1"/>
    <xf numFmtId="0" fontId="7" fillId="0" borderId="15" xfId="0" applyFont="1" applyBorder="1" applyAlignment="1">
      <alignment wrapText="1"/>
    </xf>
    <xf numFmtId="0" fontId="8" fillId="0" borderId="16" xfId="0" applyFont="1" applyBorder="1"/>
    <xf numFmtId="0" fontId="9" fillId="0" borderId="3" xfId="0" applyFont="1" applyBorder="1" applyAlignment="1">
      <alignment wrapText="1"/>
    </xf>
    <xf numFmtId="0" fontId="0" fillId="0" borderId="9" xfId="0" applyBorder="1"/>
    <xf numFmtId="0" fontId="0" fillId="0" borderId="6" xfId="0" applyBorder="1"/>
    <xf numFmtId="0" fontId="9" fillId="0" borderId="5" xfId="0" applyFont="1" applyBorder="1" applyAlignment="1">
      <alignment wrapText="1"/>
    </xf>
    <xf numFmtId="0" fontId="9" fillId="0" borderId="7" xfId="0" applyFont="1" applyBorder="1" applyAlignment="1">
      <alignment wrapText="1"/>
    </xf>
    <xf numFmtId="2" fontId="10" fillId="0" borderId="10" xfId="0" applyNumberFormat="1" applyFont="1" applyBorder="1"/>
    <xf numFmtId="0" fontId="0" fillId="0" borderId="10" xfId="0" applyBorder="1"/>
    <xf numFmtId="0" fontId="10" fillId="0" borderId="10" xfId="0" applyFont="1" applyBorder="1"/>
    <xf numFmtId="0" fontId="10" fillId="0" borderId="8" xfId="0" applyFont="1" applyBorder="1"/>
    <xf numFmtId="0" fontId="7" fillId="0" borderId="17" xfId="0" applyFont="1" applyBorder="1" applyAlignment="1">
      <alignment wrapText="1"/>
    </xf>
    <xf numFmtId="0" fontId="8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/>
    <xf numFmtId="0" fontId="11" fillId="0" borderId="2" xfId="0" applyFont="1" applyBorder="1"/>
    <xf numFmtId="0" fontId="4" fillId="0" borderId="0" xfId="0" applyFont="1"/>
    <xf numFmtId="0" fontId="0" fillId="0" borderId="2" xfId="0" applyBorder="1"/>
    <xf numFmtId="0" fontId="7" fillId="0" borderId="2" xfId="0" applyFont="1" applyBorder="1" applyAlignment="1">
      <alignment wrapText="1"/>
    </xf>
    <xf numFmtId="0" fontId="8" fillId="0" borderId="2" xfId="0" applyFont="1" applyBorder="1"/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 wrapText="1"/>
    </xf>
    <xf numFmtId="3" fontId="0" fillId="0" borderId="2" xfId="0" applyNumberFormat="1" applyBorder="1"/>
    <xf numFmtId="0" fontId="0" fillId="0" borderId="33" xfId="0" applyBorder="1" applyAlignment="1">
      <alignment horizontal="center"/>
    </xf>
    <xf numFmtId="0" fontId="11" fillId="0" borderId="29" xfId="0" applyFont="1" applyBorder="1"/>
    <xf numFmtId="0" fontId="11" fillId="0" borderId="30" xfId="0" applyFont="1" applyBorder="1"/>
    <xf numFmtId="0" fontId="11" fillId="0" borderId="29" xfId="0" applyFont="1" applyBorder="1" applyAlignment="1">
      <alignment wrapText="1"/>
    </xf>
    <xf numFmtId="2" fontId="11" fillId="0" borderId="30" xfId="0" applyNumberFormat="1" applyFont="1" applyBorder="1"/>
    <xf numFmtId="0" fontId="11" fillId="0" borderId="31" xfId="0" applyFont="1" applyBorder="1" applyAlignment="1">
      <alignment wrapText="1"/>
    </xf>
    <xf numFmtId="2" fontId="11" fillId="0" borderId="32" xfId="0" applyNumberFormat="1" applyFont="1" applyBorder="1"/>
    <xf numFmtId="0" fontId="13" fillId="0" borderId="23" xfId="0" applyFont="1" applyBorder="1" applyAlignment="1">
      <alignment wrapText="1"/>
    </xf>
    <xf numFmtId="0" fontId="11" fillId="0" borderId="24" xfId="0" applyFont="1" applyBorder="1"/>
    <xf numFmtId="0" fontId="16" fillId="0" borderId="23" xfId="0" applyFont="1" applyBorder="1" applyAlignment="1">
      <alignment wrapText="1"/>
    </xf>
    <xf numFmtId="2" fontId="11" fillId="0" borderId="24" xfId="0" applyNumberFormat="1" applyFont="1" applyBorder="1"/>
    <xf numFmtId="0" fontId="16" fillId="0" borderId="23" xfId="0" applyFont="1" applyBorder="1"/>
    <xf numFmtId="0" fontId="13" fillId="0" borderId="25" xfId="0" applyFont="1" applyBorder="1" applyAlignment="1">
      <alignment wrapText="1"/>
    </xf>
    <xf numFmtId="2" fontId="11" fillId="0" borderId="26" xfId="0" applyNumberFormat="1" applyFont="1" applyBorder="1"/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35472944006999124"/>
          <c:y val="0.13671296296296295"/>
          <c:w val="0.39609689413823274"/>
          <c:h val="0.66016149023038784"/>
        </c:manualLayout>
      </c:layout>
      <c:pieChart>
        <c:varyColors val="1"/>
        <c:ser>
          <c:idx val="0"/>
          <c:order val="0"/>
          <c:tx>
            <c:strRef>
              <c:f>'Завдання 1.1'!$E$11</c:f>
              <c:strCache>
                <c:ptCount val="1"/>
                <c:pt idx="0">
                  <c:v>Рентабельність</c:v>
                </c:pt>
              </c:strCache>
            </c:strRef>
          </c:tx>
          <c:explosion val="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5D-44E2-BD65-B5B61621D2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851-4792-B9F9-4163A90820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851-4792-B9F9-4163A90820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851-4792-B9F9-4163A908203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'Завдання 1.1'!$A$12:$A$15</c:f>
              <c:strCache>
                <c:ptCount val="4"/>
                <c:pt idx="0">
                  <c:v>Базовий</c:v>
                </c:pt>
                <c:pt idx="1">
                  <c:v>Сценарій 1</c:v>
                </c:pt>
                <c:pt idx="2">
                  <c:v>Сценарій 2</c:v>
                </c:pt>
                <c:pt idx="3">
                  <c:v>Сценарій 3</c:v>
                </c:pt>
              </c:strCache>
            </c:strRef>
          </c:cat>
          <c:val>
            <c:numRef>
              <c:f>'Завдання 1.1'!$E$12:$E$15</c:f>
              <c:numCache>
                <c:formatCode>0.00</c:formatCode>
                <c:ptCount val="4"/>
                <c:pt idx="0">
                  <c:v>0.27714423813820827</c:v>
                </c:pt>
                <c:pt idx="1">
                  <c:v>0.64470954070877617</c:v>
                </c:pt>
                <c:pt idx="2">
                  <c:v>0.49768341968054908</c:v>
                </c:pt>
                <c:pt idx="3">
                  <c:v>0.46092688942349219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D-44E2-BD65-B5B61621D2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uk-U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'Завдання 1.1'!$D$11</c:f>
              <c:strCache>
                <c:ptCount val="1"/>
                <c:pt idx="0">
                  <c:v>Прибуток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'Завдання 1.1'!$A$12:$A$15</c:f>
              <c:strCache>
                <c:ptCount val="4"/>
                <c:pt idx="0">
                  <c:v>Базовий</c:v>
                </c:pt>
                <c:pt idx="1">
                  <c:v>Сценарій 1</c:v>
                </c:pt>
                <c:pt idx="2">
                  <c:v>Сценарій 2</c:v>
                </c:pt>
                <c:pt idx="3">
                  <c:v>Сценарій 3</c:v>
                </c:pt>
              </c:strCache>
            </c:strRef>
          </c:cat>
          <c:val>
            <c:numRef>
              <c:f>'Завдання 1.1'!$D$12:$D$15</c:f>
              <c:numCache>
                <c:formatCode>General</c:formatCode>
                <c:ptCount val="4"/>
                <c:pt idx="0">
                  <c:v>37.700000000000003</c:v>
                </c:pt>
                <c:pt idx="1">
                  <c:v>87.7</c:v>
                </c:pt>
                <c:pt idx="2">
                  <c:v>67.7</c:v>
                </c:pt>
                <c:pt idx="3">
                  <c:v>62.7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2-4CB8-A998-03953B4E1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870048"/>
        <c:axId val="620864288"/>
      </c:lineChart>
      <c:catAx>
        <c:axId val="62087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20864288"/>
        <c:crosses val="autoZero"/>
        <c:auto val="1"/>
        <c:lblAlgn val="ctr"/>
        <c:lblOffset val="100"/>
        <c:noMultiLvlLbl val="0"/>
      </c:catAx>
      <c:valAx>
        <c:axId val="62086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2087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Графік</a:t>
            </a:r>
            <a:r>
              <a:rPr lang="uk-UA" baseline="0"/>
              <a:t> точки беззбитковості</a:t>
            </a:r>
            <a:endParaRPr lang="uk-U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40467825896762905"/>
          <c:y val="0.12810128020503639"/>
          <c:w val="0.5122036307961505"/>
          <c:h val="0.7734524999755895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'Завдання 1.3'!$A$22:$A$23</c:f>
              <c:strCache>
                <c:ptCount val="2"/>
                <c:pt idx="0">
                  <c:v>Оцінка точки беззбитковості (ТБ)</c:v>
                </c:pt>
                <c:pt idx="1">
                  <c:v>ТБ (грн)</c:v>
                </c:pt>
              </c:strCache>
            </c:strRef>
          </c:cat>
          <c:val>
            <c:numRef>
              <c:f>'Завдання 1.3'!$B$22:$B$23</c:f>
              <c:numCache>
                <c:formatCode>General</c:formatCode>
                <c:ptCount val="2"/>
                <c:pt idx="0" formatCode="0.00">
                  <c:v>1069873.2572877058</c:v>
                </c:pt>
                <c:pt idx="1">
                  <c:v>53493662.864385292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1-4B9B-BFA9-8F73DF4E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57335215"/>
        <c:axId val="757334255"/>
      </c:barChart>
      <c:catAx>
        <c:axId val="7573352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57334255"/>
        <c:crosses val="autoZero"/>
        <c:auto val="1"/>
        <c:lblAlgn val="ctr"/>
        <c:lblOffset val="100"/>
        <c:noMultiLvlLbl val="0"/>
      </c:catAx>
      <c:valAx>
        <c:axId val="757334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57335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16</xdr:row>
      <xdr:rowOff>95250</xdr:rowOff>
    </xdr:from>
    <xdr:to>
      <xdr:col>2</xdr:col>
      <xdr:colOff>1417320</xdr:colOff>
      <xdr:row>31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851E3F45-00F4-3061-78E8-1FBA4741BB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289560</xdr:colOff>
      <xdr:row>16</xdr:row>
      <xdr:rowOff>87630</xdr:rowOff>
    </xdr:from>
    <xdr:to>
      <xdr:col>5</xdr:col>
      <xdr:colOff>449580</xdr:colOff>
      <xdr:row>31</xdr:row>
      <xdr:rowOff>87630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471A2BF3-79DC-2247-6BDB-80CC0122D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40340</xdr:colOff>
      <xdr:row>5</xdr:row>
      <xdr:rowOff>17930</xdr:rowOff>
    </xdr:from>
    <xdr:to>
      <xdr:col>12</xdr:col>
      <xdr:colOff>416858</xdr:colOff>
      <xdr:row>13</xdr:row>
      <xdr:rowOff>439270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E6878539-4D42-692F-02CF-E232AD6419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>
      <selection activeCell="K15" sqref="K15"/>
    </sheetView>
  </sheetViews>
  <sheetFormatPr defaultRowHeight="14.4"/>
  <cols>
    <col min="1" max="1" width="16.44140625" customWidth="1"/>
    <col min="2" max="2" width="30.6640625" customWidth="1"/>
    <col min="3" max="3" width="24.5546875" customWidth="1"/>
    <col min="4" max="4" width="34.77734375" customWidth="1"/>
    <col min="5" max="5" width="29.5546875" customWidth="1"/>
    <col min="6" max="6" width="26.21875" customWidth="1"/>
  </cols>
  <sheetData>
    <row r="1" spans="1:6" ht="15" thickBot="1">
      <c r="A1" s="95" t="s">
        <v>7</v>
      </c>
      <c r="B1" s="95"/>
      <c r="C1" s="95"/>
      <c r="D1" s="1"/>
    </row>
    <row r="2" spans="1:6" ht="15" thickBot="1">
      <c r="A2" s="2" t="s">
        <v>0</v>
      </c>
      <c r="B2" s="2" t="s">
        <v>3</v>
      </c>
      <c r="C2" s="2" t="s">
        <v>8</v>
      </c>
      <c r="D2" s="2" t="s">
        <v>9</v>
      </c>
    </row>
    <row r="3" spans="1:6" ht="15" thickBot="1">
      <c r="A3" s="2" t="s">
        <v>4</v>
      </c>
      <c r="B3" s="3">
        <f>C3/4</f>
        <v>13603.025</v>
      </c>
      <c r="C3" s="3">
        <v>54412.1</v>
      </c>
      <c r="D3" s="1" t="s">
        <v>10</v>
      </c>
    </row>
    <row r="4" spans="1:6" ht="15" thickBot="1">
      <c r="A4" s="2" t="s">
        <v>5</v>
      </c>
      <c r="B4" s="3">
        <f>C4/4</f>
        <v>11454.975</v>
      </c>
      <c r="C4" s="3">
        <v>45819.9</v>
      </c>
      <c r="D4" s="1" t="s">
        <v>11</v>
      </c>
    </row>
    <row r="5" spans="1:6" ht="15" thickBot="1">
      <c r="A5" s="2" t="s">
        <v>6</v>
      </c>
      <c r="B5" s="3">
        <f>C5/4</f>
        <v>2110.3249999999998</v>
      </c>
      <c r="C5" s="3">
        <v>8441.2999999999993</v>
      </c>
      <c r="D5" s="1" t="s">
        <v>12</v>
      </c>
    </row>
    <row r="6" spans="1:6" ht="15" thickBot="1">
      <c r="A6" s="2" t="s">
        <v>1</v>
      </c>
      <c r="B6" s="2">
        <f>C6/4</f>
        <v>9.4</v>
      </c>
      <c r="C6" s="2">
        <v>37.6</v>
      </c>
      <c r="D6" s="1" t="s">
        <v>12</v>
      </c>
    </row>
    <row r="7" spans="1:6" ht="29.4" thickBot="1">
      <c r="A7" s="2" t="s">
        <v>2</v>
      </c>
      <c r="B7" s="2">
        <f>C7/4</f>
        <v>14.625</v>
      </c>
      <c r="C7" s="2">
        <v>58.5</v>
      </c>
      <c r="D7" s="4" t="s">
        <v>13</v>
      </c>
    </row>
    <row r="8" spans="1:6">
      <c r="A8" s="7"/>
      <c r="B8" s="7"/>
      <c r="C8" s="7"/>
      <c r="D8" s="8"/>
    </row>
    <row r="9" spans="1:6" ht="13.8" customHeight="1">
      <c r="A9" s="7"/>
      <c r="B9" s="9" t="s">
        <v>23</v>
      </c>
      <c r="C9" s="10">
        <v>13565.3</v>
      </c>
      <c r="D9" s="8"/>
    </row>
    <row r="10" spans="1:6">
      <c r="B10" t="s">
        <v>24</v>
      </c>
      <c r="C10" s="9">
        <v>37.700000000000003</v>
      </c>
    </row>
    <row r="11" spans="1:6" ht="28.2" customHeight="1">
      <c r="A11" s="5" t="s">
        <v>14</v>
      </c>
      <c r="B11" s="5" t="s">
        <v>21</v>
      </c>
      <c r="C11" s="5" t="s">
        <v>16</v>
      </c>
      <c r="D11" s="5" t="s">
        <v>17</v>
      </c>
      <c r="E11" s="5" t="s">
        <v>22</v>
      </c>
      <c r="F11" s="5" t="s">
        <v>25</v>
      </c>
    </row>
    <row r="12" spans="1:6" ht="17.399999999999999" customHeight="1">
      <c r="A12" s="5" t="s">
        <v>15</v>
      </c>
      <c r="B12" s="5">
        <v>0</v>
      </c>
      <c r="C12" s="6">
        <f>$B$5-B12</f>
        <v>2110.3249999999998</v>
      </c>
      <c r="D12" s="5">
        <f>$C$10+B12</f>
        <v>37.700000000000003</v>
      </c>
      <c r="E12" s="11">
        <f>D12/$B$3*100</f>
        <v>0.27714423813820827</v>
      </c>
      <c r="F12" s="12">
        <f>D12+$B$6-$B$7</f>
        <v>32.475000000000001</v>
      </c>
    </row>
    <row r="13" spans="1:6">
      <c r="A13" s="5" t="s">
        <v>18</v>
      </c>
      <c r="B13" s="5">
        <v>50</v>
      </c>
      <c r="C13" s="6">
        <f t="shared" ref="C13:C15" si="0">$B$5-B13</f>
        <v>2060.3249999999998</v>
      </c>
      <c r="D13" s="5">
        <f t="shared" ref="D13:D15" si="1">$C$10+B13</f>
        <v>87.7</v>
      </c>
      <c r="E13" s="11">
        <f t="shared" ref="E13:E15" si="2">D13/$B$3*100</f>
        <v>0.64470954070877617</v>
      </c>
      <c r="F13" s="12">
        <f t="shared" ref="F13:F15" si="3">D13+$B$6-$B$7</f>
        <v>82.475000000000009</v>
      </c>
    </row>
    <row r="14" spans="1:6">
      <c r="A14" s="5" t="s">
        <v>19</v>
      </c>
      <c r="B14" s="5">
        <v>30</v>
      </c>
      <c r="C14" s="6">
        <f t="shared" si="0"/>
        <v>2080.3249999999998</v>
      </c>
      <c r="D14" s="5">
        <f t="shared" si="1"/>
        <v>67.7</v>
      </c>
      <c r="E14" s="11">
        <f t="shared" si="2"/>
        <v>0.49768341968054908</v>
      </c>
      <c r="F14" s="12">
        <f t="shared" si="3"/>
        <v>62.475000000000009</v>
      </c>
    </row>
    <row r="15" spans="1:6">
      <c r="A15" s="5" t="s">
        <v>20</v>
      </c>
      <c r="B15" s="5">
        <v>25</v>
      </c>
      <c r="C15" s="6">
        <f t="shared" si="0"/>
        <v>2085.3249999999998</v>
      </c>
      <c r="D15" s="5">
        <f t="shared" si="1"/>
        <v>62.7</v>
      </c>
      <c r="E15" s="11">
        <f t="shared" si="2"/>
        <v>0.46092688942349219</v>
      </c>
      <c r="F15" s="12">
        <f t="shared" si="3"/>
        <v>57.475000000000009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7C15-070A-4F81-B109-39831421C3B1}">
  <dimension ref="A1:J17"/>
  <sheetViews>
    <sheetView workbookViewId="0">
      <selection activeCell="D20" sqref="D20"/>
    </sheetView>
  </sheetViews>
  <sheetFormatPr defaultRowHeight="14.4"/>
  <cols>
    <col min="1" max="1" width="20.33203125" customWidth="1"/>
    <col min="2" max="2" width="22.6640625" customWidth="1"/>
    <col min="3" max="3" width="17.33203125" customWidth="1"/>
    <col min="4" max="4" width="20.44140625" customWidth="1"/>
    <col min="5" max="5" width="16.21875" customWidth="1"/>
    <col min="6" max="6" width="20.109375" customWidth="1"/>
    <col min="8" max="8" width="12.109375" customWidth="1"/>
    <col min="9" max="9" width="16.5546875" customWidth="1"/>
    <col min="10" max="10" width="16.21875" customWidth="1"/>
  </cols>
  <sheetData>
    <row r="1" spans="1:10" ht="28.8">
      <c r="A1" s="23" t="s">
        <v>0</v>
      </c>
      <c r="B1" s="24" t="s">
        <v>27</v>
      </c>
      <c r="D1" s="26" t="s">
        <v>0</v>
      </c>
      <c r="E1" s="27" t="s">
        <v>27</v>
      </c>
      <c r="H1" s="26" t="s">
        <v>0</v>
      </c>
      <c r="I1" s="43" t="s">
        <v>46</v>
      </c>
      <c r="J1" s="44" t="s">
        <v>47</v>
      </c>
    </row>
    <row r="2" spans="1:10" ht="28.8">
      <c r="A2" s="38" t="s">
        <v>28</v>
      </c>
      <c r="B2" s="32">
        <v>54405623</v>
      </c>
      <c r="C2" s="17"/>
      <c r="D2" s="40" t="s">
        <v>34</v>
      </c>
      <c r="E2" s="28">
        <f>B2/B9</f>
        <v>1088112.46</v>
      </c>
      <c r="H2" s="40" t="s">
        <v>48</v>
      </c>
      <c r="I2" s="45">
        <v>0.1</v>
      </c>
      <c r="J2" s="46">
        <v>-0.1</v>
      </c>
    </row>
    <row r="3" spans="1:10" ht="43.2">
      <c r="A3" s="38" t="s">
        <v>29</v>
      </c>
      <c r="B3" s="32">
        <v>45819900</v>
      </c>
      <c r="D3" s="41" t="s">
        <v>35</v>
      </c>
      <c r="E3" s="28">
        <f>E2/12</f>
        <v>90676.03833333333</v>
      </c>
      <c r="H3" s="40" t="s">
        <v>49</v>
      </c>
      <c r="I3" s="45">
        <v>0.05</v>
      </c>
      <c r="J3" s="46">
        <v>-0.05</v>
      </c>
    </row>
    <row r="4" spans="1:10" ht="28.8">
      <c r="A4" s="38" t="s">
        <v>30</v>
      </c>
      <c r="B4" s="32">
        <v>8441300</v>
      </c>
      <c r="D4" s="40" t="s">
        <v>37</v>
      </c>
      <c r="E4" s="29">
        <f>B3/E2</f>
        <v>42.109526068656542</v>
      </c>
      <c r="H4" s="41" t="s">
        <v>5</v>
      </c>
      <c r="I4" s="45">
        <v>-0.05</v>
      </c>
      <c r="J4" s="46">
        <v>0.05</v>
      </c>
    </row>
    <row r="5" spans="1:10" ht="43.8" thickBot="1">
      <c r="A5" s="39" t="s">
        <v>31</v>
      </c>
      <c r="B5" s="33">
        <v>150901</v>
      </c>
      <c r="D5" s="41" t="s">
        <v>36</v>
      </c>
      <c r="E5" s="28">
        <f>B4/12</f>
        <v>703441.66666666663</v>
      </c>
      <c r="H5" s="42" t="s">
        <v>50</v>
      </c>
      <c r="I5" s="47">
        <v>0.1</v>
      </c>
      <c r="J5" s="48">
        <v>-0.05</v>
      </c>
    </row>
    <row r="6" spans="1:10" ht="29.4" thickBot="1">
      <c r="B6" s="15"/>
      <c r="D6" s="42" t="s">
        <v>45</v>
      </c>
      <c r="E6" s="30">
        <f>B5/12</f>
        <v>12575.083333333334</v>
      </c>
    </row>
    <row r="7" spans="1:10" ht="15" thickBot="1"/>
    <row r="8" spans="1:10">
      <c r="A8" s="31" t="s">
        <v>0</v>
      </c>
      <c r="B8" s="25" t="s">
        <v>33</v>
      </c>
    </row>
    <row r="9" spans="1:10" ht="15" thickBot="1">
      <c r="A9" s="19" t="s">
        <v>32</v>
      </c>
      <c r="B9" s="22">
        <v>50</v>
      </c>
    </row>
    <row r="11" spans="1:10">
      <c r="A11" s="96" t="s">
        <v>26</v>
      </c>
      <c r="B11" s="97"/>
      <c r="C11" s="97"/>
      <c r="D11" s="97"/>
      <c r="E11" s="97"/>
      <c r="F11" s="97"/>
    </row>
    <row r="12" spans="1:10">
      <c r="A12" s="34" t="s">
        <v>14</v>
      </c>
      <c r="B12" s="34" t="s">
        <v>40</v>
      </c>
      <c r="C12" s="34" t="s">
        <v>41</v>
      </c>
      <c r="D12" s="34" t="s">
        <v>42</v>
      </c>
      <c r="E12" s="34" t="s">
        <v>43</v>
      </c>
      <c r="F12" s="34" t="s">
        <v>44</v>
      </c>
    </row>
    <row r="13" spans="1:10">
      <c r="A13" s="34" t="s">
        <v>15</v>
      </c>
      <c r="B13" s="35">
        <f>E3</f>
        <v>90676.03833333333</v>
      </c>
      <c r="C13" s="34">
        <f>B9</f>
        <v>50</v>
      </c>
      <c r="D13" s="36">
        <f>E4</f>
        <v>42.109526068656542</v>
      </c>
      <c r="E13" s="35">
        <f>E5</f>
        <v>703441.66666666663</v>
      </c>
      <c r="F13" s="35">
        <f>E6</f>
        <v>12575.083333333334</v>
      </c>
    </row>
    <row r="14" spans="1:10">
      <c r="A14" s="34" t="s">
        <v>38</v>
      </c>
      <c r="B14" s="37">
        <f>B13*1.1</f>
        <v>99743.642166666672</v>
      </c>
      <c r="C14" s="34">
        <f>C13*1.05</f>
        <v>52.5</v>
      </c>
      <c r="D14" s="36">
        <f>D13*0.95</f>
        <v>40.004049765223712</v>
      </c>
      <c r="E14" s="37">
        <f>E13*1.1</f>
        <v>773785.83333333337</v>
      </c>
      <c r="F14" s="36">
        <f>(B14*(C14-D14))-E14</f>
        <v>472605.75541666697</v>
      </c>
    </row>
    <row r="15" spans="1:10">
      <c r="A15" s="34" t="s">
        <v>39</v>
      </c>
      <c r="B15" s="37">
        <f>B13*0.9</f>
        <v>81608.434500000003</v>
      </c>
      <c r="C15" s="34">
        <f>C13*0.95</f>
        <v>47.5</v>
      </c>
      <c r="D15" s="36">
        <f>D13*1.05</f>
        <v>44.215002372089373</v>
      </c>
      <c r="E15" s="37">
        <f>E13*0.95</f>
        <v>668269.58333333326</v>
      </c>
      <c r="F15" s="36">
        <f>(B15*(C15-D15))-E15</f>
        <v>-400186.06958333345</v>
      </c>
    </row>
    <row r="16" spans="1:10">
      <c r="A16" s="13"/>
      <c r="B16" s="18"/>
      <c r="C16" s="14"/>
      <c r="D16" s="14"/>
    </row>
    <row r="17" spans="1:4">
      <c r="A17" s="13"/>
      <c r="B17" s="18"/>
      <c r="C17" s="14"/>
      <c r="D17" s="14"/>
    </row>
  </sheetData>
  <mergeCells count="1">
    <mergeCell ref="A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238E-AF45-4628-892A-5B08217D12C7}">
  <dimension ref="A1:J28"/>
  <sheetViews>
    <sheetView topLeftCell="A7" workbookViewId="0">
      <selection activeCell="B19" sqref="B19"/>
    </sheetView>
  </sheetViews>
  <sheetFormatPr defaultRowHeight="14.4"/>
  <cols>
    <col min="1" max="1" width="41.5546875" customWidth="1"/>
    <col min="2" max="2" width="16.44140625" customWidth="1"/>
    <col min="4" max="4" width="18.109375" customWidth="1"/>
    <col min="5" max="5" width="11.44140625" customWidth="1"/>
    <col min="6" max="10" width="11" bestFit="1" customWidth="1"/>
  </cols>
  <sheetData>
    <row r="1" spans="1:10" ht="16.2" thickBot="1">
      <c r="A1" s="51" t="s">
        <v>51</v>
      </c>
      <c r="B1" s="52">
        <v>1088112</v>
      </c>
      <c r="C1" s="50"/>
      <c r="D1" s="50"/>
      <c r="E1" s="50"/>
    </row>
    <row r="2" spans="1:10" ht="16.2" thickBot="1">
      <c r="A2" s="66" t="s">
        <v>52</v>
      </c>
      <c r="B2" s="67">
        <v>50</v>
      </c>
      <c r="C2" s="68"/>
      <c r="D2" s="68"/>
      <c r="E2" s="68">
        <v>45</v>
      </c>
      <c r="F2" s="68">
        <v>46.5</v>
      </c>
      <c r="G2" s="68">
        <v>47.5</v>
      </c>
      <c r="H2" s="68">
        <v>49</v>
      </c>
      <c r="I2" s="68">
        <v>52</v>
      </c>
      <c r="J2" s="69">
        <v>54</v>
      </c>
    </row>
    <row r="3" spans="1:10" ht="15.6">
      <c r="A3" s="53" t="s">
        <v>53</v>
      </c>
      <c r="B3" s="54">
        <v>42.11</v>
      </c>
      <c r="C3" s="49"/>
      <c r="D3" s="49"/>
      <c r="E3" s="49"/>
    </row>
    <row r="4" spans="1:10" ht="15.6">
      <c r="A4" s="55" t="s">
        <v>54</v>
      </c>
      <c r="B4" s="56">
        <v>8441300</v>
      </c>
    </row>
    <row r="5" spans="1:10">
      <c r="A5" s="8"/>
    </row>
    <row r="6" spans="1:10" ht="15" thickBot="1">
      <c r="A6" s="8"/>
    </row>
    <row r="7" spans="1:10" ht="15.6">
      <c r="A7" s="57" t="s">
        <v>55</v>
      </c>
      <c r="B7" s="58">
        <f>B2*B1</f>
        <v>54405600</v>
      </c>
      <c r="C7" s="58"/>
      <c r="D7" s="58"/>
      <c r="E7" s="58">
        <f>B1*E2</f>
        <v>48965040</v>
      </c>
      <c r="F7" s="58">
        <f>B1*F2</f>
        <v>50597208</v>
      </c>
      <c r="G7" s="58">
        <f>B1*G2</f>
        <v>51685320</v>
      </c>
      <c r="H7" s="58">
        <f>B1*H2</f>
        <v>53317488</v>
      </c>
      <c r="I7" s="58">
        <f>B1*I2</f>
        <v>56581824</v>
      </c>
      <c r="J7" s="20">
        <f>B1*J2</f>
        <v>58758048</v>
      </c>
    </row>
    <row r="8" spans="1:10">
      <c r="A8" s="21"/>
      <c r="J8" s="59"/>
    </row>
    <row r="9" spans="1:10" ht="15.6">
      <c r="A9" s="60" t="s">
        <v>56</v>
      </c>
      <c r="B9">
        <f>B1*B3</f>
        <v>45820396.32</v>
      </c>
      <c r="E9">
        <f>B9</f>
        <v>45820396.32</v>
      </c>
      <c r="F9">
        <f>E9</f>
        <v>45820396.32</v>
      </c>
      <c r="G9">
        <f>F9</f>
        <v>45820396.32</v>
      </c>
      <c r="H9">
        <f>G9</f>
        <v>45820396.32</v>
      </c>
      <c r="I9">
        <f>H9</f>
        <v>45820396.32</v>
      </c>
      <c r="J9" s="59">
        <f>I9</f>
        <v>45820396.32</v>
      </c>
    </row>
    <row r="10" spans="1:10">
      <c r="A10" s="21"/>
      <c r="J10" s="59"/>
    </row>
    <row r="11" spans="1:10" ht="29.4">
      <c r="A11" s="60" t="s">
        <v>58</v>
      </c>
      <c r="B11">
        <f>B7-B9</f>
        <v>8585203.6799999997</v>
      </c>
      <c r="E11">
        <f t="shared" ref="E11:J11" si="0">E7-E9</f>
        <v>3144643.6799999997</v>
      </c>
      <c r="F11">
        <f t="shared" si="0"/>
        <v>4776811.68</v>
      </c>
      <c r="G11">
        <f t="shared" si="0"/>
        <v>5864923.6799999997</v>
      </c>
      <c r="H11">
        <f t="shared" si="0"/>
        <v>7497091.6799999997</v>
      </c>
      <c r="I11">
        <f t="shared" si="0"/>
        <v>10761427.68</v>
      </c>
      <c r="J11" s="59">
        <f t="shared" si="0"/>
        <v>12937651.68</v>
      </c>
    </row>
    <row r="12" spans="1:10">
      <c r="A12" s="21"/>
      <c r="J12" s="59"/>
    </row>
    <row r="13" spans="1:10" ht="29.4">
      <c r="A13" s="60" t="s">
        <v>59</v>
      </c>
      <c r="B13" s="16">
        <f>B11-B4</f>
        <v>143903.6799999997</v>
      </c>
      <c r="E13">
        <f>E11-B4</f>
        <v>-5296656.32</v>
      </c>
      <c r="F13">
        <f>F11-B4</f>
        <v>-3664488.3200000003</v>
      </c>
      <c r="G13">
        <f>G11-B4</f>
        <v>-2576376.3200000003</v>
      </c>
      <c r="H13">
        <f>H11-B4</f>
        <v>-944208.3200000003</v>
      </c>
      <c r="I13">
        <f>I11-B4</f>
        <v>2320127.6799999997</v>
      </c>
      <c r="J13" s="59">
        <f>J11-B4</f>
        <v>4496351.68</v>
      </c>
    </row>
    <row r="14" spans="1:10">
      <c r="A14" s="21"/>
      <c r="J14" s="59"/>
    </row>
    <row r="15" spans="1:10" ht="15.6">
      <c r="A15" s="60" t="s">
        <v>60</v>
      </c>
      <c r="B15" s="16">
        <f>B13*0.18</f>
        <v>25902.662399999947</v>
      </c>
      <c r="E15">
        <f t="shared" ref="E15:J15" si="1">E13*0.18</f>
        <v>-953398.13760000002</v>
      </c>
      <c r="F15">
        <f t="shared" si="1"/>
        <v>-659607.89760000003</v>
      </c>
      <c r="G15">
        <f t="shared" si="1"/>
        <v>-463747.73760000005</v>
      </c>
      <c r="H15">
        <f t="shared" si="1"/>
        <v>-169957.49760000006</v>
      </c>
      <c r="I15">
        <f t="shared" si="1"/>
        <v>417622.98239999992</v>
      </c>
      <c r="J15" s="59">
        <f t="shared" si="1"/>
        <v>809343.30239999993</v>
      </c>
    </row>
    <row r="16" spans="1:10">
      <c r="A16" s="21"/>
      <c r="J16" s="59"/>
    </row>
    <row r="17" spans="1:10" ht="16.2" thickBot="1">
      <c r="A17" s="61" t="s">
        <v>61</v>
      </c>
      <c r="B17" s="62">
        <f>B13-B15</f>
        <v>118001.01759999976</v>
      </c>
      <c r="C17" s="63"/>
      <c r="D17" s="63"/>
      <c r="E17" s="64">
        <f t="shared" ref="E17:J17" si="2">E13-E15</f>
        <v>-4343258.1824000003</v>
      </c>
      <c r="F17" s="64">
        <f t="shared" si="2"/>
        <v>-3004880.4224000005</v>
      </c>
      <c r="G17" s="64">
        <f t="shared" si="2"/>
        <v>-2112628.5824000002</v>
      </c>
      <c r="H17" s="64">
        <f t="shared" si="2"/>
        <v>-774250.82240000018</v>
      </c>
      <c r="I17" s="64">
        <f t="shared" si="2"/>
        <v>1902504.6975999998</v>
      </c>
      <c r="J17" s="65">
        <f t="shared" si="2"/>
        <v>3687008.3775999998</v>
      </c>
    </row>
    <row r="20" spans="1:10" ht="18">
      <c r="C20" s="98" t="s">
        <v>63</v>
      </c>
      <c r="D20" s="98"/>
    </row>
    <row r="21" spans="1:10" ht="18">
      <c r="C21" s="70" t="s">
        <v>57</v>
      </c>
      <c r="D21" s="71">
        <f>B17</f>
        <v>118001.01759999976</v>
      </c>
    </row>
    <row r="22" spans="1:10" ht="18">
      <c r="C22" s="70">
        <v>45</v>
      </c>
      <c r="D22" s="72">
        <f>E17</f>
        <v>-4343258.1824000003</v>
      </c>
    </row>
    <row r="23" spans="1:10" ht="18">
      <c r="C23" s="70">
        <v>46.5</v>
      </c>
      <c r="D23" s="72">
        <f>F17</f>
        <v>-3004880.4224000005</v>
      </c>
    </row>
    <row r="24" spans="1:10" ht="18">
      <c r="C24" s="70">
        <v>47.5</v>
      </c>
      <c r="D24" s="72">
        <f>G17</f>
        <v>-2112628.5824000002</v>
      </c>
    </row>
    <row r="25" spans="1:10" ht="18">
      <c r="C25" s="70">
        <v>49</v>
      </c>
      <c r="D25" s="72">
        <f>H17</f>
        <v>-774250.82240000018</v>
      </c>
    </row>
    <row r="26" spans="1:10" ht="18">
      <c r="C26" s="70">
        <v>50</v>
      </c>
      <c r="D26" s="71">
        <f>B17</f>
        <v>118001.01759999976</v>
      </c>
    </row>
    <row r="27" spans="1:10" ht="18">
      <c r="C27" s="70">
        <v>52</v>
      </c>
      <c r="D27" s="72">
        <f>I17</f>
        <v>1902504.6975999998</v>
      </c>
    </row>
    <row r="28" spans="1:10" ht="18">
      <c r="C28" s="70">
        <v>54</v>
      </c>
      <c r="D28" s="72">
        <f>J17</f>
        <v>3687008.3775999998</v>
      </c>
    </row>
  </sheetData>
  <mergeCells count="1">
    <mergeCell ref="C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FDC4-F745-4720-B837-35FE9C780B6F}">
  <dimension ref="A1:N23"/>
  <sheetViews>
    <sheetView tabSelected="1" zoomScale="85" zoomScaleNormal="85" workbookViewId="0">
      <selection activeCell="N8" sqref="N8"/>
    </sheetView>
  </sheetViews>
  <sheetFormatPr defaultRowHeight="14.4"/>
  <cols>
    <col min="1" max="1" width="36.21875" customWidth="1"/>
    <col min="2" max="2" width="20.77734375" customWidth="1"/>
    <col min="6" max="6" width="17.5546875" customWidth="1"/>
    <col min="7" max="7" width="23.77734375" customWidth="1"/>
    <col min="8" max="8" width="20.5546875" customWidth="1"/>
    <col min="9" max="9" width="17.21875" customWidth="1"/>
    <col min="10" max="10" width="15.77734375" customWidth="1"/>
    <col min="11" max="11" width="11.109375" customWidth="1"/>
    <col min="12" max="12" width="17" customWidth="1"/>
    <col min="13" max="13" width="17.5546875" customWidth="1"/>
    <col min="14" max="14" width="24.6640625" customWidth="1"/>
  </cols>
  <sheetData>
    <row r="1" spans="1:14" ht="15.6">
      <c r="A1" s="75" t="s">
        <v>51</v>
      </c>
      <c r="B1" s="76">
        <v>1088112</v>
      </c>
      <c r="F1" s="77" t="s">
        <v>76</v>
      </c>
      <c r="G1" s="77" t="s">
        <v>77</v>
      </c>
      <c r="H1" s="77" t="s">
        <v>5</v>
      </c>
      <c r="I1" s="77" t="s">
        <v>6</v>
      </c>
      <c r="J1" s="77" t="s">
        <v>62</v>
      </c>
      <c r="K1" s="77" t="s">
        <v>78</v>
      </c>
      <c r="L1" s="77" t="s">
        <v>79</v>
      </c>
      <c r="M1" s="77" t="s">
        <v>80</v>
      </c>
      <c r="N1" s="81" t="s">
        <v>83</v>
      </c>
    </row>
    <row r="2" spans="1:14" ht="15.6">
      <c r="A2" s="75" t="s">
        <v>52</v>
      </c>
      <c r="B2" s="76">
        <v>50</v>
      </c>
      <c r="F2" s="78">
        <v>1088112</v>
      </c>
      <c r="G2" s="79">
        <v>54405600</v>
      </c>
      <c r="H2" s="80">
        <v>45819900</v>
      </c>
      <c r="I2" s="80">
        <v>8441300</v>
      </c>
      <c r="J2" s="80">
        <v>150901</v>
      </c>
      <c r="K2" s="80">
        <v>93750</v>
      </c>
      <c r="L2" s="80">
        <v>5119550</v>
      </c>
      <c r="M2" s="80">
        <v>150901</v>
      </c>
      <c r="N2">
        <f>M2*3</f>
        <v>452703</v>
      </c>
    </row>
    <row r="3" spans="1:14" ht="15.6">
      <c r="A3" s="75" t="s">
        <v>53</v>
      </c>
      <c r="B3" s="76">
        <v>42.11</v>
      </c>
      <c r="F3" s="74"/>
      <c r="G3" s="74" t="s">
        <v>81</v>
      </c>
      <c r="H3" s="74" t="s">
        <v>82</v>
      </c>
      <c r="I3" s="74"/>
      <c r="J3" s="74"/>
      <c r="K3" s="74"/>
      <c r="L3" s="74"/>
      <c r="M3" s="74"/>
    </row>
    <row r="4" spans="1:14" ht="15.6">
      <c r="A4" s="75" t="s">
        <v>54</v>
      </c>
      <c r="B4" s="76">
        <v>8441300</v>
      </c>
      <c r="N4" t="s">
        <v>84</v>
      </c>
    </row>
    <row r="5" spans="1:14">
      <c r="N5" s="16">
        <f>N2/K2</f>
        <v>4.8288320000000002</v>
      </c>
    </row>
    <row r="6" spans="1:14" ht="15" thickBot="1"/>
    <row r="7" spans="1:14" ht="18.600000000000001" thickTop="1">
      <c r="A7" s="99" t="s">
        <v>64</v>
      </c>
      <c r="B7" s="100"/>
      <c r="F7" s="101" t="s">
        <v>70</v>
      </c>
      <c r="G7" s="102"/>
    </row>
    <row r="8" spans="1:14" ht="18">
      <c r="A8" s="88" t="s">
        <v>85</v>
      </c>
      <c r="B8" s="89">
        <f>B1*B2</f>
        <v>54405600</v>
      </c>
      <c r="F8" s="82" t="s">
        <v>71</v>
      </c>
      <c r="G8" s="83" t="s">
        <v>65</v>
      </c>
    </row>
    <row r="9" spans="1:14" ht="18">
      <c r="A9" s="90"/>
      <c r="B9" s="89"/>
      <c r="F9" s="84" t="s">
        <v>72</v>
      </c>
      <c r="G9" s="85">
        <f>J2/K2*100</f>
        <v>160.96106666666668</v>
      </c>
    </row>
    <row r="10" spans="1:14" ht="36">
      <c r="A10" s="88" t="s">
        <v>86</v>
      </c>
      <c r="B10" s="89">
        <f>B1*B3</f>
        <v>45820396.32</v>
      </c>
      <c r="F10" s="84" t="s">
        <v>73</v>
      </c>
      <c r="G10" s="85">
        <f>J2/L2*100</f>
        <v>2.9475442177535132</v>
      </c>
    </row>
    <row r="11" spans="1:14" ht="54">
      <c r="A11" s="90"/>
      <c r="B11" s="89"/>
      <c r="F11" s="84" t="s">
        <v>74</v>
      </c>
      <c r="G11" s="85">
        <f>K2/J2</f>
        <v>0.62126824871935904</v>
      </c>
    </row>
    <row r="12" spans="1:14" ht="54.6" thickBot="1">
      <c r="A12" s="88" t="s">
        <v>87</v>
      </c>
      <c r="B12" s="89">
        <f>B8-B10</f>
        <v>8585203.6799999997</v>
      </c>
      <c r="F12" s="86" t="s">
        <v>75</v>
      </c>
      <c r="G12" s="87">
        <f>N5/3</f>
        <v>1.6096106666666667</v>
      </c>
    </row>
    <row r="13" spans="1:14" ht="18.600000000000001" thickTop="1">
      <c r="A13" s="88" t="s">
        <v>67</v>
      </c>
      <c r="B13" s="89">
        <v>8441300</v>
      </c>
    </row>
    <row r="14" spans="1:14" ht="54">
      <c r="A14" s="88" t="s">
        <v>88</v>
      </c>
      <c r="B14" s="91">
        <f>B12-B4</f>
        <v>143903.6799999997</v>
      </c>
    </row>
    <row r="15" spans="1:14" ht="18">
      <c r="A15" s="90"/>
      <c r="B15" s="89"/>
    </row>
    <row r="16" spans="1:14" ht="36">
      <c r="A16" s="88" t="s">
        <v>89</v>
      </c>
      <c r="B16" s="91">
        <f>B14*0.18</f>
        <v>25902.662399999947</v>
      </c>
    </row>
    <row r="17" spans="1:2" ht="18">
      <c r="A17" s="90"/>
      <c r="B17" s="89"/>
    </row>
    <row r="18" spans="1:2" ht="36">
      <c r="A18" s="88" t="s">
        <v>90</v>
      </c>
      <c r="B18" s="91">
        <f>B14-B16</f>
        <v>118001.01759999976</v>
      </c>
    </row>
    <row r="19" spans="1:2" ht="18">
      <c r="A19" s="92"/>
      <c r="B19" s="89"/>
    </row>
    <row r="20" spans="1:2" ht="54.6" thickBot="1">
      <c r="A20" s="93" t="s">
        <v>66</v>
      </c>
      <c r="B20" s="94">
        <f>B18/B8*100</f>
        <v>0.21689130824767994</v>
      </c>
    </row>
    <row r="21" spans="1:2" ht="15" thickTop="1"/>
    <row r="22" spans="1:2">
      <c r="A22" s="73" t="s">
        <v>69</v>
      </c>
      <c r="B22" s="16">
        <f>B4/(B2-B3)</f>
        <v>1069873.2572877058</v>
      </c>
    </row>
    <row r="23" spans="1:2">
      <c r="A23" s="73" t="s">
        <v>68</v>
      </c>
      <c r="B23">
        <f>B22*B2</f>
        <v>53493662.864385292</v>
      </c>
    </row>
  </sheetData>
  <mergeCells count="2">
    <mergeCell ref="A7:B7"/>
    <mergeCell ref="F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Завдання 1.1</vt:lpstr>
      <vt:lpstr>Таблиця сценаріїв</vt:lpstr>
      <vt:lpstr>Аналіз чутливості (What-if Ana</vt:lpstr>
      <vt:lpstr>Завдання 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Юлія Свірська</dc:creator>
  <cp:lastModifiedBy>Юлія Свірська</cp:lastModifiedBy>
  <dcterms:created xsi:type="dcterms:W3CDTF">2015-06-05T18:19:34Z</dcterms:created>
  <dcterms:modified xsi:type="dcterms:W3CDTF">2025-11-08T09:04:51Z</dcterms:modified>
</cp:coreProperties>
</file>