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omi\Documents\"/>
    </mc:Choice>
  </mc:AlternateContent>
  <xr:revisionPtr revIDLastSave="0" documentId="8_{BD074A01-9EFA-4840-A2F5-03F297F5EBCE}" xr6:coauthVersionLast="40" xr6:coauthVersionMax="40" xr10:uidLastSave="{00000000-0000-0000-0000-000000000000}"/>
  <bookViews>
    <workbookView xWindow="-108" yWindow="-108" windowWidth="23256" windowHeight="12720" tabRatio="811" xr2:uid="{00000000-000D-0000-FFFF-FFFF00000000}"/>
  </bookViews>
  <sheets>
    <sheet name="1т 1ф" sheetId="11" r:id="rId1"/>
    <sheet name="1т 3ф" sheetId="18" r:id="rId2"/>
    <sheet name="Мт" sheetId="19" r:id="rId3"/>
    <sheet name="Расчет загрузки" sheetId="28" r:id="rId4"/>
    <sheet name="Хронометраж" sheetId="13" r:id="rId5"/>
    <sheet name="М-лы" sheetId="14" state="hidden" r:id="rId6"/>
    <sheet name="Спецификация" sheetId="20" state="hidden" r:id="rId7"/>
    <sheet name="Осн м-лы" sheetId="22" r:id="rId8"/>
    <sheet name="Прочие м-лы" sheetId="24" r:id="rId9"/>
    <sheet name="ЗП" sheetId="23" r:id="rId10"/>
    <sheet name="ОПР распределение" sheetId="25" r:id="rId11"/>
    <sheet name="ОПР 19" sheetId="26" r:id="rId12"/>
    <sheet name="Лист1" sheetId="27" state="hidden" r:id="rId13"/>
  </sheets>
  <definedNames>
    <definedName name="_xlnm._FilterDatabase" localSheetId="11" hidden="1">'ОПР 19'!$B$8:$N$50</definedName>
  </definedNames>
  <calcPr calcId="191029"/>
</workbook>
</file>

<file path=xl/calcChain.xml><?xml version="1.0" encoding="utf-8"?>
<calcChain xmlns="http://schemas.openxmlformats.org/spreadsheetml/2006/main">
  <c r="O10" i="23" l="1"/>
  <c r="O11" i="23"/>
  <c r="O12" i="23"/>
  <c r="O13" i="23"/>
  <c r="O14" i="23"/>
  <c r="O15" i="23"/>
  <c r="O16" i="23"/>
  <c r="O17" i="23"/>
  <c r="O34" i="23" s="1"/>
  <c r="O9" i="23"/>
  <c r="N9" i="23"/>
  <c r="N14" i="23"/>
  <c r="N34" i="23"/>
  <c r="N10" i="23"/>
  <c r="N11" i="23"/>
  <c r="N12" i="23"/>
  <c r="N13" i="23"/>
  <c r="N15" i="23"/>
  <c r="N16" i="23"/>
  <c r="N17" i="23"/>
  <c r="K16" i="23"/>
  <c r="K9" i="23"/>
  <c r="K10" i="23"/>
  <c r="K11" i="23"/>
  <c r="K12" i="23"/>
  <c r="K13" i="23"/>
  <c r="K14" i="23"/>
  <c r="K15" i="23"/>
  <c r="K17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9" i="23"/>
  <c r="L21" i="23"/>
  <c r="E71" i="11" l="1"/>
  <c r="E67" i="11"/>
  <c r="J68" i="11"/>
  <c r="E68" i="11"/>
  <c r="I68" i="11"/>
  <c r="H68" i="11"/>
  <c r="G68" i="11"/>
  <c r="F68" i="11"/>
  <c r="E70" i="11"/>
  <c r="F3" i="13" l="1"/>
  <c r="N3" i="28"/>
  <c r="E48" i="11" l="1"/>
  <c r="J17" i="28"/>
  <c r="J16" i="28"/>
  <c r="J15" i="28"/>
  <c r="J14" i="28"/>
  <c r="J13" i="28"/>
  <c r="J12" i="28"/>
  <c r="J11" i="28"/>
  <c r="J10" i="28"/>
  <c r="J9" i="28"/>
  <c r="J8" i="28"/>
  <c r="G16" i="28"/>
  <c r="G15" i="28"/>
  <c r="G17" i="28"/>
  <c r="G14" i="28"/>
  <c r="G13" i="28"/>
  <c r="G12" i="28"/>
  <c r="G11" i="28"/>
  <c r="G10" i="28"/>
  <c r="G9" i="28"/>
  <c r="G8" i="28"/>
  <c r="L16" i="23"/>
  <c r="D17" i="28"/>
  <c r="D16" i="28"/>
  <c r="M16" i="28" s="1"/>
  <c r="D15" i="28"/>
  <c r="D14" i="28"/>
  <c r="D13" i="28"/>
  <c r="D12" i="28"/>
  <c r="M12" i="28" s="1"/>
  <c r="D11" i="28"/>
  <c r="M11" i="28" s="1"/>
  <c r="D10" i="28"/>
  <c r="D9" i="28"/>
  <c r="D8" i="28"/>
  <c r="M8" i="28" s="1"/>
  <c r="E14" i="27"/>
  <c r="E7" i="27"/>
  <c r="M9" i="28" l="1"/>
  <c r="M17" i="28"/>
  <c r="M13" i="28"/>
  <c r="M10" i="28"/>
  <c r="M14" i="28"/>
  <c r="M15" i="28"/>
  <c r="G7" i="27"/>
  <c r="C26" i="27"/>
  <c r="F70" i="11"/>
  <c r="C12" i="27"/>
  <c r="C13" i="27" s="1"/>
  <c r="C14" i="27" s="1"/>
  <c r="C15" i="27" s="1"/>
  <c r="C16" i="27" s="1"/>
  <c r="C17" i="27" s="1"/>
  <c r="E17" i="27"/>
  <c r="E16" i="27"/>
  <c r="E15" i="27"/>
  <c r="E13" i="27"/>
  <c r="I67" i="11"/>
  <c r="H67" i="11"/>
  <c r="G67" i="11"/>
  <c r="F67" i="11"/>
  <c r="I70" i="11"/>
  <c r="H70" i="11"/>
  <c r="G70" i="11"/>
  <c r="E10" i="27"/>
  <c r="F10" i="27" s="1"/>
  <c r="S70" i="11"/>
  <c r="R70" i="11"/>
  <c r="Q70" i="11"/>
  <c r="P70" i="11"/>
  <c r="O70" i="11"/>
  <c r="N70" i="11"/>
  <c r="M70" i="11"/>
  <c r="J70" i="11"/>
  <c r="E8" i="27"/>
  <c r="F8" i="27" s="1"/>
  <c r="J67" i="11"/>
  <c r="K68" i="11"/>
  <c r="S67" i="11"/>
  <c r="R67" i="11"/>
  <c r="Q67" i="11"/>
  <c r="P67" i="11"/>
  <c r="O67" i="11"/>
  <c r="N67" i="11"/>
  <c r="M67" i="11"/>
  <c r="S68" i="11"/>
  <c r="R68" i="11"/>
  <c r="Q68" i="11"/>
  <c r="P68" i="11"/>
  <c r="O68" i="11"/>
  <c r="N68" i="11"/>
  <c r="M68" i="11"/>
  <c r="L68" i="11"/>
  <c r="E6" i="27"/>
  <c r="F6" i="27" s="1"/>
  <c r="E9" i="27"/>
  <c r="F9" i="27" s="1"/>
  <c r="E23" i="27"/>
  <c r="E22" i="27"/>
  <c r="E20" i="27"/>
  <c r="E21" i="27"/>
  <c r="E19" i="27"/>
  <c r="E18" i="27"/>
  <c r="F7" i="27" l="1"/>
  <c r="H7" i="27"/>
  <c r="F13" i="27"/>
  <c r="F14" i="27"/>
  <c r="F16" i="27"/>
  <c r="F17" i="27"/>
  <c r="F15" i="27"/>
  <c r="D20" i="27"/>
  <c r="C12" i="28" s="1"/>
  <c r="K12" i="28" s="1"/>
  <c r="D10" i="27"/>
  <c r="D14" i="27"/>
  <c r="E12" i="27"/>
  <c r="E11" i="27" s="1"/>
  <c r="F11" i="27" s="1"/>
  <c r="E5" i="27"/>
  <c r="D23" i="27"/>
  <c r="C15" i="28" s="1"/>
  <c r="K15" i="28" s="1"/>
  <c r="D24" i="27"/>
  <c r="C16" i="28" s="1"/>
  <c r="K16" i="28" s="1"/>
  <c r="F18" i="27"/>
  <c r="F19" i="27"/>
  <c r="F20" i="27"/>
  <c r="F21" i="27"/>
  <c r="F22" i="27"/>
  <c r="F23" i="27"/>
  <c r="F24" i="27"/>
  <c r="F25" i="27"/>
  <c r="H16" i="28" l="1"/>
  <c r="E16" i="28"/>
  <c r="H15" i="28"/>
  <c r="E15" i="28"/>
  <c r="E12" i="28"/>
  <c r="H12" i="28"/>
  <c r="D18" i="27"/>
  <c r="C10" i="28" s="1"/>
  <c r="K10" i="28" s="1"/>
  <c r="D8" i="27"/>
  <c r="F12" i="27"/>
  <c r="D11" i="27"/>
  <c r="C9" i="28" s="1"/>
  <c r="K9" i="28" s="1"/>
  <c r="D22" i="27"/>
  <c r="C14" i="28" s="1"/>
  <c r="K14" i="28" s="1"/>
  <c r="D9" i="27"/>
  <c r="D17" i="27"/>
  <c r="D12" i="27"/>
  <c r="D21" i="27"/>
  <c r="C13" i="28" s="1"/>
  <c r="K13" i="28" s="1"/>
  <c r="D4" i="27"/>
  <c r="C8" i="28" s="1"/>
  <c r="K8" i="28" s="1"/>
  <c r="D15" i="27"/>
  <c r="D16" i="27"/>
  <c r="D13" i="27"/>
  <c r="D7" i="27"/>
  <c r="D25" i="27"/>
  <c r="C17" i="28" s="1"/>
  <c r="K17" i="28" s="1"/>
  <c r="D19" i="27"/>
  <c r="C11" i="28" s="1"/>
  <c r="K11" i="28" s="1"/>
  <c r="D5" i="27"/>
  <c r="D6" i="27"/>
  <c r="E4" i="27"/>
  <c r="F4" i="27" s="1"/>
  <c r="F26" i="27" s="1"/>
  <c r="F5" i="27"/>
  <c r="K18" i="28" l="1"/>
  <c r="H8" i="28"/>
  <c r="E8" i="28"/>
  <c r="C18" i="28"/>
  <c r="E10" i="28"/>
  <c r="H10" i="28"/>
  <c r="E13" i="28"/>
  <c r="H13" i="28"/>
  <c r="E14" i="28"/>
  <c r="H14" i="28"/>
  <c r="H11" i="28"/>
  <c r="E11" i="28"/>
  <c r="E9" i="28"/>
  <c r="H9" i="28"/>
  <c r="H17" i="28"/>
  <c r="E17" i="28"/>
  <c r="D26" i="27"/>
  <c r="I44" i="13"/>
  <c r="E18" i="28" l="1"/>
  <c r="E19" i="28" s="1"/>
  <c r="F8" i="28" s="1"/>
  <c r="H18" i="28"/>
  <c r="U68" i="11"/>
  <c r="F15" i="28" l="1"/>
  <c r="F17" i="28"/>
  <c r="F9" i="28"/>
  <c r="G20" i="28" s="1"/>
  <c r="F10" i="28"/>
  <c r="F12" i="28"/>
  <c r="F14" i="28"/>
  <c r="F13" i="28"/>
  <c r="F16" i="28"/>
  <c r="F11" i="28"/>
  <c r="J20" i="28" l="1"/>
  <c r="D20" i="28"/>
  <c r="F18" i="28"/>
  <c r="D21" i="28" l="1"/>
  <c r="D22" i="28" s="1"/>
  <c r="M20" i="28"/>
  <c r="L15" i="23"/>
  <c r="G47" i="13"/>
  <c r="I45" i="13"/>
  <c r="I47" i="13"/>
  <c r="I43" i="13"/>
  <c r="H44" i="13"/>
  <c r="H45" i="13"/>
  <c r="H46" i="13"/>
  <c r="H47" i="13"/>
  <c r="H43" i="13"/>
  <c r="G45" i="13"/>
  <c r="G44" i="13"/>
  <c r="L9" i="23"/>
  <c r="L10" i="23"/>
  <c r="L11" i="23"/>
  <c r="L12" i="23"/>
  <c r="L13" i="23"/>
  <c r="L14" i="23"/>
  <c r="L17" i="23"/>
  <c r="L18" i="23"/>
  <c r="L19" i="23"/>
  <c r="L20" i="23"/>
  <c r="L22" i="23"/>
  <c r="E4" i="25" s="1"/>
  <c r="L23" i="23"/>
  <c r="L24" i="23"/>
  <c r="L25" i="23"/>
  <c r="L26" i="23"/>
  <c r="L27" i="23"/>
  <c r="L28" i="23"/>
  <c r="L29" i="23"/>
  <c r="L30" i="23"/>
  <c r="L31" i="23"/>
  <c r="L32" i="23"/>
  <c r="L33" i="23"/>
  <c r="L51" i="26"/>
  <c r="L52" i="26" s="1"/>
  <c r="K51" i="26"/>
  <c r="K52" i="26" s="1"/>
  <c r="J51" i="26"/>
  <c r="J52" i="26" s="1"/>
  <c r="I51" i="26"/>
  <c r="I52" i="26" s="1"/>
  <c r="H51" i="26"/>
  <c r="H52" i="26" s="1"/>
  <c r="G51" i="26"/>
  <c r="G52" i="26" s="1"/>
  <c r="F51" i="26"/>
  <c r="F52" i="26" s="1"/>
  <c r="E51" i="26"/>
  <c r="E52" i="26" s="1"/>
  <c r="D51" i="26"/>
  <c r="D52" i="26" s="1"/>
  <c r="C51" i="26"/>
  <c r="C52" i="26" s="1"/>
  <c r="M50" i="26"/>
  <c r="N50" i="26" s="1"/>
  <c r="M49" i="26"/>
  <c r="N49" i="26" s="1"/>
  <c r="B21" i="25" s="1"/>
  <c r="M48" i="26"/>
  <c r="N48" i="26" s="1"/>
  <c r="M47" i="26"/>
  <c r="N47" i="26" s="1"/>
  <c r="B8" i="25" s="1"/>
  <c r="M46" i="26"/>
  <c r="N46" i="26" s="1"/>
  <c r="M45" i="26"/>
  <c r="N45" i="26" s="1"/>
  <c r="B6" i="25" s="1"/>
  <c r="M44" i="26"/>
  <c r="N44" i="26" s="1"/>
  <c r="B17" i="25" s="1"/>
  <c r="M43" i="26"/>
  <c r="N43" i="26" s="1"/>
  <c r="M42" i="26"/>
  <c r="N42" i="26" s="1"/>
  <c r="M41" i="26"/>
  <c r="N41" i="26" s="1"/>
  <c r="M40" i="26"/>
  <c r="N40" i="26" s="1"/>
  <c r="M39" i="26"/>
  <c r="N39" i="26" s="1"/>
  <c r="M38" i="26"/>
  <c r="N38" i="26" s="1"/>
  <c r="B23" i="25" s="1"/>
  <c r="M37" i="26"/>
  <c r="N37" i="26" s="1"/>
  <c r="M36" i="26"/>
  <c r="N36" i="26" s="1"/>
  <c r="M35" i="26"/>
  <c r="N35" i="26" s="1"/>
  <c r="M34" i="26"/>
  <c r="N34" i="26" s="1"/>
  <c r="B16" i="25" s="1"/>
  <c r="M33" i="26"/>
  <c r="N33" i="26" s="1"/>
  <c r="M32" i="26"/>
  <c r="N32" i="26" s="1"/>
  <c r="M31" i="26"/>
  <c r="N31" i="26" s="1"/>
  <c r="B14" i="25" s="1"/>
  <c r="M30" i="26"/>
  <c r="N30" i="26" s="1"/>
  <c r="M29" i="26"/>
  <c r="N29" i="26" s="1"/>
  <c r="M28" i="26"/>
  <c r="N28" i="26" s="1"/>
  <c r="B22" i="25" s="1"/>
  <c r="M27" i="26"/>
  <c r="N27" i="26" s="1"/>
  <c r="M26" i="26"/>
  <c r="N26" i="26" s="1"/>
  <c r="M25" i="26"/>
  <c r="N25" i="26" s="1"/>
  <c r="B13" i="25" s="1"/>
  <c r="M24" i="26"/>
  <c r="N24" i="26" s="1"/>
  <c r="M23" i="26"/>
  <c r="N23" i="26" s="1"/>
  <c r="M22" i="26"/>
  <c r="N22" i="26" s="1"/>
  <c r="M21" i="26"/>
  <c r="N21" i="26" s="1"/>
  <c r="M20" i="26"/>
  <c r="N20" i="26" s="1"/>
  <c r="B12" i="25" s="1"/>
  <c r="M19" i="26"/>
  <c r="N19" i="26" s="1"/>
  <c r="M18" i="26"/>
  <c r="N18" i="26" s="1"/>
  <c r="B9" i="25" s="1"/>
  <c r="M17" i="26"/>
  <c r="N17" i="26" s="1"/>
  <c r="M16" i="26"/>
  <c r="N16" i="26" s="1"/>
  <c r="M15" i="26"/>
  <c r="N15" i="26" s="1"/>
  <c r="M14" i="26"/>
  <c r="N14" i="26" s="1"/>
  <c r="M13" i="26"/>
  <c r="N13" i="26" s="1"/>
  <c r="M12" i="26"/>
  <c r="N12" i="26" s="1"/>
  <c r="M11" i="26"/>
  <c r="N11" i="26" s="1"/>
  <c r="M10" i="26"/>
  <c r="N10" i="26" s="1"/>
  <c r="M9" i="26"/>
  <c r="F71" i="11" l="1"/>
  <c r="P71" i="11"/>
  <c r="J71" i="11"/>
  <c r="I71" i="11"/>
  <c r="S71" i="11"/>
  <c r="O71" i="11"/>
  <c r="Q71" i="11"/>
  <c r="H71" i="11"/>
  <c r="R71" i="11"/>
  <c r="N71" i="11"/>
  <c r="G71" i="11"/>
  <c r="M71" i="11"/>
  <c r="L34" i="23"/>
  <c r="F69" i="11"/>
  <c r="F66" i="11" s="1"/>
  <c r="F65" i="11" s="1"/>
  <c r="Q69" i="11"/>
  <c r="Q66" i="11" s="1"/>
  <c r="Q65" i="11" s="1"/>
  <c r="M69" i="11"/>
  <c r="M66" i="11" s="1"/>
  <c r="R69" i="11"/>
  <c r="R66" i="11" s="1"/>
  <c r="R65" i="11" s="1"/>
  <c r="P69" i="11"/>
  <c r="P66" i="11" s="1"/>
  <c r="P65" i="11" s="1"/>
  <c r="J69" i="11"/>
  <c r="J66" i="11" s="1"/>
  <c r="J65" i="11" s="1"/>
  <c r="N69" i="11"/>
  <c r="N66" i="11" s="1"/>
  <c r="N65" i="11" s="1"/>
  <c r="S69" i="11"/>
  <c r="S66" i="11" s="1"/>
  <c r="S65" i="11" s="1"/>
  <c r="O69" i="11"/>
  <c r="O66" i="11" s="1"/>
  <c r="O65" i="11" s="1"/>
  <c r="I69" i="11"/>
  <c r="I66" i="11" s="1"/>
  <c r="H69" i="11"/>
  <c r="H66" i="11" s="1"/>
  <c r="G69" i="11"/>
  <c r="G66" i="11" s="1"/>
  <c r="G65" i="11" s="1"/>
  <c r="L69" i="11"/>
  <c r="K69" i="11"/>
  <c r="J6" i="28"/>
  <c r="L67" i="11"/>
  <c r="K67" i="11"/>
  <c r="K66" i="11" s="1"/>
  <c r="L70" i="11"/>
  <c r="K70" i="11"/>
  <c r="K71" i="11"/>
  <c r="L71" i="11"/>
  <c r="D4" i="25"/>
  <c r="N51" i="26"/>
  <c r="B15" i="25"/>
  <c r="B11" i="25"/>
  <c r="B10" i="25"/>
  <c r="B18" i="25"/>
  <c r="F4" i="25"/>
  <c r="G4" i="25" s="1"/>
  <c r="E69" i="11"/>
  <c r="G6" i="28"/>
  <c r="G8" i="27"/>
  <c r="H8" i="27" s="1"/>
  <c r="B7" i="25"/>
  <c r="B20" i="25"/>
  <c r="B19" i="25"/>
  <c r="G6" i="27"/>
  <c r="G43" i="13"/>
  <c r="G46" i="13"/>
  <c r="H48" i="13"/>
  <c r="M51" i="26"/>
  <c r="M52" i="26" s="1"/>
  <c r="F17" i="11"/>
  <c r="H65" i="11" l="1"/>
  <c r="M65" i="11"/>
  <c r="L66" i="11"/>
  <c r="I65" i="11"/>
  <c r="F6" i="25"/>
  <c r="D14" i="25"/>
  <c r="F23" i="25"/>
  <c r="F16" i="25"/>
  <c r="E8" i="25"/>
  <c r="U70" i="11"/>
  <c r="F21" i="25"/>
  <c r="E12" i="25"/>
  <c r="U69" i="11"/>
  <c r="U71" i="11"/>
  <c r="L65" i="11"/>
  <c r="G17" i="11"/>
  <c r="G48" i="11" s="1"/>
  <c r="F48" i="11"/>
  <c r="H19" i="28"/>
  <c r="I8" i="28" s="1"/>
  <c r="M6" i="28"/>
  <c r="M21" i="28" s="1"/>
  <c r="M22" i="28" s="1"/>
  <c r="M23" i="28" s="1"/>
  <c r="G21" i="28"/>
  <c r="G22" i="28" s="1"/>
  <c r="G23" i="28" s="1"/>
  <c r="F10" i="25"/>
  <c r="F17" i="25"/>
  <c r="E13" i="25"/>
  <c r="D16" i="25"/>
  <c r="D21" i="25"/>
  <c r="E20" i="25"/>
  <c r="F11" i="25"/>
  <c r="K19" i="28"/>
  <c r="J21" i="28"/>
  <c r="J22" i="28" s="1"/>
  <c r="J23" i="28" s="1"/>
  <c r="E15" i="25"/>
  <c r="K65" i="11"/>
  <c r="B24" i="25"/>
  <c r="E19" i="25"/>
  <c r="I17" i="28"/>
  <c r="F22" i="25"/>
  <c r="E7" i="25"/>
  <c r="D15" i="25"/>
  <c r="H6" i="27"/>
  <c r="H5" i="27" s="1"/>
  <c r="G5" i="27"/>
  <c r="E66" i="11"/>
  <c r="E18" i="25"/>
  <c r="D17" i="25"/>
  <c r="F7" i="25"/>
  <c r="E6" i="25"/>
  <c r="D13" i="25"/>
  <c r="D7" i="25"/>
  <c r="E10" i="25"/>
  <c r="D12" i="25"/>
  <c r="F8" i="25"/>
  <c r="F9" i="25"/>
  <c r="F14" i="25"/>
  <c r="F15" i="25"/>
  <c r="E17" i="25"/>
  <c r="E16" i="25"/>
  <c r="E23" i="25"/>
  <c r="D9" i="25"/>
  <c r="D10" i="25"/>
  <c r="E9" i="25"/>
  <c r="D22" i="25"/>
  <c r="D6" i="25"/>
  <c r="D8" i="25"/>
  <c r="G8" i="25" s="1"/>
  <c r="F13" i="25"/>
  <c r="F12" i="25"/>
  <c r="F18" i="25"/>
  <c r="F19" i="25"/>
  <c r="F20" i="25"/>
  <c r="E21" i="25"/>
  <c r="E22" i="25"/>
  <c r="E11" i="25"/>
  <c r="E14" i="25"/>
  <c r="D23" i="25"/>
  <c r="D18" i="25"/>
  <c r="D20" i="25"/>
  <c r="D19" i="25"/>
  <c r="H17" i="11"/>
  <c r="G48" i="13"/>
  <c r="D11" i="25"/>
  <c r="U6" i="11"/>
  <c r="U67" i="11"/>
  <c r="G6" i="25" l="1"/>
  <c r="I16" i="28"/>
  <c r="G21" i="25"/>
  <c r="I11" i="28"/>
  <c r="I15" i="28"/>
  <c r="I12" i="28"/>
  <c r="I10" i="28"/>
  <c r="I14" i="28"/>
  <c r="G11" i="25"/>
  <c r="G15" i="25"/>
  <c r="I9" i="28"/>
  <c r="I13" i="28"/>
  <c r="G16" i="25"/>
  <c r="I17" i="11"/>
  <c r="H48" i="11"/>
  <c r="L8" i="28"/>
  <c r="N8" i="28" s="1"/>
  <c r="L10" i="28"/>
  <c r="L11" i="28"/>
  <c r="L9" i="28"/>
  <c r="N9" i="28" s="1"/>
  <c r="L14" i="28"/>
  <c r="N14" i="28" s="1"/>
  <c r="L15" i="28"/>
  <c r="L17" i="28"/>
  <c r="N17" i="28" s="1"/>
  <c r="L16" i="28"/>
  <c r="N16" i="28" s="1"/>
  <c r="L13" i="28"/>
  <c r="L12" i="28"/>
  <c r="G17" i="25"/>
  <c r="E65" i="11"/>
  <c r="G13" i="25"/>
  <c r="G10" i="25"/>
  <c r="G20" i="25"/>
  <c r="G12" i="25"/>
  <c r="G22" i="25"/>
  <c r="G23" i="25"/>
  <c r="G18" i="25"/>
  <c r="F24" i="25"/>
  <c r="L72" i="11" s="1"/>
  <c r="L73" i="11" s="1"/>
  <c r="L56" i="11" s="1"/>
  <c r="E24" i="25"/>
  <c r="D24" i="25"/>
  <c r="G14" i="25"/>
  <c r="G9" i="25"/>
  <c r="G7" i="25"/>
  <c r="G19" i="25"/>
  <c r="S44" i="11"/>
  <c r="O44" i="11"/>
  <c r="K44" i="11"/>
  <c r="G44" i="11"/>
  <c r="H44" i="11"/>
  <c r="R44" i="11"/>
  <c r="N44" i="11"/>
  <c r="J44" i="11"/>
  <c r="F44" i="11"/>
  <c r="L44" i="11"/>
  <c r="Q44" i="11"/>
  <c r="M44" i="11"/>
  <c r="I44" i="11"/>
  <c r="P44" i="11"/>
  <c r="E44" i="11"/>
  <c r="S41" i="11"/>
  <c r="O41" i="11"/>
  <c r="K41" i="11"/>
  <c r="G41" i="11"/>
  <c r="H41" i="11"/>
  <c r="R41" i="11"/>
  <c r="N41" i="11"/>
  <c r="J41" i="11"/>
  <c r="F41" i="11"/>
  <c r="L41" i="11"/>
  <c r="Q41" i="11"/>
  <c r="M41" i="11"/>
  <c r="I41" i="11"/>
  <c r="P41" i="11"/>
  <c r="E41" i="11"/>
  <c r="E33" i="11"/>
  <c r="R33" i="11"/>
  <c r="N33" i="11"/>
  <c r="J33" i="11"/>
  <c r="F33" i="11"/>
  <c r="L33" i="11"/>
  <c r="S33" i="11"/>
  <c r="K33" i="11"/>
  <c r="Q33" i="11"/>
  <c r="M33" i="11"/>
  <c r="I33" i="11"/>
  <c r="P33" i="11"/>
  <c r="H33" i="11"/>
  <c r="O33" i="11"/>
  <c r="G33" i="11"/>
  <c r="E34" i="23"/>
  <c r="F19" i="23"/>
  <c r="G19" i="23" s="1"/>
  <c r="H19" i="23" s="1"/>
  <c r="F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F14" i="23"/>
  <c r="G14" i="23" s="1"/>
  <c r="H14" i="23" s="1"/>
  <c r="F15" i="23"/>
  <c r="F16" i="23"/>
  <c r="G16" i="23" s="1"/>
  <c r="H16" i="23" s="1"/>
  <c r="F17" i="23"/>
  <c r="F18" i="23"/>
  <c r="G18" i="23" s="1"/>
  <c r="H18" i="23" s="1"/>
  <c r="F10" i="23"/>
  <c r="F11" i="23"/>
  <c r="F12" i="23"/>
  <c r="G12" i="23" s="1"/>
  <c r="F13" i="23"/>
  <c r="G13" i="23" s="1"/>
  <c r="H13" i="23" s="1"/>
  <c r="F9" i="23"/>
  <c r="G9" i="23" s="1"/>
  <c r="U66" i="11"/>
  <c r="U65" i="11"/>
  <c r="N12" i="28" l="1"/>
  <c r="N10" i="28"/>
  <c r="N15" i="28"/>
  <c r="I18" i="28"/>
  <c r="N11" i="28"/>
  <c r="N13" i="28"/>
  <c r="N72" i="11"/>
  <c r="N73" i="11" s="1"/>
  <c r="N56" i="11" s="1"/>
  <c r="R72" i="11"/>
  <c r="R73" i="11" s="1"/>
  <c r="R56" i="11" s="1"/>
  <c r="M72" i="11"/>
  <c r="M73" i="11" s="1"/>
  <c r="M56" i="11" s="1"/>
  <c r="O72" i="11"/>
  <c r="O73" i="11" s="1"/>
  <c r="O56" i="11" s="1"/>
  <c r="S72" i="11"/>
  <c r="S73" i="11" s="1"/>
  <c r="S56" i="11" s="1"/>
  <c r="T72" i="11"/>
  <c r="J72" i="11"/>
  <c r="J73" i="11" s="1"/>
  <c r="J56" i="11" s="1"/>
  <c r="P72" i="11"/>
  <c r="P73" i="11" s="1"/>
  <c r="P56" i="11" s="1"/>
  <c r="Q72" i="11"/>
  <c r="Q73" i="11" s="1"/>
  <c r="Q56" i="11" s="1"/>
  <c r="L18" i="28"/>
  <c r="N18" i="28" s="1"/>
  <c r="J17" i="11"/>
  <c r="I48" i="11"/>
  <c r="E47" i="11"/>
  <c r="G20" i="23"/>
  <c r="H20" i="23" s="1"/>
  <c r="J20" i="23" s="1"/>
  <c r="K20" i="23" s="1"/>
  <c r="E72" i="11"/>
  <c r="E73" i="11" s="1"/>
  <c r="E56" i="11" s="1"/>
  <c r="I72" i="11"/>
  <c r="I73" i="11" s="1"/>
  <c r="I56" i="11" s="1"/>
  <c r="H72" i="11"/>
  <c r="H73" i="11" s="1"/>
  <c r="H56" i="11" s="1"/>
  <c r="U72" i="11"/>
  <c r="U73" i="11" s="1"/>
  <c r="U56" i="11" s="1"/>
  <c r="G72" i="11"/>
  <c r="G73" i="11" s="1"/>
  <c r="G56" i="11" s="1"/>
  <c r="F72" i="11"/>
  <c r="F73" i="11" s="1"/>
  <c r="F56" i="11" s="1"/>
  <c r="K72" i="11"/>
  <c r="K73" i="11" s="1"/>
  <c r="K56" i="11" s="1"/>
  <c r="G24" i="25"/>
  <c r="G10" i="23"/>
  <c r="H10" i="23" s="1"/>
  <c r="J10" i="23" s="1"/>
  <c r="J18" i="23"/>
  <c r="J16" i="23"/>
  <c r="G15" i="23"/>
  <c r="H15" i="23" s="1"/>
  <c r="J15" i="23" s="1"/>
  <c r="F34" i="23"/>
  <c r="G17" i="23"/>
  <c r="H17" i="23" s="1"/>
  <c r="J14" i="23"/>
  <c r="J31" i="23"/>
  <c r="J23" i="23"/>
  <c r="J28" i="23"/>
  <c r="J33" i="23"/>
  <c r="J29" i="23"/>
  <c r="J25" i="23"/>
  <c r="J21" i="23"/>
  <c r="J27" i="23"/>
  <c r="J19" i="23"/>
  <c r="K19" i="23" s="1"/>
  <c r="J32" i="23"/>
  <c r="J24" i="23"/>
  <c r="J17" i="23"/>
  <c r="J30" i="23"/>
  <c r="J26" i="23"/>
  <c r="J22" i="23"/>
  <c r="J13" i="23"/>
  <c r="G11" i="23"/>
  <c r="H11" i="23" s="1"/>
  <c r="H12" i="23"/>
  <c r="H9" i="23"/>
  <c r="BJ21" i="22"/>
  <c r="AU7" i="22"/>
  <c r="AU8" i="22"/>
  <c r="AU9" i="22"/>
  <c r="AU10" i="22"/>
  <c r="AU11" i="22"/>
  <c r="AU12" i="22"/>
  <c r="AU13" i="22"/>
  <c r="AU14" i="22"/>
  <c r="AU15" i="22"/>
  <c r="AU16" i="22"/>
  <c r="AU17" i="22"/>
  <c r="AU18" i="22"/>
  <c r="AU19" i="22"/>
  <c r="AU20" i="22"/>
  <c r="AU21" i="22"/>
  <c r="AU22" i="22"/>
  <c r="AU23" i="22"/>
  <c r="AF7" i="22"/>
  <c r="AF8" i="22"/>
  <c r="AF9" i="22"/>
  <c r="AF10" i="22"/>
  <c r="AF11" i="22"/>
  <c r="AF12" i="22"/>
  <c r="AF13" i="22"/>
  <c r="AF14" i="22"/>
  <c r="AF15" i="22"/>
  <c r="AF16" i="22"/>
  <c r="AF17" i="22"/>
  <c r="AF18" i="22"/>
  <c r="AF19" i="22"/>
  <c r="AF20" i="22"/>
  <c r="AF21" i="22"/>
  <c r="AF22" i="22"/>
  <c r="AF23" i="22"/>
  <c r="Q7" i="22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K4" i="22"/>
  <c r="BJ8" i="22" s="1"/>
  <c r="AV4" i="22"/>
  <c r="AG4" i="22"/>
  <c r="R4" i="22"/>
  <c r="C4" i="22"/>
  <c r="J34" i="23" l="1"/>
  <c r="J38" i="23" s="1"/>
  <c r="J39" i="23" s="1"/>
  <c r="J40" i="23" s="1"/>
  <c r="J41" i="23" s="1"/>
  <c r="K18" i="23"/>
  <c r="K34" i="23" s="1"/>
  <c r="P43" i="11"/>
  <c r="L43" i="11"/>
  <c r="H43" i="11"/>
  <c r="P40" i="11"/>
  <c r="L40" i="11"/>
  <c r="H40" i="11"/>
  <c r="M40" i="11"/>
  <c r="S43" i="11"/>
  <c r="O43" i="11"/>
  <c r="K43" i="11"/>
  <c r="G43" i="11"/>
  <c r="S40" i="11"/>
  <c r="O40" i="11"/>
  <c r="K40" i="11"/>
  <c r="G40" i="11"/>
  <c r="Q40" i="11"/>
  <c r="E40" i="11"/>
  <c r="R43" i="11"/>
  <c r="N43" i="11"/>
  <c r="J43" i="11"/>
  <c r="F43" i="11"/>
  <c r="R40" i="11"/>
  <c r="N40" i="11"/>
  <c r="J40" i="11"/>
  <c r="F40" i="11"/>
  <c r="F39" i="11" s="1"/>
  <c r="M43" i="11"/>
  <c r="I43" i="11"/>
  <c r="E43" i="11"/>
  <c r="I40" i="11"/>
  <c r="Q43" i="11"/>
  <c r="I35" i="11"/>
  <c r="S35" i="11"/>
  <c r="O35" i="11"/>
  <c r="K35" i="11"/>
  <c r="F32" i="11"/>
  <c r="J32" i="11"/>
  <c r="N32" i="11"/>
  <c r="R32" i="11"/>
  <c r="S30" i="11"/>
  <c r="O30" i="11"/>
  <c r="K30" i="11"/>
  <c r="G30" i="11"/>
  <c r="R22" i="11"/>
  <c r="N22" i="11"/>
  <c r="J22" i="11"/>
  <c r="F22" i="11"/>
  <c r="F35" i="11"/>
  <c r="Q32" i="11"/>
  <c r="H30" i="11"/>
  <c r="G24" i="11"/>
  <c r="O22" i="11"/>
  <c r="H35" i="11"/>
  <c r="R35" i="11"/>
  <c r="N35" i="11"/>
  <c r="J35" i="11"/>
  <c r="G32" i="11"/>
  <c r="K32" i="11"/>
  <c r="O32" i="11"/>
  <c r="S32" i="11"/>
  <c r="R30" i="11"/>
  <c r="N30" i="11"/>
  <c r="J30" i="11"/>
  <c r="F30" i="11"/>
  <c r="H24" i="11"/>
  <c r="F24" i="11"/>
  <c r="Q22" i="11"/>
  <c r="M22" i="11"/>
  <c r="I22" i="11"/>
  <c r="L35" i="11"/>
  <c r="M32" i="11"/>
  <c r="L30" i="11"/>
  <c r="S22" i="11"/>
  <c r="G22" i="11"/>
  <c r="G35" i="11"/>
  <c r="Q35" i="11"/>
  <c r="M35" i="11"/>
  <c r="H32" i="11"/>
  <c r="L32" i="11"/>
  <c r="P32" i="11"/>
  <c r="E32" i="11"/>
  <c r="Q30" i="11"/>
  <c r="M30" i="11"/>
  <c r="I30" i="11"/>
  <c r="E30" i="11"/>
  <c r="P22" i="11"/>
  <c r="L22" i="11"/>
  <c r="H22" i="11"/>
  <c r="P35" i="11"/>
  <c r="I32" i="11"/>
  <c r="P30" i="11"/>
  <c r="I24" i="11"/>
  <c r="K22" i="11"/>
  <c r="BJ17" i="22"/>
  <c r="R29" i="11"/>
  <c r="N29" i="11"/>
  <c r="J29" i="11"/>
  <c r="F29" i="11"/>
  <c r="K29" i="11"/>
  <c r="Q29" i="11"/>
  <c r="M29" i="11"/>
  <c r="I29" i="11"/>
  <c r="E29" i="11"/>
  <c r="O29" i="11"/>
  <c r="G29" i="11"/>
  <c r="P29" i="11"/>
  <c r="L29" i="11"/>
  <c r="H29" i="11"/>
  <c r="S29" i="11"/>
  <c r="K27" i="11"/>
  <c r="BJ13" i="22"/>
  <c r="K17" i="11"/>
  <c r="J48" i="11"/>
  <c r="BJ9" i="22"/>
  <c r="S37" i="11"/>
  <c r="O37" i="11"/>
  <c r="K37" i="11"/>
  <c r="G37" i="11"/>
  <c r="P21" i="11"/>
  <c r="L21" i="11"/>
  <c r="H21" i="11"/>
  <c r="S20" i="11"/>
  <c r="O20" i="11"/>
  <c r="K20" i="11"/>
  <c r="G20" i="11"/>
  <c r="R19" i="11"/>
  <c r="N19" i="11"/>
  <c r="J19" i="11"/>
  <c r="F19" i="11"/>
  <c r="L37" i="11"/>
  <c r="E34" i="11"/>
  <c r="Q21" i="11"/>
  <c r="E21" i="11"/>
  <c r="H20" i="11"/>
  <c r="K19" i="11"/>
  <c r="R37" i="11"/>
  <c r="N37" i="11"/>
  <c r="J37" i="11"/>
  <c r="F37" i="11"/>
  <c r="S21" i="11"/>
  <c r="O21" i="11"/>
  <c r="K21" i="11"/>
  <c r="G21" i="11"/>
  <c r="R20" i="11"/>
  <c r="N20" i="11"/>
  <c r="J20" i="11"/>
  <c r="F20" i="11"/>
  <c r="Q19" i="11"/>
  <c r="M19" i="11"/>
  <c r="I19" i="11"/>
  <c r="E19" i="11"/>
  <c r="H37" i="11"/>
  <c r="I21" i="11"/>
  <c r="L20" i="11"/>
  <c r="O19" i="11"/>
  <c r="Q37" i="11"/>
  <c r="M37" i="11"/>
  <c r="I37" i="11"/>
  <c r="E37" i="11"/>
  <c r="R21" i="11"/>
  <c r="N21" i="11"/>
  <c r="J21" i="11"/>
  <c r="F21" i="11"/>
  <c r="Q20" i="11"/>
  <c r="M20" i="11"/>
  <c r="I20" i="11"/>
  <c r="E20" i="11"/>
  <c r="P19" i="11"/>
  <c r="L19" i="11"/>
  <c r="H19" i="11"/>
  <c r="P37" i="11"/>
  <c r="M21" i="11"/>
  <c r="P20" i="11"/>
  <c r="S19" i="11"/>
  <c r="G19" i="11"/>
  <c r="I25" i="11"/>
  <c r="I47" i="11" s="1"/>
  <c r="F25" i="11"/>
  <c r="F47" i="11" s="1"/>
  <c r="BJ23" i="22"/>
  <c r="BJ19" i="22"/>
  <c r="BJ15" i="22"/>
  <c r="BJ11" i="22"/>
  <c r="BJ7" i="22"/>
  <c r="N28" i="11" s="1"/>
  <c r="N47" i="11" s="1"/>
  <c r="K28" i="11"/>
  <c r="K47" i="11" s="1"/>
  <c r="S28" i="11"/>
  <c r="S47" i="11" s="1"/>
  <c r="BJ22" i="22"/>
  <c r="BJ18" i="22"/>
  <c r="BJ14" i="22"/>
  <c r="BJ10" i="22"/>
  <c r="H25" i="11"/>
  <c r="L28" i="11"/>
  <c r="L47" i="11" s="1"/>
  <c r="P28" i="11"/>
  <c r="P47" i="11" s="1"/>
  <c r="BJ20" i="22"/>
  <c r="BJ16" i="22"/>
  <c r="BJ12" i="22"/>
  <c r="J28" i="11"/>
  <c r="J47" i="11" s="1"/>
  <c r="R28" i="11"/>
  <c r="R47" i="11" s="1"/>
  <c r="J9" i="23"/>
  <c r="S36" i="11"/>
  <c r="O36" i="11"/>
  <c r="K36" i="11"/>
  <c r="G36" i="11"/>
  <c r="R34" i="11"/>
  <c r="N34" i="11"/>
  <c r="J34" i="11"/>
  <c r="F34" i="11"/>
  <c r="G34" i="11"/>
  <c r="R36" i="11"/>
  <c r="N36" i="11"/>
  <c r="J36" i="11"/>
  <c r="F36" i="11"/>
  <c r="Q34" i="11"/>
  <c r="M34" i="11"/>
  <c r="I34" i="11"/>
  <c r="E36" i="11"/>
  <c r="L36" i="11"/>
  <c r="S34" i="11"/>
  <c r="K34" i="11"/>
  <c r="Q36" i="11"/>
  <c r="M36" i="11"/>
  <c r="I36" i="11"/>
  <c r="P34" i="11"/>
  <c r="L34" i="11"/>
  <c r="H34" i="11"/>
  <c r="P36" i="11"/>
  <c r="H36" i="11"/>
  <c r="O34" i="11"/>
  <c r="J27" i="11"/>
  <c r="P27" i="11"/>
  <c r="L27" i="11"/>
  <c r="Q27" i="11"/>
  <c r="S27" i="11"/>
  <c r="O27" i="11"/>
  <c r="R27" i="11"/>
  <c r="N27" i="11"/>
  <c r="M27" i="11"/>
  <c r="J12" i="23"/>
  <c r="J11" i="23"/>
  <c r="I34" i="23"/>
  <c r="G34" i="23"/>
  <c r="H34" i="23"/>
  <c r="O63" i="14"/>
  <c r="O62" i="14"/>
  <c r="O61" i="14"/>
  <c r="N60" i="14"/>
  <c r="O60" i="14" s="1"/>
  <c r="O59" i="14"/>
  <c r="O58" i="14"/>
  <c r="O57" i="14"/>
  <c r="N56" i="14"/>
  <c r="O56" i="14" s="1"/>
  <c r="O55" i="14"/>
  <c r="O54" i="14"/>
  <c r="O53" i="14"/>
  <c r="N52" i="14"/>
  <c r="O52" i="14" s="1"/>
  <c r="O51" i="14"/>
  <c r="O50" i="14"/>
  <c r="O49" i="14"/>
  <c r="N48" i="14"/>
  <c r="O48" i="14" s="1"/>
  <c r="O47" i="14"/>
  <c r="O46" i="14"/>
  <c r="O45" i="14"/>
  <c r="N44" i="14"/>
  <c r="O44" i="14" s="1"/>
  <c r="O43" i="14"/>
  <c r="O42" i="14"/>
  <c r="O41" i="14"/>
  <c r="O40" i="14"/>
  <c r="N40" i="14"/>
  <c r="O39" i="14"/>
  <c r="O38" i="14"/>
  <c r="O37" i="14"/>
  <c r="N36" i="14"/>
  <c r="O36" i="14" s="1"/>
  <c r="O35" i="14"/>
  <c r="O34" i="14"/>
  <c r="O33" i="14"/>
  <c r="N32" i="14"/>
  <c r="O32" i="14" s="1"/>
  <c r="O31" i="14"/>
  <c r="O30" i="14"/>
  <c r="O29" i="14"/>
  <c r="N28" i="14"/>
  <c r="O28" i="14" s="1"/>
  <c r="O27" i="14"/>
  <c r="O26" i="14"/>
  <c r="O25" i="14"/>
  <c r="N24" i="14"/>
  <c r="O24" i="14" s="1"/>
  <c r="O23" i="14"/>
  <c r="O22" i="14"/>
  <c r="O21" i="14"/>
  <c r="N20" i="14"/>
  <c r="O20" i="14" s="1"/>
  <c r="O19" i="14"/>
  <c r="O18" i="14"/>
  <c r="O17" i="14"/>
  <c r="N16" i="14"/>
  <c r="O16" i="14" s="1"/>
  <c r="O15" i="14"/>
  <c r="O14" i="14"/>
  <c r="O13" i="14"/>
  <c r="N12" i="14"/>
  <c r="O12" i="14" s="1"/>
  <c r="O11" i="14"/>
  <c r="O10" i="14"/>
  <c r="O9" i="14"/>
  <c r="N8" i="14"/>
  <c r="O8" i="14" s="1"/>
  <c r="O7" i="14"/>
  <c r="O6" i="14"/>
  <c r="O5" i="14"/>
  <c r="N4" i="14"/>
  <c r="O4" i="14" s="1"/>
  <c r="L63" i="14"/>
  <c r="L62" i="14"/>
  <c r="L61" i="14"/>
  <c r="K60" i="14"/>
  <c r="L60" i="14" s="1"/>
  <c r="L59" i="14"/>
  <c r="L58" i="14"/>
  <c r="L57" i="14"/>
  <c r="K56" i="14"/>
  <c r="L56" i="14" s="1"/>
  <c r="L55" i="14"/>
  <c r="L54" i="14"/>
  <c r="L53" i="14"/>
  <c r="K52" i="14"/>
  <c r="L52" i="14" s="1"/>
  <c r="L51" i="14"/>
  <c r="L50" i="14"/>
  <c r="L49" i="14"/>
  <c r="K48" i="14"/>
  <c r="L48" i="14" s="1"/>
  <c r="L47" i="14"/>
  <c r="L46" i="14"/>
  <c r="L45" i="14"/>
  <c r="K44" i="14"/>
  <c r="L44" i="14" s="1"/>
  <c r="L43" i="14"/>
  <c r="L42" i="14"/>
  <c r="L41" i="14"/>
  <c r="L40" i="14"/>
  <c r="K40" i="14"/>
  <c r="L39" i="14"/>
  <c r="L38" i="14"/>
  <c r="L37" i="14"/>
  <c r="K36" i="14"/>
  <c r="L36" i="14" s="1"/>
  <c r="L35" i="14"/>
  <c r="L34" i="14"/>
  <c r="L33" i="14"/>
  <c r="K32" i="14"/>
  <c r="L32" i="14" s="1"/>
  <c r="L31" i="14"/>
  <c r="L30" i="14"/>
  <c r="L29" i="14"/>
  <c r="K28" i="14"/>
  <c r="L28" i="14" s="1"/>
  <c r="L27" i="14"/>
  <c r="L26" i="14"/>
  <c r="L25" i="14"/>
  <c r="K24" i="14"/>
  <c r="L24" i="14" s="1"/>
  <c r="L23" i="14"/>
  <c r="L22" i="14"/>
  <c r="L21" i="14"/>
  <c r="K20" i="14"/>
  <c r="L20" i="14" s="1"/>
  <c r="L19" i="14"/>
  <c r="L18" i="14"/>
  <c r="L17" i="14"/>
  <c r="K16" i="14"/>
  <c r="L16" i="14" s="1"/>
  <c r="L15" i="14"/>
  <c r="L14" i="14"/>
  <c r="L13" i="14"/>
  <c r="K12" i="14"/>
  <c r="L12" i="14" s="1"/>
  <c r="L11" i="14"/>
  <c r="L10" i="14"/>
  <c r="L9" i="14"/>
  <c r="K8" i="14"/>
  <c r="L8" i="14" s="1"/>
  <c r="L7" i="14"/>
  <c r="L6" i="14"/>
  <c r="L5" i="14"/>
  <c r="K4" i="14"/>
  <c r="L4" i="14" s="1"/>
  <c r="I63" i="14"/>
  <c r="I62" i="14"/>
  <c r="I61" i="14"/>
  <c r="H60" i="14"/>
  <c r="I60" i="14" s="1"/>
  <c r="I59" i="14"/>
  <c r="I58" i="14"/>
  <c r="I57" i="14"/>
  <c r="I56" i="14"/>
  <c r="H56" i="14"/>
  <c r="I55" i="14"/>
  <c r="I54" i="14"/>
  <c r="I53" i="14"/>
  <c r="H52" i="14"/>
  <c r="I52" i="14" s="1"/>
  <c r="I51" i="14"/>
  <c r="I50" i="14"/>
  <c r="I49" i="14"/>
  <c r="H48" i="14"/>
  <c r="I48" i="14" s="1"/>
  <c r="I47" i="14"/>
  <c r="I46" i="14"/>
  <c r="I45" i="14"/>
  <c r="H44" i="14"/>
  <c r="I44" i="14" s="1"/>
  <c r="I43" i="14"/>
  <c r="I42" i="14"/>
  <c r="I41" i="14"/>
  <c r="H40" i="14"/>
  <c r="I40" i="14" s="1"/>
  <c r="I39" i="14"/>
  <c r="I38" i="14"/>
  <c r="I37" i="14"/>
  <c r="H36" i="14"/>
  <c r="I36" i="14" s="1"/>
  <c r="I35" i="14"/>
  <c r="I34" i="14"/>
  <c r="I33" i="14"/>
  <c r="H32" i="14"/>
  <c r="I32" i="14" s="1"/>
  <c r="I31" i="14"/>
  <c r="I30" i="14"/>
  <c r="I29" i="14"/>
  <c r="H28" i="14"/>
  <c r="I28" i="14" s="1"/>
  <c r="I27" i="14"/>
  <c r="I26" i="14"/>
  <c r="I25" i="14"/>
  <c r="H24" i="14"/>
  <c r="I24" i="14" s="1"/>
  <c r="I23" i="14"/>
  <c r="I22" i="14"/>
  <c r="I21" i="14"/>
  <c r="H20" i="14"/>
  <c r="I20" i="14" s="1"/>
  <c r="I19" i="14"/>
  <c r="I18" i="14"/>
  <c r="I17" i="14"/>
  <c r="H16" i="14"/>
  <c r="I16" i="14" s="1"/>
  <c r="I15" i="14"/>
  <c r="I14" i="14"/>
  <c r="I13" i="14"/>
  <c r="H12" i="14"/>
  <c r="I12" i="14" s="1"/>
  <c r="I11" i="14"/>
  <c r="I10" i="14"/>
  <c r="I9" i="14"/>
  <c r="H8" i="14"/>
  <c r="I8" i="14" s="1"/>
  <c r="I7" i="14"/>
  <c r="I6" i="14"/>
  <c r="I5" i="14"/>
  <c r="H4" i="14"/>
  <c r="I4" i="14" s="1"/>
  <c r="O28" i="11" l="1"/>
  <c r="O47" i="11" s="1"/>
  <c r="S15" i="11"/>
  <c r="O15" i="11"/>
  <c r="K15" i="11"/>
  <c r="E15" i="11"/>
  <c r="H14" i="11"/>
  <c r="L14" i="11"/>
  <c r="P14" i="11"/>
  <c r="E14" i="11"/>
  <c r="P13" i="11"/>
  <c r="L13" i="11"/>
  <c r="H13" i="11"/>
  <c r="G13" i="11"/>
  <c r="P15" i="11"/>
  <c r="G14" i="11"/>
  <c r="S14" i="11"/>
  <c r="T14" i="11" s="1"/>
  <c r="I13" i="11"/>
  <c r="R15" i="11"/>
  <c r="N15" i="11"/>
  <c r="J15" i="11"/>
  <c r="I14" i="11"/>
  <c r="M14" i="11"/>
  <c r="Q14" i="11"/>
  <c r="S13" i="11"/>
  <c r="O13" i="11"/>
  <c r="K13" i="11"/>
  <c r="F15" i="11"/>
  <c r="H15" i="11"/>
  <c r="O14" i="11"/>
  <c r="M13" i="11"/>
  <c r="G15" i="11"/>
  <c r="Q15" i="11"/>
  <c r="M15" i="11"/>
  <c r="I15" i="11"/>
  <c r="F14" i="11"/>
  <c r="J14" i="11"/>
  <c r="N14" i="11"/>
  <c r="R14" i="11"/>
  <c r="R13" i="11"/>
  <c r="N13" i="11"/>
  <c r="J13" i="11"/>
  <c r="F13" i="11"/>
  <c r="L15" i="11"/>
  <c r="K14" i="11"/>
  <c r="Q13" i="11"/>
  <c r="E13" i="11"/>
  <c r="U35" i="11"/>
  <c r="L17" i="11"/>
  <c r="K48" i="11"/>
  <c r="H47" i="11"/>
  <c r="H23" i="11"/>
  <c r="M28" i="11"/>
  <c r="M47" i="11" s="1"/>
  <c r="Q28" i="11"/>
  <c r="Q47" i="11" s="1"/>
  <c r="G25" i="11"/>
  <c r="G47" i="11" s="1"/>
  <c r="J37" i="13"/>
  <c r="D32" i="19" s="1"/>
  <c r="E32" i="19" s="1"/>
  <c r="F32" i="19" s="1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R29" i="19"/>
  <c r="Q29" i="19"/>
  <c r="P29" i="19"/>
  <c r="O29" i="19"/>
  <c r="O28" i="19" s="1"/>
  <c r="O27" i="19" s="1"/>
  <c r="N29" i="19"/>
  <c r="M29" i="19"/>
  <c r="L29" i="19"/>
  <c r="K29" i="19"/>
  <c r="J29" i="19"/>
  <c r="I29" i="19"/>
  <c r="H29" i="19"/>
  <c r="G29" i="19"/>
  <c r="F29" i="19"/>
  <c r="E29" i="19"/>
  <c r="E29" i="18"/>
  <c r="F29" i="18" s="1"/>
  <c r="G29" i="18" s="1"/>
  <c r="B47" i="19"/>
  <c r="B48" i="19"/>
  <c r="B49" i="19" s="1"/>
  <c r="B50" i="19" s="1"/>
  <c r="B51" i="19" s="1"/>
  <c r="F63" i="14"/>
  <c r="E30" i="19" s="1"/>
  <c r="T30" i="19"/>
  <c r="F30" i="18"/>
  <c r="G30" i="18"/>
  <c r="H30" i="18"/>
  <c r="I30" i="18"/>
  <c r="J30" i="18" s="1"/>
  <c r="T29" i="18"/>
  <c r="I17" i="18"/>
  <c r="T17" i="18"/>
  <c r="D11" i="18"/>
  <c r="E11" i="18" s="1"/>
  <c r="D12" i="18"/>
  <c r="E12" i="18" s="1"/>
  <c r="F12" i="18" s="1"/>
  <c r="G12" i="18" s="1"/>
  <c r="H12" i="18" s="1"/>
  <c r="I12" i="18" s="1"/>
  <c r="J12" i="18" s="1"/>
  <c r="K12" i="18" s="1"/>
  <c r="L12" i="18" s="1"/>
  <c r="M12" i="18" s="1"/>
  <c r="N12" i="18" s="1"/>
  <c r="O12" i="18" s="1"/>
  <c r="P12" i="18" s="1"/>
  <c r="Q12" i="18" s="1"/>
  <c r="R12" i="18" s="1"/>
  <c r="S12" i="18" s="1"/>
  <c r="D13" i="18"/>
  <c r="E13" i="18" s="1"/>
  <c r="F13" i="18" s="1"/>
  <c r="G13" i="18" s="1"/>
  <c r="H13" i="18" s="1"/>
  <c r="I13" i="18" s="1"/>
  <c r="J13" i="18" s="1"/>
  <c r="K13" i="18" s="1"/>
  <c r="L13" i="18" s="1"/>
  <c r="M13" i="18" s="1"/>
  <c r="N13" i="18" s="1"/>
  <c r="O13" i="18" s="1"/>
  <c r="P13" i="18" s="1"/>
  <c r="Q13" i="18" s="1"/>
  <c r="R13" i="18" s="1"/>
  <c r="S13" i="18" s="1"/>
  <c r="E15" i="18"/>
  <c r="F15" i="18" s="1"/>
  <c r="G15" i="18" s="1"/>
  <c r="H15" i="18" s="1"/>
  <c r="I15" i="18" s="1"/>
  <c r="J15" i="18" s="1"/>
  <c r="K15" i="18" s="1"/>
  <c r="L15" i="18" s="1"/>
  <c r="M15" i="18" s="1"/>
  <c r="N15" i="18" s="1"/>
  <c r="O15" i="18" s="1"/>
  <c r="P15" i="18" s="1"/>
  <c r="Q15" i="18" s="1"/>
  <c r="R15" i="18" s="1"/>
  <c r="S15" i="18" s="1"/>
  <c r="D19" i="18"/>
  <c r="E19" i="18" s="1"/>
  <c r="F19" i="18" s="1"/>
  <c r="G19" i="18" s="1"/>
  <c r="H19" i="18" s="1"/>
  <c r="I19" i="18" s="1"/>
  <c r="J19" i="18" s="1"/>
  <c r="K19" i="18" s="1"/>
  <c r="L19" i="18" s="1"/>
  <c r="M19" i="18" s="1"/>
  <c r="N19" i="18" s="1"/>
  <c r="O19" i="18" s="1"/>
  <c r="P19" i="18" s="1"/>
  <c r="Q19" i="18" s="1"/>
  <c r="R19" i="18" s="1"/>
  <c r="S19" i="18" s="1"/>
  <c r="D20" i="18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D22" i="18"/>
  <c r="E22" i="18" s="1"/>
  <c r="E23" i="18"/>
  <c r="F23" i="18"/>
  <c r="G23" i="18" s="1"/>
  <c r="H23" i="18" s="1"/>
  <c r="I23" i="18" s="1"/>
  <c r="J23" i="18" s="1"/>
  <c r="K23" i="18" s="1"/>
  <c r="L23" i="18" s="1"/>
  <c r="M23" i="18" s="1"/>
  <c r="N23" i="18" s="1"/>
  <c r="O23" i="18" s="1"/>
  <c r="P23" i="18" s="1"/>
  <c r="Q23" i="18" s="1"/>
  <c r="R23" i="18" s="1"/>
  <c r="S23" i="18" s="1"/>
  <c r="D24" i="18"/>
  <c r="E24" i="18" s="1"/>
  <c r="F24" i="18" s="1"/>
  <c r="G24" i="18" s="1"/>
  <c r="H24" i="18" s="1"/>
  <c r="I24" i="18" s="1"/>
  <c r="J24" i="18" s="1"/>
  <c r="K24" i="18" s="1"/>
  <c r="L24" i="18" s="1"/>
  <c r="M24" i="18" s="1"/>
  <c r="N24" i="18" s="1"/>
  <c r="O24" i="18" s="1"/>
  <c r="P24" i="18" s="1"/>
  <c r="Q24" i="18" s="1"/>
  <c r="R24" i="18" s="1"/>
  <c r="S24" i="18" s="1"/>
  <c r="D25" i="18"/>
  <c r="E25" i="18" s="1"/>
  <c r="F25" i="18" s="1"/>
  <c r="G25" i="18" s="1"/>
  <c r="H25" i="18" s="1"/>
  <c r="I25" i="18" s="1"/>
  <c r="J25" i="18" s="1"/>
  <c r="K25" i="18" s="1"/>
  <c r="L25" i="18" s="1"/>
  <c r="M25" i="18" s="1"/>
  <c r="N25" i="18" s="1"/>
  <c r="O25" i="18" s="1"/>
  <c r="P25" i="18" s="1"/>
  <c r="Q25" i="18" s="1"/>
  <c r="R25" i="18" s="1"/>
  <c r="S25" i="18" s="1"/>
  <c r="D26" i="18"/>
  <c r="E26" i="18" s="1"/>
  <c r="F26" i="18" s="1"/>
  <c r="G26" i="18" s="1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D14" i="18"/>
  <c r="E14" i="18" s="1"/>
  <c r="F14" i="18" s="1"/>
  <c r="G14" i="18" s="1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E60" i="14"/>
  <c r="F60" i="14" s="1"/>
  <c r="E30" i="18" s="1"/>
  <c r="T30" i="18"/>
  <c r="F62" i="14"/>
  <c r="F61" i="14"/>
  <c r="B45" i="18"/>
  <c r="E15" i="19"/>
  <c r="F15" i="19" s="1"/>
  <c r="G15" i="19" s="1"/>
  <c r="H15" i="19" s="1"/>
  <c r="I15" i="19" s="1"/>
  <c r="J15" i="19" s="1"/>
  <c r="K15" i="19" s="1"/>
  <c r="L15" i="19" s="1"/>
  <c r="M15" i="19" s="1"/>
  <c r="N15" i="19" s="1"/>
  <c r="O15" i="19" s="1"/>
  <c r="P15" i="19" s="1"/>
  <c r="Q15" i="19" s="1"/>
  <c r="R15" i="19" s="1"/>
  <c r="S15" i="19" s="1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T52" i="19" s="1"/>
  <c r="T51" i="19"/>
  <c r="T50" i="19"/>
  <c r="T49" i="19"/>
  <c r="T48" i="19"/>
  <c r="T47" i="19"/>
  <c r="T46" i="19"/>
  <c r="E43" i="19"/>
  <c r="F43" i="19" s="1"/>
  <c r="T43" i="19"/>
  <c r="U43" i="19" s="1"/>
  <c r="D42" i="19"/>
  <c r="D41" i="19" s="1"/>
  <c r="T41" i="19" s="1"/>
  <c r="E40" i="19"/>
  <c r="F40" i="19"/>
  <c r="G40" i="19" s="1"/>
  <c r="H40" i="19" s="1"/>
  <c r="I40" i="19" s="1"/>
  <c r="J40" i="19" s="1"/>
  <c r="K40" i="19" s="1"/>
  <c r="D39" i="19"/>
  <c r="E39" i="19" s="1"/>
  <c r="F39" i="19" s="1"/>
  <c r="G39" i="19" s="1"/>
  <c r="H39" i="19" s="1"/>
  <c r="E36" i="19"/>
  <c r="F36" i="19" s="1"/>
  <c r="G36" i="19" s="1"/>
  <c r="H36" i="19" s="1"/>
  <c r="I36" i="19" s="1"/>
  <c r="J36" i="19" s="1"/>
  <c r="K36" i="19" s="1"/>
  <c r="L36" i="19" s="1"/>
  <c r="M36" i="19" s="1"/>
  <c r="N36" i="19" s="1"/>
  <c r="O36" i="19" s="1"/>
  <c r="P36" i="19" s="1"/>
  <c r="Q36" i="19" s="1"/>
  <c r="R36" i="19" s="1"/>
  <c r="S36" i="19" s="1"/>
  <c r="D35" i="19"/>
  <c r="E35" i="19" s="1"/>
  <c r="D34" i="19"/>
  <c r="E34" i="19" s="1"/>
  <c r="F34" i="19" s="1"/>
  <c r="D26" i="19"/>
  <c r="E26" i="19" s="1"/>
  <c r="F26" i="19" s="1"/>
  <c r="G26" i="19" s="1"/>
  <c r="H26" i="19" s="1"/>
  <c r="I26" i="19" s="1"/>
  <c r="J26" i="19" s="1"/>
  <c r="K26" i="19" s="1"/>
  <c r="L26" i="19" s="1"/>
  <c r="M26" i="19" s="1"/>
  <c r="N26" i="19" s="1"/>
  <c r="O26" i="19" s="1"/>
  <c r="P26" i="19" s="1"/>
  <c r="Q26" i="19" s="1"/>
  <c r="R26" i="19" s="1"/>
  <c r="S26" i="19" s="1"/>
  <c r="D25" i="19"/>
  <c r="E25" i="19" s="1"/>
  <c r="F25" i="19" s="1"/>
  <c r="G25" i="19" s="1"/>
  <c r="H25" i="19" s="1"/>
  <c r="I25" i="19" s="1"/>
  <c r="J25" i="19" s="1"/>
  <c r="K25" i="19" s="1"/>
  <c r="L25" i="19" s="1"/>
  <c r="M25" i="19" s="1"/>
  <c r="N25" i="19" s="1"/>
  <c r="O25" i="19" s="1"/>
  <c r="P25" i="19" s="1"/>
  <c r="Q25" i="19" s="1"/>
  <c r="R25" i="19" s="1"/>
  <c r="S25" i="19" s="1"/>
  <c r="D24" i="19"/>
  <c r="E24" i="19" s="1"/>
  <c r="F24" i="19" s="1"/>
  <c r="G24" i="19" s="1"/>
  <c r="H24" i="19" s="1"/>
  <c r="I24" i="19" s="1"/>
  <c r="J24" i="19" s="1"/>
  <c r="K24" i="19" s="1"/>
  <c r="L24" i="19" s="1"/>
  <c r="M24" i="19" s="1"/>
  <c r="N24" i="19" s="1"/>
  <c r="O24" i="19" s="1"/>
  <c r="P24" i="19" s="1"/>
  <c r="Q24" i="19" s="1"/>
  <c r="R24" i="19" s="1"/>
  <c r="S24" i="19" s="1"/>
  <c r="E23" i="19"/>
  <c r="F23" i="19" s="1"/>
  <c r="G23" i="19" s="1"/>
  <c r="H23" i="19" s="1"/>
  <c r="I23" i="19" s="1"/>
  <c r="J23" i="19" s="1"/>
  <c r="K23" i="19" s="1"/>
  <c r="L23" i="19" s="1"/>
  <c r="M23" i="19" s="1"/>
  <c r="N23" i="19" s="1"/>
  <c r="O23" i="19" s="1"/>
  <c r="P23" i="19" s="1"/>
  <c r="Q23" i="19" s="1"/>
  <c r="R23" i="19" s="1"/>
  <c r="S23" i="19" s="1"/>
  <c r="D22" i="19"/>
  <c r="E22" i="19" s="1"/>
  <c r="F22" i="19" s="1"/>
  <c r="D20" i="19"/>
  <c r="E20" i="19" s="1"/>
  <c r="F20" i="19" s="1"/>
  <c r="G20" i="19" s="1"/>
  <c r="H20" i="19" s="1"/>
  <c r="I20" i="19" s="1"/>
  <c r="J20" i="19" s="1"/>
  <c r="K20" i="19" s="1"/>
  <c r="L20" i="19" s="1"/>
  <c r="M20" i="19" s="1"/>
  <c r="N20" i="19" s="1"/>
  <c r="O20" i="19" s="1"/>
  <c r="P20" i="19" s="1"/>
  <c r="Q20" i="19" s="1"/>
  <c r="R20" i="19" s="1"/>
  <c r="S20" i="19" s="1"/>
  <c r="D19" i="19"/>
  <c r="E19" i="19" s="1"/>
  <c r="F19" i="19" s="1"/>
  <c r="G19" i="19" s="1"/>
  <c r="H19" i="19" s="1"/>
  <c r="I19" i="19" s="1"/>
  <c r="J19" i="19" s="1"/>
  <c r="K19" i="19" s="1"/>
  <c r="L19" i="19" s="1"/>
  <c r="M19" i="19" s="1"/>
  <c r="N19" i="19" s="1"/>
  <c r="O19" i="19" s="1"/>
  <c r="P19" i="19" s="1"/>
  <c r="Q19" i="19" s="1"/>
  <c r="R19" i="19" s="1"/>
  <c r="S19" i="19" s="1"/>
  <c r="U18" i="19"/>
  <c r="T18" i="19"/>
  <c r="U17" i="19"/>
  <c r="T17" i="19"/>
  <c r="T16" i="19" s="1"/>
  <c r="R17" i="19"/>
  <c r="Q17" i="19"/>
  <c r="P17" i="19"/>
  <c r="O17" i="19"/>
  <c r="N17" i="19"/>
  <c r="M17" i="19"/>
  <c r="L17" i="19"/>
  <c r="K17" i="19"/>
  <c r="J17" i="19"/>
  <c r="I17" i="19"/>
  <c r="U16" i="19"/>
  <c r="S16" i="19"/>
  <c r="T15" i="19"/>
  <c r="U15" i="19" s="1"/>
  <c r="D14" i="19"/>
  <c r="E14" i="19" s="1"/>
  <c r="F14" i="19" s="1"/>
  <c r="G14" i="19" s="1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R14" i="19" s="1"/>
  <c r="S14" i="19" s="1"/>
  <c r="D13" i="19"/>
  <c r="E13" i="19" s="1"/>
  <c r="F13" i="19" s="1"/>
  <c r="G13" i="19" s="1"/>
  <c r="H13" i="19" s="1"/>
  <c r="I13" i="19" s="1"/>
  <c r="J13" i="19" s="1"/>
  <c r="K13" i="19" s="1"/>
  <c r="L13" i="19" s="1"/>
  <c r="M13" i="19" s="1"/>
  <c r="N13" i="19" s="1"/>
  <c r="O13" i="19" s="1"/>
  <c r="P13" i="19" s="1"/>
  <c r="Q13" i="19" s="1"/>
  <c r="R13" i="19" s="1"/>
  <c r="S13" i="19" s="1"/>
  <c r="D12" i="19"/>
  <c r="E12" i="19" s="1"/>
  <c r="F12" i="19" s="1"/>
  <c r="G12" i="19" s="1"/>
  <c r="H12" i="19" s="1"/>
  <c r="I12" i="19" s="1"/>
  <c r="J12" i="19" s="1"/>
  <c r="K12" i="19" s="1"/>
  <c r="L12" i="19" s="1"/>
  <c r="M12" i="19" s="1"/>
  <c r="N12" i="19" s="1"/>
  <c r="O12" i="19" s="1"/>
  <c r="P12" i="19" s="1"/>
  <c r="Q12" i="19" s="1"/>
  <c r="R12" i="19" s="1"/>
  <c r="S12" i="19" s="1"/>
  <c r="D11" i="19"/>
  <c r="E11" i="19" s="1"/>
  <c r="F11" i="19" s="1"/>
  <c r="U10" i="19"/>
  <c r="E50" i="18"/>
  <c r="I50" i="18"/>
  <c r="T45" i="18"/>
  <c r="T49" i="18"/>
  <c r="T48" i="18"/>
  <c r="T47" i="18"/>
  <c r="T46" i="18"/>
  <c r="T44" i="18"/>
  <c r="U51" i="11"/>
  <c r="U52" i="11"/>
  <c r="U53" i="11"/>
  <c r="U54" i="11"/>
  <c r="U55" i="11"/>
  <c r="U50" i="11"/>
  <c r="T33" i="11"/>
  <c r="E31" i="11"/>
  <c r="E18" i="11" s="1"/>
  <c r="T23" i="18"/>
  <c r="S50" i="18"/>
  <c r="R50" i="18"/>
  <c r="Q50" i="18"/>
  <c r="P50" i="18"/>
  <c r="O50" i="18"/>
  <c r="N50" i="18"/>
  <c r="M50" i="18"/>
  <c r="L50" i="18"/>
  <c r="K50" i="18"/>
  <c r="J50" i="18"/>
  <c r="H50" i="18"/>
  <c r="G50" i="18"/>
  <c r="F50" i="18"/>
  <c r="D50" i="18"/>
  <c r="T50" i="18" s="1"/>
  <c r="E41" i="18"/>
  <c r="F41" i="18"/>
  <c r="H41" i="18" s="1"/>
  <c r="I41" i="18" s="1"/>
  <c r="J41" i="18" s="1"/>
  <c r="K41" i="18" s="1"/>
  <c r="D40" i="18"/>
  <c r="E40" i="18" s="1"/>
  <c r="E38" i="18"/>
  <c r="F38" i="18" s="1"/>
  <c r="G38" i="18" s="1"/>
  <c r="H38" i="18" s="1"/>
  <c r="I38" i="18" s="1"/>
  <c r="J38" i="18" s="1"/>
  <c r="K38" i="18" s="1"/>
  <c r="D37" i="18"/>
  <c r="D36" i="18" s="1"/>
  <c r="T36" i="18" s="1"/>
  <c r="U17" i="18"/>
  <c r="R17" i="18"/>
  <c r="Q17" i="18"/>
  <c r="P17" i="18"/>
  <c r="O17" i="18"/>
  <c r="N17" i="18"/>
  <c r="M17" i="18"/>
  <c r="L17" i="18"/>
  <c r="K17" i="18"/>
  <c r="J17" i="18"/>
  <c r="S16" i="18"/>
  <c r="U10" i="18"/>
  <c r="E34" i="18"/>
  <c r="F34" i="18" s="1"/>
  <c r="G34" i="18" s="1"/>
  <c r="H34" i="18" s="1"/>
  <c r="I34" i="18" s="1"/>
  <c r="J34" i="18" s="1"/>
  <c r="K34" i="18" s="1"/>
  <c r="L34" i="18" s="1"/>
  <c r="M34" i="18" s="1"/>
  <c r="N34" i="18" s="1"/>
  <c r="O34" i="18" s="1"/>
  <c r="P34" i="18" s="1"/>
  <c r="Q34" i="18" s="1"/>
  <c r="R34" i="18" s="1"/>
  <c r="S34" i="18" s="1"/>
  <c r="T34" i="18"/>
  <c r="U34" i="18" s="1"/>
  <c r="D33" i="18"/>
  <c r="E33" i="18" s="1"/>
  <c r="F33" i="18" s="1"/>
  <c r="G33" i="18" s="1"/>
  <c r="H33" i="18" s="1"/>
  <c r="I33" i="18" s="1"/>
  <c r="J33" i="18" s="1"/>
  <c r="K33" i="18" s="1"/>
  <c r="L33" i="18" s="1"/>
  <c r="M33" i="18" s="1"/>
  <c r="N33" i="18" s="1"/>
  <c r="O33" i="18" s="1"/>
  <c r="P33" i="18" s="1"/>
  <c r="Q33" i="18" s="1"/>
  <c r="R33" i="18" s="1"/>
  <c r="S33" i="18" s="1"/>
  <c r="D32" i="18"/>
  <c r="E32" i="18" s="1"/>
  <c r="F32" i="18" s="1"/>
  <c r="G32" i="18" s="1"/>
  <c r="H32" i="18" s="1"/>
  <c r="T23" i="19"/>
  <c r="T36" i="19"/>
  <c r="U36" i="19" s="1"/>
  <c r="T40" i="19"/>
  <c r="U40" i="19" s="1"/>
  <c r="T29" i="19"/>
  <c r="T15" i="18"/>
  <c r="U15" i="18" s="1"/>
  <c r="T13" i="18"/>
  <c r="U13" i="18" s="1"/>
  <c r="T25" i="18"/>
  <c r="U25" i="18" s="1"/>
  <c r="T56" i="11"/>
  <c r="I23" i="11"/>
  <c r="T38" i="18"/>
  <c r="U38" i="18" s="1"/>
  <c r="T41" i="18"/>
  <c r="U41" i="18" s="1"/>
  <c r="F59" i="14"/>
  <c r="F58" i="14"/>
  <c r="F57" i="14"/>
  <c r="E56" i="14"/>
  <c r="F56" i="14" s="1"/>
  <c r="F55" i="14"/>
  <c r="F54" i="14"/>
  <c r="F53" i="14"/>
  <c r="E52" i="14"/>
  <c r="F52" i="14" s="1"/>
  <c r="R18" i="18" s="1"/>
  <c r="F51" i="14"/>
  <c r="F50" i="14"/>
  <c r="F49" i="14"/>
  <c r="E48" i="14"/>
  <c r="F48" i="14" s="1"/>
  <c r="F47" i="14"/>
  <c r="F46" i="14"/>
  <c r="F45" i="14"/>
  <c r="E44" i="14"/>
  <c r="F44" i="14" s="1"/>
  <c r="P18" i="18" s="1"/>
  <c r="F43" i="14"/>
  <c r="F42" i="14"/>
  <c r="F41" i="14"/>
  <c r="E40" i="14"/>
  <c r="F40" i="14"/>
  <c r="O18" i="18" s="1"/>
  <c r="F39" i="14"/>
  <c r="F38" i="14"/>
  <c r="F37" i="14"/>
  <c r="E36" i="14"/>
  <c r="F36" i="14" s="1"/>
  <c r="F35" i="14"/>
  <c r="F34" i="14"/>
  <c r="F33" i="14"/>
  <c r="E32" i="14"/>
  <c r="F32" i="14" s="1"/>
  <c r="F31" i="14"/>
  <c r="F30" i="14"/>
  <c r="F29" i="14"/>
  <c r="E28" i="14"/>
  <c r="F28" i="14" s="1"/>
  <c r="F27" i="14"/>
  <c r="F26" i="14"/>
  <c r="F25" i="14"/>
  <c r="E24" i="14"/>
  <c r="F24" i="14"/>
  <c r="K18" i="19" s="1"/>
  <c r="F23" i="14"/>
  <c r="F22" i="14"/>
  <c r="F21" i="14"/>
  <c r="E20" i="14"/>
  <c r="F20" i="14" s="1"/>
  <c r="J18" i="18" s="1"/>
  <c r="E8" i="14"/>
  <c r="F8" i="14" s="1"/>
  <c r="E12" i="14"/>
  <c r="F12" i="14" s="1"/>
  <c r="E16" i="14"/>
  <c r="F16" i="14" s="1"/>
  <c r="F19" i="14"/>
  <c r="F18" i="14"/>
  <c r="F17" i="14"/>
  <c r="F13" i="14"/>
  <c r="F15" i="14"/>
  <c r="F14" i="14"/>
  <c r="F10" i="14"/>
  <c r="F11" i="14"/>
  <c r="F9" i="14"/>
  <c r="E4" i="14"/>
  <c r="F4" i="14" s="1"/>
  <c r="F5" i="14"/>
  <c r="F6" i="14"/>
  <c r="F7" i="14"/>
  <c r="U27" i="11"/>
  <c r="E39" i="11"/>
  <c r="U24" i="11"/>
  <c r="T36" i="11"/>
  <c r="T20" i="11"/>
  <c r="P26" i="11"/>
  <c r="K18" i="18"/>
  <c r="T26" i="11"/>
  <c r="U18" i="18"/>
  <c r="T18" i="18"/>
  <c r="U16" i="18"/>
  <c r="T29" i="11"/>
  <c r="V27" i="11"/>
  <c r="T21" i="11"/>
  <c r="F16" i="11"/>
  <c r="V18" i="11"/>
  <c r="M17" i="11" l="1"/>
  <c r="L48" i="11"/>
  <c r="U17" i="11"/>
  <c r="U48" i="11" s="1"/>
  <c r="M28" i="19"/>
  <c r="M27" i="19" s="1"/>
  <c r="Q28" i="19"/>
  <c r="Q27" i="19" s="1"/>
  <c r="E46" i="11"/>
  <c r="I18" i="18"/>
  <c r="I18" i="19"/>
  <c r="I16" i="19" s="1"/>
  <c r="L18" i="18"/>
  <c r="L18" i="19"/>
  <c r="L16" i="19" s="1"/>
  <c r="N18" i="18"/>
  <c r="N18" i="19"/>
  <c r="N16" i="19" s="1"/>
  <c r="P18" i="19"/>
  <c r="P16" i="19" s="1"/>
  <c r="F21" i="19"/>
  <c r="I16" i="18"/>
  <c r="T28" i="18"/>
  <c r="T27" i="18" s="1"/>
  <c r="H28" i="19"/>
  <c r="H27" i="19" s="1"/>
  <c r="L28" i="19"/>
  <c r="L27" i="19" s="1"/>
  <c r="P28" i="19"/>
  <c r="P27" i="19" s="1"/>
  <c r="P16" i="18"/>
  <c r="T11" i="18"/>
  <c r="U11" i="18" s="1"/>
  <c r="T35" i="19"/>
  <c r="U35" i="19" s="1"/>
  <c r="T14" i="18"/>
  <c r="T19" i="18"/>
  <c r="U19" i="18" s="1"/>
  <c r="T39" i="19"/>
  <c r="U39" i="19" s="1"/>
  <c r="U38" i="19" s="1"/>
  <c r="T22" i="18"/>
  <c r="T21" i="18" s="1"/>
  <c r="U21" i="18" s="1"/>
  <c r="T37" i="18"/>
  <c r="U37" i="18" s="1"/>
  <c r="U36" i="18" s="1"/>
  <c r="T26" i="18"/>
  <c r="U26" i="18" s="1"/>
  <c r="F12" i="11"/>
  <c r="T14" i="19"/>
  <c r="T22" i="19"/>
  <c r="T21" i="19" s="1"/>
  <c r="U21" i="19" s="1"/>
  <c r="G16" i="11"/>
  <c r="H16" i="11" s="1"/>
  <c r="I16" i="11" s="1"/>
  <c r="J16" i="11" s="1"/>
  <c r="K16" i="11" s="1"/>
  <c r="F46" i="11"/>
  <c r="T13" i="19"/>
  <c r="U13" i="19" s="1"/>
  <c r="T12" i="19"/>
  <c r="U12" i="19" s="1"/>
  <c r="T34" i="19"/>
  <c r="T25" i="19"/>
  <c r="U25" i="19" s="1"/>
  <c r="T20" i="18"/>
  <c r="U20" i="18" s="1"/>
  <c r="T32" i="18"/>
  <c r="U32" i="18" s="1"/>
  <c r="T40" i="18"/>
  <c r="U40" i="18" s="1"/>
  <c r="U39" i="18" s="1"/>
  <c r="T19" i="19"/>
  <c r="U19" i="19" s="1"/>
  <c r="I46" i="13"/>
  <c r="I48" i="13" s="1"/>
  <c r="J40" i="13"/>
  <c r="T26" i="19"/>
  <c r="U26" i="19" s="1"/>
  <c r="T12" i="18"/>
  <c r="U12" i="18" s="1"/>
  <c r="E33" i="19"/>
  <c r="T24" i="18"/>
  <c r="U24" i="18" s="1"/>
  <c r="T11" i="19"/>
  <c r="U11" i="19" s="1"/>
  <c r="T20" i="19"/>
  <c r="U20" i="19" s="1"/>
  <c r="T24" i="19"/>
  <c r="U24" i="19" s="1"/>
  <c r="T33" i="18"/>
  <c r="U33" i="18" s="1"/>
  <c r="T32" i="19"/>
  <c r="T42" i="19"/>
  <c r="U42" i="19" s="1"/>
  <c r="U41" i="19" s="1"/>
  <c r="L41" i="18"/>
  <c r="M41" i="18"/>
  <c r="N41" i="18" s="1"/>
  <c r="O41" i="18" s="1"/>
  <c r="P41" i="18" s="1"/>
  <c r="Q41" i="18" s="1"/>
  <c r="R41" i="18" s="1"/>
  <c r="S41" i="18" s="1"/>
  <c r="G41" i="18"/>
  <c r="M38" i="18"/>
  <c r="N38" i="18" s="1"/>
  <c r="O38" i="18" s="1"/>
  <c r="P38" i="18" s="1"/>
  <c r="Q38" i="18" s="1"/>
  <c r="R38" i="18" s="1"/>
  <c r="S38" i="18" s="1"/>
  <c r="L38" i="18"/>
  <c r="G43" i="19"/>
  <c r="H43" i="19"/>
  <c r="I43" i="19" s="1"/>
  <c r="J43" i="19" s="1"/>
  <c r="K43" i="19" s="1"/>
  <c r="M40" i="19"/>
  <c r="N40" i="19" s="1"/>
  <c r="O40" i="19" s="1"/>
  <c r="P40" i="19" s="1"/>
  <c r="Q40" i="19" s="1"/>
  <c r="R40" i="19" s="1"/>
  <c r="S40" i="19" s="1"/>
  <c r="L40" i="19"/>
  <c r="N16" i="18"/>
  <c r="R28" i="19"/>
  <c r="R27" i="19" s="1"/>
  <c r="S27" i="19" s="1"/>
  <c r="J16" i="18"/>
  <c r="R16" i="18"/>
  <c r="D21" i="19"/>
  <c r="D10" i="19" s="1"/>
  <c r="K16" i="18"/>
  <c r="F38" i="19"/>
  <c r="F35" i="19"/>
  <c r="G35" i="19" s="1"/>
  <c r="H35" i="19" s="1"/>
  <c r="I35" i="19" s="1"/>
  <c r="D38" i="19"/>
  <c r="E21" i="19"/>
  <c r="E10" i="19" s="1"/>
  <c r="E38" i="19"/>
  <c r="E42" i="19"/>
  <c r="F42" i="19" s="1"/>
  <c r="G42" i="19" s="1"/>
  <c r="G41" i="19" s="1"/>
  <c r="L16" i="18"/>
  <c r="H38" i="19"/>
  <c r="I39" i="19"/>
  <c r="O16" i="18"/>
  <c r="G38" i="19"/>
  <c r="D31" i="19"/>
  <c r="T31" i="19" s="1"/>
  <c r="E31" i="19"/>
  <c r="D33" i="19"/>
  <c r="G28" i="18"/>
  <c r="G27" i="18" s="1"/>
  <c r="H29" i="18"/>
  <c r="I29" i="18" s="1"/>
  <c r="J29" i="18" s="1"/>
  <c r="K29" i="18" s="1"/>
  <c r="L29" i="18" s="1"/>
  <c r="M29" i="18" s="1"/>
  <c r="N29" i="18" s="1"/>
  <c r="O29" i="18" s="1"/>
  <c r="P29" i="18" s="1"/>
  <c r="Q29" i="18" s="1"/>
  <c r="R29" i="18" s="1"/>
  <c r="G32" i="19"/>
  <c r="F31" i="19"/>
  <c r="F22" i="18"/>
  <c r="E21" i="18"/>
  <c r="E10" i="18" s="1"/>
  <c r="F40" i="18"/>
  <c r="E39" i="18"/>
  <c r="D31" i="18"/>
  <c r="K16" i="19"/>
  <c r="G31" i="18"/>
  <c r="E28" i="18"/>
  <c r="E27" i="18" s="1"/>
  <c r="D21" i="18"/>
  <c r="D10" i="18" s="1"/>
  <c r="F31" i="18"/>
  <c r="E28" i="19"/>
  <c r="E27" i="19" s="1"/>
  <c r="E37" i="18"/>
  <c r="D39" i="18"/>
  <c r="E31" i="18"/>
  <c r="G34" i="19"/>
  <c r="F28" i="19"/>
  <c r="F27" i="19" s="1"/>
  <c r="N28" i="19"/>
  <c r="N27" i="19" s="1"/>
  <c r="I32" i="18"/>
  <c r="H31" i="18"/>
  <c r="F10" i="19"/>
  <c r="G11" i="19"/>
  <c r="F11" i="18"/>
  <c r="G22" i="19"/>
  <c r="I28" i="19"/>
  <c r="I27" i="19" s="1"/>
  <c r="J28" i="19"/>
  <c r="J27" i="19" s="1"/>
  <c r="F28" i="18"/>
  <c r="F27" i="18" s="1"/>
  <c r="G28" i="19"/>
  <c r="G27" i="19" s="1"/>
  <c r="K28" i="19"/>
  <c r="K27" i="19" s="1"/>
  <c r="E12" i="11"/>
  <c r="T41" i="11"/>
  <c r="U41" i="11" s="1"/>
  <c r="V41" i="11" s="1"/>
  <c r="F42" i="11"/>
  <c r="L26" i="11"/>
  <c r="S26" i="11"/>
  <c r="T15" i="11"/>
  <c r="G31" i="11"/>
  <c r="F31" i="11"/>
  <c r="R26" i="11"/>
  <c r="Q18" i="18"/>
  <c r="Q16" i="18" s="1"/>
  <c r="Q18" i="19"/>
  <c r="Q16" i="19" s="1"/>
  <c r="N26" i="11"/>
  <c r="M18" i="19"/>
  <c r="M16" i="19" s="1"/>
  <c r="M18" i="18"/>
  <c r="M16" i="18" s="1"/>
  <c r="F23" i="11"/>
  <c r="V25" i="11"/>
  <c r="O26" i="11"/>
  <c r="R18" i="19"/>
  <c r="R16" i="19" s="1"/>
  <c r="O18" i="19"/>
  <c r="O16" i="19" s="1"/>
  <c r="Q26" i="11"/>
  <c r="J18" i="19"/>
  <c r="J16" i="19" s="1"/>
  <c r="T30" i="11"/>
  <c r="T34" i="11"/>
  <c r="H31" i="11"/>
  <c r="U25" i="11"/>
  <c r="T22" i="11"/>
  <c r="E42" i="11"/>
  <c r="E38" i="11" s="1"/>
  <c r="V24" i="11"/>
  <c r="G23" i="11"/>
  <c r="I31" i="11"/>
  <c r="J31" i="11"/>
  <c r="T37" i="11"/>
  <c r="M26" i="11"/>
  <c r="J26" i="11"/>
  <c r="K30" i="18"/>
  <c r="T16" i="18"/>
  <c r="T28" i="19"/>
  <c r="T27" i="19" s="1"/>
  <c r="U30" i="11"/>
  <c r="U33" i="11"/>
  <c r="U20" i="11"/>
  <c r="U21" i="11"/>
  <c r="U36" i="11"/>
  <c r="U14" i="11"/>
  <c r="U29" i="11"/>
  <c r="J12" i="11" l="1"/>
  <c r="L16" i="11"/>
  <c r="U16" i="11"/>
  <c r="V16" i="11" s="1"/>
  <c r="K46" i="11"/>
  <c r="N17" i="11"/>
  <c r="M48" i="11"/>
  <c r="V20" i="11"/>
  <c r="V21" i="11"/>
  <c r="V29" i="11"/>
  <c r="V36" i="11"/>
  <c r="V30" i="11"/>
  <c r="J18" i="11"/>
  <c r="T33" i="19"/>
  <c r="U33" i="19" s="1"/>
  <c r="V14" i="11"/>
  <c r="U34" i="19"/>
  <c r="T31" i="18"/>
  <c r="U31" i="18" s="1"/>
  <c r="G12" i="11"/>
  <c r="H12" i="11"/>
  <c r="L12" i="11"/>
  <c r="I12" i="11"/>
  <c r="K12" i="11"/>
  <c r="G46" i="11"/>
  <c r="S28" i="19"/>
  <c r="D35" i="18"/>
  <c r="D42" i="18" s="1"/>
  <c r="D51" i="18" s="1"/>
  <c r="T39" i="18"/>
  <c r="T35" i="18" s="1"/>
  <c r="M43" i="19"/>
  <c r="N43" i="19" s="1"/>
  <c r="O43" i="19" s="1"/>
  <c r="P43" i="19" s="1"/>
  <c r="Q43" i="19" s="1"/>
  <c r="R43" i="19" s="1"/>
  <c r="S43" i="19" s="1"/>
  <c r="L43" i="19"/>
  <c r="D37" i="19"/>
  <c r="T38" i="19"/>
  <c r="T37" i="19" s="1"/>
  <c r="G37" i="19"/>
  <c r="F33" i="19"/>
  <c r="H42" i="19"/>
  <c r="I42" i="19" s="1"/>
  <c r="F41" i="19"/>
  <c r="F37" i="19" s="1"/>
  <c r="E41" i="19"/>
  <c r="E37" i="19" s="1"/>
  <c r="E44" i="19" s="1"/>
  <c r="E53" i="19" s="1"/>
  <c r="I38" i="19"/>
  <c r="J39" i="19"/>
  <c r="I28" i="18"/>
  <c r="I27" i="18" s="1"/>
  <c r="J28" i="18"/>
  <c r="J27" i="18" s="1"/>
  <c r="H28" i="18"/>
  <c r="H27" i="18" s="1"/>
  <c r="D44" i="19"/>
  <c r="D53" i="19" s="1"/>
  <c r="H40" i="18"/>
  <c r="F39" i="18"/>
  <c r="G40" i="18"/>
  <c r="G39" i="18" s="1"/>
  <c r="F37" i="18"/>
  <c r="E36" i="18"/>
  <c r="E35" i="18" s="1"/>
  <c r="E42" i="18" s="1"/>
  <c r="E51" i="18" s="1"/>
  <c r="G33" i="19"/>
  <c r="H34" i="19"/>
  <c r="F21" i="18"/>
  <c r="G22" i="18"/>
  <c r="H32" i="19"/>
  <c r="G31" i="19"/>
  <c r="F10" i="18"/>
  <c r="G11" i="18"/>
  <c r="H11" i="19"/>
  <c r="J35" i="19"/>
  <c r="U35" i="18"/>
  <c r="G21" i="19"/>
  <c r="G10" i="19" s="1"/>
  <c r="H22" i="19"/>
  <c r="J32" i="18"/>
  <c r="I31" i="18"/>
  <c r="F18" i="11"/>
  <c r="J46" i="11"/>
  <c r="H46" i="11"/>
  <c r="I46" i="11"/>
  <c r="U23" i="11"/>
  <c r="F38" i="11"/>
  <c r="T44" i="11"/>
  <c r="U44" i="11" s="1"/>
  <c r="H18" i="11"/>
  <c r="E45" i="11"/>
  <c r="E57" i="11" s="1"/>
  <c r="K26" i="11"/>
  <c r="V26" i="11" s="1"/>
  <c r="V28" i="11"/>
  <c r="U28" i="11"/>
  <c r="U26" i="11" s="1"/>
  <c r="K31" i="11"/>
  <c r="G39" i="11"/>
  <c r="G42" i="11"/>
  <c r="H42" i="11"/>
  <c r="G18" i="11"/>
  <c r="I18" i="11"/>
  <c r="L30" i="18"/>
  <c r="K28" i="18"/>
  <c r="K27" i="18" s="1"/>
  <c r="T10" i="19"/>
  <c r="U37" i="19"/>
  <c r="U44" i="19" s="1"/>
  <c r="T10" i="18"/>
  <c r="U37" i="11"/>
  <c r="U34" i="11"/>
  <c r="U15" i="11"/>
  <c r="U22" i="11"/>
  <c r="M16" i="11" l="1"/>
  <c r="L46" i="11"/>
  <c r="O17" i="11"/>
  <c r="N48" i="11"/>
  <c r="V37" i="11"/>
  <c r="V22" i="11"/>
  <c r="V15" i="11"/>
  <c r="V34" i="11"/>
  <c r="V44" i="11"/>
  <c r="U42" i="18"/>
  <c r="U47" i="11"/>
  <c r="T42" i="18"/>
  <c r="T51" i="18" s="1"/>
  <c r="T44" i="19"/>
  <c r="T53" i="19" s="1"/>
  <c r="V23" i="11"/>
  <c r="H41" i="19"/>
  <c r="H37" i="19" s="1"/>
  <c r="F44" i="19"/>
  <c r="F53" i="19" s="1"/>
  <c r="G44" i="19"/>
  <c r="G53" i="19" s="1"/>
  <c r="J38" i="19"/>
  <c r="K39" i="19"/>
  <c r="J42" i="19"/>
  <c r="I41" i="19"/>
  <c r="I37" i="19" s="1"/>
  <c r="H22" i="18"/>
  <c r="G21" i="18"/>
  <c r="H31" i="19"/>
  <c r="I32" i="19"/>
  <c r="I34" i="19"/>
  <c r="H33" i="19"/>
  <c r="F36" i="18"/>
  <c r="F35" i="18" s="1"/>
  <c r="F42" i="18" s="1"/>
  <c r="F51" i="18" s="1"/>
  <c r="G37" i="18"/>
  <c r="H39" i="18"/>
  <c r="I40" i="18"/>
  <c r="H21" i="19"/>
  <c r="H10" i="19" s="1"/>
  <c r="I22" i="19"/>
  <c r="K35" i="19"/>
  <c r="G10" i="18"/>
  <c r="H11" i="18"/>
  <c r="I11" i="19"/>
  <c r="K32" i="18"/>
  <c r="J31" i="18"/>
  <c r="F45" i="11"/>
  <c r="F57" i="11" s="1"/>
  <c r="K18" i="11"/>
  <c r="G38" i="11"/>
  <c r="G45" i="11" s="1"/>
  <c r="I42" i="11"/>
  <c r="H39" i="11"/>
  <c r="H38" i="11" s="1"/>
  <c r="H45" i="11" s="1"/>
  <c r="H57" i="11" s="1"/>
  <c r="L31" i="11"/>
  <c r="L18" i="11" s="1"/>
  <c r="M30" i="18"/>
  <c r="L28" i="18"/>
  <c r="L27" i="18" s="1"/>
  <c r="P17" i="11" l="1"/>
  <c r="O48" i="11"/>
  <c r="N16" i="11"/>
  <c r="M46" i="11"/>
  <c r="M12" i="11"/>
  <c r="G57" i="11"/>
  <c r="K38" i="19"/>
  <c r="M39" i="19"/>
  <c r="L39" i="19"/>
  <c r="L38" i="19" s="1"/>
  <c r="H44" i="19"/>
  <c r="H53" i="19" s="1"/>
  <c r="G36" i="18"/>
  <c r="G35" i="18" s="1"/>
  <c r="G42" i="18" s="1"/>
  <c r="G51" i="18" s="1"/>
  <c r="H37" i="18"/>
  <c r="J32" i="19"/>
  <c r="K32" i="19" s="1"/>
  <c r="L32" i="19" s="1"/>
  <c r="M32" i="19" s="1"/>
  <c r="N32" i="19" s="1"/>
  <c r="O32" i="19" s="1"/>
  <c r="P32" i="19" s="1"/>
  <c r="Q32" i="19" s="1"/>
  <c r="R32" i="19" s="1"/>
  <c r="S32" i="19" s="1"/>
  <c r="I31" i="19"/>
  <c r="J31" i="19" s="1"/>
  <c r="K31" i="19" s="1"/>
  <c r="L31" i="19" s="1"/>
  <c r="M31" i="19" s="1"/>
  <c r="N31" i="19" s="1"/>
  <c r="O31" i="19" s="1"/>
  <c r="P31" i="19" s="1"/>
  <c r="Q31" i="19" s="1"/>
  <c r="R31" i="19" s="1"/>
  <c r="S31" i="19" s="1"/>
  <c r="K42" i="19"/>
  <c r="J41" i="19"/>
  <c r="J37" i="19" s="1"/>
  <c r="J40" i="18"/>
  <c r="I39" i="18"/>
  <c r="J34" i="19"/>
  <c r="I33" i="19"/>
  <c r="H21" i="18"/>
  <c r="H10" i="18" s="1"/>
  <c r="I22" i="18"/>
  <c r="J11" i="19"/>
  <c r="I11" i="18"/>
  <c r="J22" i="19"/>
  <c r="I21" i="19"/>
  <c r="I10" i="19" s="1"/>
  <c r="L32" i="18"/>
  <c r="K31" i="18"/>
  <c r="L35" i="19"/>
  <c r="J42" i="11"/>
  <c r="I39" i="11"/>
  <c r="I38" i="11" s="1"/>
  <c r="I45" i="11" s="1"/>
  <c r="I57" i="11" s="1"/>
  <c r="M31" i="11"/>
  <c r="M18" i="11" s="1"/>
  <c r="M28" i="18"/>
  <c r="M27" i="18" s="1"/>
  <c r="N30" i="18"/>
  <c r="O16" i="11" l="1"/>
  <c r="N12" i="11"/>
  <c r="N46" i="11"/>
  <c r="Q17" i="11"/>
  <c r="P48" i="11"/>
  <c r="I44" i="19"/>
  <c r="I53" i="19" s="1"/>
  <c r="M38" i="19"/>
  <c r="N39" i="19"/>
  <c r="J39" i="18"/>
  <c r="K40" i="18"/>
  <c r="K34" i="19"/>
  <c r="J33" i="19"/>
  <c r="I37" i="18"/>
  <c r="H36" i="18"/>
  <c r="H35" i="18" s="1"/>
  <c r="H42" i="18" s="1"/>
  <c r="H51" i="18" s="1"/>
  <c r="J22" i="18"/>
  <c r="I21" i="18"/>
  <c r="I10" i="18" s="1"/>
  <c r="K41" i="19"/>
  <c r="K37" i="19" s="1"/>
  <c r="M42" i="19"/>
  <c r="L42" i="19"/>
  <c r="L41" i="19" s="1"/>
  <c r="L37" i="19" s="1"/>
  <c r="K22" i="19"/>
  <c r="J21" i="19"/>
  <c r="J10" i="19" s="1"/>
  <c r="J11" i="18"/>
  <c r="M35" i="19"/>
  <c r="M32" i="18"/>
  <c r="L31" i="18"/>
  <c r="K11" i="19"/>
  <c r="J39" i="11"/>
  <c r="J38" i="11" s="1"/>
  <c r="J45" i="11" s="1"/>
  <c r="N31" i="11"/>
  <c r="N18" i="11" s="1"/>
  <c r="K42" i="11"/>
  <c r="O30" i="18"/>
  <c r="N28" i="18"/>
  <c r="N27" i="18" s="1"/>
  <c r="R17" i="11" l="1"/>
  <c r="Q48" i="11"/>
  <c r="P16" i="11"/>
  <c r="O12" i="11"/>
  <c r="O46" i="11"/>
  <c r="J57" i="11"/>
  <c r="J44" i="19"/>
  <c r="J53" i="19" s="1"/>
  <c r="O39" i="19"/>
  <c r="N38" i="19"/>
  <c r="J37" i="18"/>
  <c r="I36" i="18"/>
  <c r="I35" i="18" s="1"/>
  <c r="I42" i="18" s="1"/>
  <c r="I51" i="18" s="1"/>
  <c r="L34" i="19"/>
  <c r="K33" i="19"/>
  <c r="J21" i="18"/>
  <c r="J10" i="18" s="1"/>
  <c r="K22" i="18"/>
  <c r="M40" i="18"/>
  <c r="L40" i="18"/>
  <c r="L39" i="18" s="1"/>
  <c r="K39" i="18"/>
  <c r="M41" i="19"/>
  <c r="M37" i="19" s="1"/>
  <c r="N42" i="19"/>
  <c r="N35" i="19"/>
  <c r="L11" i="19"/>
  <c r="N32" i="18"/>
  <c r="M31" i="18"/>
  <c r="K11" i="18"/>
  <c r="K21" i="19"/>
  <c r="K10" i="19" s="1"/>
  <c r="L22" i="19"/>
  <c r="L42" i="11"/>
  <c r="M42" i="11"/>
  <c r="O31" i="11"/>
  <c r="O18" i="11" s="1"/>
  <c r="K39" i="11"/>
  <c r="K38" i="11" s="1"/>
  <c r="K45" i="11" s="1"/>
  <c r="K57" i="11" s="1"/>
  <c r="O28" i="18"/>
  <c r="O27" i="18" s="1"/>
  <c r="P30" i="18"/>
  <c r="Q16" i="11" l="1"/>
  <c r="P46" i="11"/>
  <c r="P12" i="11"/>
  <c r="S17" i="11"/>
  <c r="S48" i="11" s="1"/>
  <c r="R48" i="11"/>
  <c r="K44" i="19"/>
  <c r="K53" i="19" s="1"/>
  <c r="O38" i="19"/>
  <c r="P39" i="19"/>
  <c r="K21" i="18"/>
  <c r="K10" i="18" s="1"/>
  <c r="L22" i="18"/>
  <c r="N41" i="19"/>
  <c r="N37" i="19" s="1"/>
  <c r="O42" i="19"/>
  <c r="M39" i="18"/>
  <c r="N40" i="18"/>
  <c r="K37" i="18"/>
  <c r="J36" i="18"/>
  <c r="J35" i="18" s="1"/>
  <c r="J42" i="18" s="1"/>
  <c r="J51" i="18" s="1"/>
  <c r="M34" i="19"/>
  <c r="L33" i="19"/>
  <c r="L21" i="19"/>
  <c r="L10" i="19" s="1"/>
  <c r="M22" i="19"/>
  <c r="L11" i="18"/>
  <c r="M11" i="19"/>
  <c r="O32" i="18"/>
  <c r="N31" i="18"/>
  <c r="O35" i="19"/>
  <c r="L39" i="11"/>
  <c r="L38" i="11" s="1"/>
  <c r="L45" i="11" s="1"/>
  <c r="L57" i="11" s="1"/>
  <c r="P31" i="11"/>
  <c r="P18" i="11" s="1"/>
  <c r="N42" i="11"/>
  <c r="Q30" i="18"/>
  <c r="P28" i="18"/>
  <c r="P27" i="18" s="1"/>
  <c r="R16" i="11" l="1"/>
  <c r="Q46" i="11"/>
  <c r="Q12" i="11"/>
  <c r="L44" i="19"/>
  <c r="L53" i="19" s="1"/>
  <c r="P38" i="19"/>
  <c r="Q39" i="19"/>
  <c r="O40" i="18"/>
  <c r="N39" i="18"/>
  <c r="L21" i="18"/>
  <c r="L10" i="18" s="1"/>
  <c r="M22" i="18"/>
  <c r="N34" i="19"/>
  <c r="M33" i="19"/>
  <c r="M37" i="18"/>
  <c r="K36" i="18"/>
  <c r="K35" i="18" s="1"/>
  <c r="K42" i="18" s="1"/>
  <c r="K51" i="18" s="1"/>
  <c r="L37" i="18"/>
  <c r="L36" i="18" s="1"/>
  <c r="L35" i="18" s="1"/>
  <c r="O41" i="19"/>
  <c r="O37" i="19" s="1"/>
  <c r="P42" i="19"/>
  <c r="M11" i="18"/>
  <c r="N11" i="19"/>
  <c r="P35" i="19"/>
  <c r="P32" i="18"/>
  <c r="O31" i="18"/>
  <c r="N22" i="19"/>
  <c r="M21" i="19"/>
  <c r="M10" i="19" s="1"/>
  <c r="M39" i="11"/>
  <c r="M38" i="11" s="1"/>
  <c r="M45" i="11" s="1"/>
  <c r="M57" i="11" s="1"/>
  <c r="Q31" i="11"/>
  <c r="Q18" i="11" s="1"/>
  <c r="O42" i="11"/>
  <c r="T19" i="11"/>
  <c r="N39" i="11"/>
  <c r="N38" i="11" s="1"/>
  <c r="N45" i="11" s="1"/>
  <c r="N57" i="11" s="1"/>
  <c r="Q28" i="18"/>
  <c r="Q27" i="18" s="1"/>
  <c r="R30" i="18"/>
  <c r="R28" i="18" s="1"/>
  <c r="U19" i="11"/>
  <c r="S16" i="11" l="1"/>
  <c r="R46" i="11"/>
  <c r="R12" i="11"/>
  <c r="V19" i="11"/>
  <c r="L42" i="18"/>
  <c r="L51" i="18" s="1"/>
  <c r="R39" i="19"/>
  <c r="Q38" i="19"/>
  <c r="O34" i="19"/>
  <c r="N33" i="19"/>
  <c r="P40" i="18"/>
  <c r="O39" i="18"/>
  <c r="Q42" i="19"/>
  <c r="P41" i="19"/>
  <c r="P37" i="19" s="1"/>
  <c r="M21" i="18"/>
  <c r="N22" i="18"/>
  <c r="M44" i="19"/>
  <c r="M53" i="19" s="1"/>
  <c r="M36" i="18"/>
  <c r="M35" i="18" s="1"/>
  <c r="N37" i="18"/>
  <c r="N21" i="19"/>
  <c r="N10" i="19" s="1"/>
  <c r="O22" i="19"/>
  <c r="Q32" i="18"/>
  <c r="P31" i="18"/>
  <c r="O11" i="19"/>
  <c r="Q35" i="19"/>
  <c r="N11" i="18"/>
  <c r="M10" i="18"/>
  <c r="P42" i="11"/>
  <c r="O39" i="11"/>
  <c r="O38" i="11" s="1"/>
  <c r="O45" i="11" s="1"/>
  <c r="O57" i="11" s="1"/>
  <c r="R31" i="11"/>
  <c r="R18" i="11" s="1"/>
  <c r="S28" i="18"/>
  <c r="R27" i="18"/>
  <c r="T16" i="11" l="1"/>
  <c r="S12" i="11"/>
  <c r="S46" i="11"/>
  <c r="N44" i="19"/>
  <c r="N53" i="19" s="1"/>
  <c r="M42" i="18"/>
  <c r="M51" i="18" s="1"/>
  <c r="S39" i="19"/>
  <c r="S38" i="19" s="1"/>
  <c r="R38" i="19"/>
  <c r="O37" i="18"/>
  <c r="N36" i="18"/>
  <c r="N35" i="18" s="1"/>
  <c r="P39" i="18"/>
  <c r="Q40" i="18"/>
  <c r="O22" i="18"/>
  <c r="N21" i="18"/>
  <c r="Q41" i="19"/>
  <c r="Q37" i="19" s="1"/>
  <c r="R42" i="19"/>
  <c r="P34" i="19"/>
  <c r="O33" i="19"/>
  <c r="R35" i="19"/>
  <c r="R32" i="18"/>
  <c r="Q31" i="18"/>
  <c r="O21" i="19"/>
  <c r="O10" i="19" s="1"/>
  <c r="O44" i="19" s="1"/>
  <c r="O53" i="19" s="1"/>
  <c r="P22" i="19"/>
  <c r="P11" i="19"/>
  <c r="O11" i="18"/>
  <c r="N10" i="18"/>
  <c r="S31" i="11"/>
  <c r="T32" i="11"/>
  <c r="P39" i="11"/>
  <c r="P38" i="11" s="1"/>
  <c r="P45" i="11" s="1"/>
  <c r="P57" i="11" s="1"/>
  <c r="Q42" i="11"/>
  <c r="S27" i="18"/>
  <c r="U32" i="11" l="1"/>
  <c r="U31" i="11" s="1"/>
  <c r="N42" i="18"/>
  <c r="N51" i="18" s="1"/>
  <c r="R40" i="18"/>
  <c r="Q39" i="18"/>
  <c r="R41" i="19"/>
  <c r="R37" i="19" s="1"/>
  <c r="S42" i="19"/>
  <c r="S41" i="19" s="1"/>
  <c r="S37" i="19" s="1"/>
  <c r="Q34" i="19"/>
  <c r="P33" i="19"/>
  <c r="P22" i="18"/>
  <c r="O21" i="18"/>
  <c r="O10" i="18" s="1"/>
  <c r="P37" i="18"/>
  <c r="O36" i="18"/>
  <c r="O35" i="18" s="1"/>
  <c r="Q11" i="19"/>
  <c r="S32" i="18"/>
  <c r="S31" i="18" s="1"/>
  <c r="R31" i="18"/>
  <c r="P21" i="19"/>
  <c r="P10" i="19" s="1"/>
  <c r="P44" i="19" s="1"/>
  <c r="P53" i="19" s="1"/>
  <c r="Q22" i="19"/>
  <c r="P11" i="18"/>
  <c r="S35" i="19"/>
  <c r="Q39" i="11"/>
  <c r="Q38" i="11" s="1"/>
  <c r="Q45" i="11" s="1"/>
  <c r="Q57" i="11" s="1"/>
  <c r="T13" i="11"/>
  <c r="U13" i="11" s="1"/>
  <c r="U12" i="11" s="1"/>
  <c r="T31" i="11"/>
  <c r="T18" i="11" s="1"/>
  <c r="S18" i="11"/>
  <c r="R42" i="11"/>
  <c r="U18" i="11" l="1"/>
  <c r="V31" i="11"/>
  <c r="O42" i="18"/>
  <c r="O51" i="18" s="1"/>
  <c r="Q22" i="18"/>
  <c r="P21" i="18"/>
  <c r="P36" i="18"/>
  <c r="P35" i="18" s="1"/>
  <c r="Q37" i="18"/>
  <c r="R34" i="19"/>
  <c r="Q33" i="19"/>
  <c r="S40" i="18"/>
  <c r="S39" i="18" s="1"/>
  <c r="R39" i="18"/>
  <c r="R11" i="19"/>
  <c r="P10" i="18"/>
  <c r="Q11" i="18"/>
  <c r="R22" i="19"/>
  <c r="Q21" i="19"/>
  <c r="Q10" i="19" s="1"/>
  <c r="T12" i="11"/>
  <c r="T43" i="11"/>
  <c r="S42" i="11"/>
  <c r="R39" i="11"/>
  <c r="R38" i="11" s="1"/>
  <c r="R45" i="11" s="1"/>
  <c r="R57" i="11" s="1"/>
  <c r="Q44" i="19" l="1"/>
  <c r="Q53" i="19" s="1"/>
  <c r="P42" i="18"/>
  <c r="P51" i="18" s="1"/>
  <c r="S34" i="19"/>
  <c r="S33" i="19" s="1"/>
  <c r="R33" i="19"/>
  <c r="Q36" i="18"/>
  <c r="Q35" i="18" s="1"/>
  <c r="R37" i="18"/>
  <c r="Q21" i="18"/>
  <c r="R22" i="18"/>
  <c r="S11" i="19"/>
  <c r="R11" i="18"/>
  <c r="Q10" i="18"/>
  <c r="R21" i="19"/>
  <c r="S21" i="19" s="1"/>
  <c r="S22" i="19"/>
  <c r="T42" i="11"/>
  <c r="V13" i="11"/>
  <c r="T40" i="11"/>
  <c r="S39" i="11"/>
  <c r="S38" i="11" s="1"/>
  <c r="S45" i="11" s="1"/>
  <c r="S57" i="11" s="1"/>
  <c r="U43" i="11"/>
  <c r="Q42" i="18" l="1"/>
  <c r="Q51" i="18" s="1"/>
  <c r="R21" i="18"/>
  <c r="S21" i="18" s="1"/>
  <c r="S22" i="18"/>
  <c r="R10" i="19"/>
  <c r="R44" i="19" s="1"/>
  <c r="R53" i="19" s="1"/>
  <c r="S37" i="18"/>
  <c r="S36" i="18" s="1"/>
  <c r="S35" i="18" s="1"/>
  <c r="R36" i="18"/>
  <c r="R35" i="18" s="1"/>
  <c r="S10" i="19"/>
  <c r="S44" i="19" s="1"/>
  <c r="S53" i="19" s="1"/>
  <c r="S11" i="18"/>
  <c r="V43" i="11"/>
  <c r="V42" i="11" s="1"/>
  <c r="U42" i="11"/>
  <c r="T39" i="11"/>
  <c r="T38" i="11" s="1"/>
  <c r="T45" i="11" s="1"/>
  <c r="T57" i="11" s="1"/>
  <c r="V12" i="11"/>
  <c r="U40" i="11"/>
  <c r="U46" i="11" l="1"/>
  <c r="S10" i="18"/>
  <c r="S42" i="18" s="1"/>
  <c r="S51" i="18" s="1"/>
  <c r="R10" i="18"/>
  <c r="R42" i="18" s="1"/>
  <c r="R51" i="18" s="1"/>
  <c r="U39" i="11"/>
  <c r="U38" i="11" s="1"/>
  <c r="U45" i="11" s="1"/>
  <c r="V40" i="11"/>
  <c r="V39" i="11" s="1"/>
  <c r="V38" i="11" s="1"/>
  <c r="V45" i="11" s="1"/>
  <c r="U57" i="11" l="1"/>
</calcChain>
</file>

<file path=xl/sharedStrings.xml><?xml version="1.0" encoding="utf-8"?>
<sst xmlns="http://schemas.openxmlformats.org/spreadsheetml/2006/main" count="1395" uniqueCount="578">
  <si>
    <t>Параметризация</t>
  </si>
  <si>
    <t>1</t>
  </si>
  <si>
    <t>DA1</t>
  </si>
  <si>
    <t>6</t>
  </si>
  <si>
    <t>C19</t>
  </si>
  <si>
    <t>VD5</t>
  </si>
  <si>
    <t>VT1</t>
  </si>
  <si>
    <t>4</t>
  </si>
  <si>
    <t>HL2</t>
  </si>
  <si>
    <t>HL1</t>
  </si>
  <si>
    <t>HL3</t>
  </si>
  <si>
    <t>К-во</t>
  </si>
  <si>
    <t>ИТОГО</t>
  </si>
  <si>
    <t>Кожух</t>
  </si>
  <si>
    <t>Цоколь</t>
  </si>
  <si>
    <t>Терминал</t>
  </si>
  <si>
    <t>L1</t>
  </si>
  <si>
    <t>Плата</t>
  </si>
  <si>
    <t>Поверка</t>
  </si>
  <si>
    <t>3</t>
  </si>
  <si>
    <t>3.1</t>
  </si>
  <si>
    <t>3.2</t>
  </si>
  <si>
    <t>3.3</t>
  </si>
  <si>
    <t>2</t>
  </si>
  <si>
    <t>4.1</t>
  </si>
  <si>
    <t>4.2</t>
  </si>
  <si>
    <t>4.3</t>
  </si>
  <si>
    <t>4.4</t>
  </si>
  <si>
    <t>5</t>
  </si>
  <si>
    <t>5.1</t>
  </si>
  <si>
    <t>5.2</t>
  </si>
  <si>
    <t>№/п.п.</t>
  </si>
  <si>
    <t>Наименоварие работ, затрат</t>
  </si>
  <si>
    <t>1.1</t>
  </si>
  <si>
    <t>1.2</t>
  </si>
  <si>
    <t xml:space="preserve"> - приемка</t>
  </si>
  <si>
    <t>Лаборатория</t>
  </si>
  <si>
    <t xml:space="preserve"> - диагностика функциональности</t>
  </si>
  <si>
    <t xml:space="preserve"> - поверка</t>
  </si>
  <si>
    <t xml:space="preserve"> - пломбировка</t>
  </si>
  <si>
    <t>2.1</t>
  </si>
  <si>
    <t>2.2</t>
  </si>
  <si>
    <t>2.3</t>
  </si>
  <si>
    <t>2.4</t>
  </si>
  <si>
    <t>Сервисный центр</t>
  </si>
  <si>
    <t xml:space="preserve"> - разборка</t>
  </si>
  <si>
    <t xml:space="preserve"> - замена корпусных деталей</t>
  </si>
  <si>
    <t>7</t>
  </si>
  <si>
    <t xml:space="preserve"> - ремонт</t>
  </si>
  <si>
    <t xml:space="preserve"> - юстировка</t>
  </si>
  <si>
    <t xml:space="preserve"> - очистка</t>
  </si>
  <si>
    <t xml:space="preserve"> - вязка пломб</t>
  </si>
  <si>
    <t>Участок упаковки</t>
  </si>
  <si>
    <t xml:space="preserve"> - распаковка</t>
  </si>
  <si>
    <t xml:space="preserve"> - регистрация</t>
  </si>
  <si>
    <t xml:space="preserve"> - сортировка</t>
  </si>
  <si>
    <t xml:space="preserve"> - установка клемной крышки</t>
  </si>
  <si>
    <t xml:space="preserve"> - упаковка</t>
  </si>
  <si>
    <t xml:space="preserve"> - документальное оформление</t>
  </si>
  <si>
    <t xml:space="preserve"> - отгрузка</t>
  </si>
  <si>
    <t>затраты на оплату труда</t>
  </si>
  <si>
    <t>затраты на запасные части</t>
  </si>
  <si>
    <t>8</t>
  </si>
  <si>
    <t>9</t>
  </si>
  <si>
    <t>10</t>
  </si>
  <si>
    <t>11</t>
  </si>
  <si>
    <t>Без ремонта</t>
  </si>
  <si>
    <t>Клемная коробка</t>
  </si>
  <si>
    <t>ВСЕГО</t>
  </si>
  <si>
    <t>затраты на материалы</t>
  </si>
  <si>
    <t>Х</t>
  </si>
  <si>
    <t>Выбор типа ремонта (1)</t>
  </si>
  <si>
    <t>Юстировка</t>
  </si>
  <si>
    <t>Пломбировка</t>
  </si>
  <si>
    <t>Упаковка</t>
  </si>
  <si>
    <t xml:space="preserve"> - формирование партий (складирование)</t>
  </si>
  <si>
    <t>1.3</t>
  </si>
  <si>
    <t>1.4</t>
  </si>
  <si>
    <t>2.5</t>
  </si>
  <si>
    <t>2.5.1</t>
  </si>
  <si>
    <t>2.5.2</t>
  </si>
  <si>
    <t>2.7</t>
  </si>
  <si>
    <t>2.8</t>
  </si>
  <si>
    <t>2.9</t>
  </si>
  <si>
    <t>2.11</t>
  </si>
  <si>
    <t>2.12</t>
  </si>
  <si>
    <t>12</t>
  </si>
  <si>
    <t>13</t>
  </si>
  <si>
    <t>Распаковка</t>
  </si>
  <si>
    <t>Наименование операции</t>
  </si>
  <si>
    <t>Един. Изм.</t>
  </si>
  <si>
    <t>Сканирование (регистрация)</t>
  </si>
  <si>
    <t>Сортировка</t>
  </si>
  <si>
    <t>Диагностика функциональности</t>
  </si>
  <si>
    <t>Разборка</t>
  </si>
  <si>
    <t>Замена корпусных деталей</t>
  </si>
  <si>
    <t xml:space="preserve"> - </t>
  </si>
  <si>
    <t xml:space="preserve"> - цоколь</t>
  </si>
  <si>
    <t xml:space="preserve"> - кожух</t>
  </si>
  <si>
    <t xml:space="preserve"> - клемная колодка</t>
  </si>
  <si>
    <t xml:space="preserve">Ремонт </t>
  </si>
  <si>
    <t xml:space="preserve"> - замена DA1</t>
  </si>
  <si>
    <t xml:space="preserve"> - замена CM</t>
  </si>
  <si>
    <t xml:space="preserve"> - замена C19</t>
  </si>
  <si>
    <t xml:space="preserve"> - замена HL1</t>
  </si>
  <si>
    <t xml:space="preserve"> - замена HL2</t>
  </si>
  <si>
    <t xml:space="preserve"> - замена HL3</t>
  </si>
  <si>
    <t xml:space="preserve"> - замена VD5</t>
  </si>
  <si>
    <t xml:space="preserve"> - замена VT1</t>
  </si>
  <si>
    <t xml:space="preserve"> - замена L1</t>
  </si>
  <si>
    <t xml:space="preserve"> - замена платы</t>
  </si>
  <si>
    <t xml:space="preserve"> - замена терминала</t>
  </si>
  <si>
    <t>Очистка</t>
  </si>
  <si>
    <t>Вязка пломб</t>
  </si>
  <si>
    <t>Установка клемной крышки</t>
  </si>
  <si>
    <t>Приемка</t>
  </si>
  <si>
    <t>Документальное оформление</t>
  </si>
  <si>
    <t>Отгрузка</t>
  </si>
  <si>
    <t>мин</t>
  </si>
  <si>
    <t>CM</t>
  </si>
  <si>
    <t>10.1</t>
  </si>
  <si>
    <t>10.2</t>
  </si>
  <si>
    <t>10.3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</si>
  <si>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</si>
  <si>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</si>
  <si>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</si>
  <si>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</si>
  <si>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</si>
  <si>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</si>
  <si>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</si>
  <si>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</si>
  <si>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</si>
  <si>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</si>
  <si>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</si>
  <si>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</si>
  <si>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</si>
  <si>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</si>
  <si>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14</t>
  </si>
  <si>
    <t>15</t>
  </si>
  <si>
    <t>16</t>
  </si>
  <si>
    <t>17</t>
  </si>
  <si>
    <t>ИТОГО себестоимость</t>
  </si>
  <si>
    <t>СЕБЕСТОИМОСТЬ</t>
  </si>
  <si>
    <t>ОБЩЕПРОИЗВОДСТВЕННЫЕ РАСХОДЫ</t>
  </si>
  <si>
    <t>3.1.1</t>
  </si>
  <si>
    <t>3.1.2</t>
  </si>
  <si>
    <t>3.2.1</t>
  </si>
  <si>
    <t>3.2.2</t>
  </si>
  <si>
    <t>Материальные затраты</t>
  </si>
  <si>
    <t>Энергоносители</t>
  </si>
  <si>
    <t>Затраты на оплату труда ОПР</t>
  </si>
  <si>
    <t>Начисления на зарплату ОПР</t>
  </si>
  <si>
    <t>Амортизационные отчисления</t>
  </si>
  <si>
    <t>Прочие ОПР</t>
  </si>
  <si>
    <t>2.10.1</t>
  </si>
  <si>
    <t>2.10.2</t>
  </si>
  <si>
    <t>Наименование операции, материалов</t>
  </si>
  <si>
    <t>Цена</t>
  </si>
  <si>
    <t>Сумма</t>
  </si>
  <si>
    <t>Замена кожуха прибопа</t>
  </si>
  <si>
    <t>шт</t>
  </si>
  <si>
    <t xml:space="preserve"> - кожух прибора</t>
  </si>
  <si>
    <t>Замена цоколя прибора</t>
  </si>
  <si>
    <t xml:space="preserve"> - цоколь прибора</t>
  </si>
  <si>
    <t>Замена клемной коробки</t>
  </si>
  <si>
    <t xml:space="preserve"> - клемная коробка</t>
  </si>
  <si>
    <t>Замена платы прибора</t>
  </si>
  <si>
    <t xml:space="preserve"> - плата прибора</t>
  </si>
  <si>
    <t>Замена DA1</t>
  </si>
  <si>
    <t>5.3</t>
  </si>
  <si>
    <t xml:space="preserve"> - DA1</t>
  </si>
  <si>
    <t>Замена C19</t>
  </si>
  <si>
    <t xml:space="preserve"> - C19</t>
  </si>
  <si>
    <t>Замена CM</t>
  </si>
  <si>
    <t xml:space="preserve"> - CM</t>
  </si>
  <si>
    <t>Замена HL1</t>
  </si>
  <si>
    <t xml:space="preserve"> - HL1</t>
  </si>
  <si>
    <t>Замена HL2</t>
  </si>
  <si>
    <t xml:space="preserve"> - HL2</t>
  </si>
  <si>
    <t>8.1</t>
  </si>
  <si>
    <t>8.2</t>
  </si>
  <si>
    <t>8.3</t>
  </si>
  <si>
    <t>9.1</t>
  </si>
  <si>
    <t>9.2</t>
  </si>
  <si>
    <t>9.3</t>
  </si>
  <si>
    <t>Замена HL3</t>
  </si>
  <si>
    <t xml:space="preserve"> - HL3</t>
  </si>
  <si>
    <t>11.1</t>
  </si>
  <si>
    <t>11.2</t>
  </si>
  <si>
    <t>11.3</t>
  </si>
  <si>
    <t>Замена VD5</t>
  </si>
  <si>
    <t xml:space="preserve"> - VD5</t>
  </si>
  <si>
    <t>12.1</t>
  </si>
  <si>
    <t>12.2</t>
  </si>
  <si>
    <t>12.3</t>
  </si>
  <si>
    <t>Замена VT1</t>
  </si>
  <si>
    <t xml:space="preserve"> - VT1</t>
  </si>
  <si>
    <t>Замена L1</t>
  </si>
  <si>
    <t xml:space="preserve"> - L1</t>
  </si>
  <si>
    <t>13.1</t>
  </si>
  <si>
    <t>13.2</t>
  </si>
  <si>
    <t>13.3</t>
  </si>
  <si>
    <t>14.1</t>
  </si>
  <si>
    <t>14.2</t>
  </si>
  <si>
    <t>14.3</t>
  </si>
  <si>
    <t>Замена терминала</t>
  </si>
  <si>
    <t xml:space="preserve"> - терминал</t>
  </si>
  <si>
    <t>Материальные затраты (себестоимость)</t>
  </si>
  <si>
    <t>Материальные затраты (ОПР)</t>
  </si>
  <si>
    <t>ИТОГО ОПР</t>
  </si>
  <si>
    <t>КАЛЬКУЛЯЦИЯ</t>
  </si>
  <si>
    <t>2.6</t>
  </si>
  <si>
    <t>1.5</t>
  </si>
  <si>
    <t>1.6</t>
  </si>
  <si>
    <t>1.7</t>
  </si>
  <si>
    <t>1.7.1</t>
  </si>
  <si>
    <t>1.7.2</t>
  </si>
  <si>
    <t>1.8</t>
  </si>
  <si>
    <t>1.9</t>
  </si>
  <si>
    <t>1.10</t>
  </si>
  <si>
    <t>1.11</t>
  </si>
  <si>
    <t>1.11.1</t>
  </si>
  <si>
    <t>1.11.2</t>
  </si>
  <si>
    <t>1.12</t>
  </si>
  <si>
    <t>1.13</t>
  </si>
  <si>
    <t>1.14</t>
  </si>
  <si>
    <t xml:space="preserve"> - разборка (распил корпуса)</t>
  </si>
  <si>
    <t>Участок параметризации</t>
  </si>
  <si>
    <t xml:space="preserve"> - параметризация</t>
  </si>
  <si>
    <t>18</t>
  </si>
  <si>
    <t>19</t>
  </si>
  <si>
    <t>Сварка корпуса</t>
  </si>
  <si>
    <t>20</t>
  </si>
  <si>
    <t>Разборка (распил корпуса)</t>
  </si>
  <si>
    <t>Сварочный участок</t>
  </si>
  <si>
    <t xml:space="preserve"> - сварка корпу</t>
  </si>
  <si>
    <t>материалы</t>
  </si>
  <si>
    <t>2.1.1</t>
  </si>
  <si>
    <t>2.1.2</t>
  </si>
  <si>
    <t xml:space="preserve"> -</t>
  </si>
  <si>
    <t>2.6.1</t>
  </si>
  <si>
    <t>2.6.2</t>
  </si>
  <si>
    <t>1.10.1</t>
  </si>
  <si>
    <t>1.10.2</t>
  </si>
  <si>
    <t>стоимости ремонта однотарифных однофазных приборов учета электроэнергии</t>
  </si>
  <si>
    <t>Наименование материалов</t>
  </si>
  <si>
    <t>Версия платы</t>
  </si>
  <si>
    <t>NIK2102</t>
  </si>
  <si>
    <t>Корпусные детали</t>
  </si>
  <si>
    <t>Элементы электроники</t>
  </si>
  <si>
    <t xml:space="preserve"> - плата</t>
  </si>
  <si>
    <t>Прочие материалы</t>
  </si>
  <si>
    <t>02v5</t>
  </si>
  <si>
    <t>02v8</t>
  </si>
  <si>
    <t>02v3</t>
  </si>
  <si>
    <t>02v11</t>
  </si>
  <si>
    <t>02v12</t>
  </si>
  <si>
    <t>Дата</t>
  </si>
  <si>
    <t>кожух</t>
  </si>
  <si>
    <t>цоколь</t>
  </si>
  <si>
    <t>клемная коробка</t>
  </si>
  <si>
    <t>терминал</t>
  </si>
  <si>
    <t>плата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</si>
  <si>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</si>
  <si>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</si>
  <si>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</si>
  <si>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</si>
  <si>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</si>
  <si>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</si>
  <si>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</si>
  <si>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</si>
  <si>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</si>
  <si>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</si>
  <si>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</si>
  <si>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</si>
  <si>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</si>
  <si>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</si>
  <si>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</si>
  <si>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</si>
  <si>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</si>
  <si>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</si>
  <si>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</si>
  <si>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Столбец20</t>
  </si>
  <si>
    <t>Столбец21</t>
  </si>
  <si>
    <t>Столбец22</t>
  </si>
  <si>
    <t>Столбец23</t>
  </si>
  <si>
    <t>Столбец24</t>
  </si>
  <si>
    <t>Столбец25</t>
  </si>
  <si>
    <t>Столбец26</t>
  </si>
  <si>
    <t>Столбец27</t>
  </si>
  <si>
    <t>Столбец28</t>
  </si>
  <si>
    <t>Столбец29</t>
  </si>
  <si>
    <t>Столбец30</t>
  </si>
  <si>
    <t>Столбец31</t>
  </si>
  <si>
    <t>Столбец32</t>
  </si>
  <si>
    <t>Столбец33</t>
  </si>
  <si>
    <t>Столбец34</t>
  </si>
  <si>
    <t>Столбец35</t>
  </si>
  <si>
    <t>Столбец36</t>
  </si>
  <si>
    <t>Столбец37</t>
  </si>
  <si>
    <t>Столбец38</t>
  </si>
  <si>
    <t>Столбец39</t>
  </si>
  <si>
    <t>Столбец40</t>
  </si>
  <si>
    <t>Столбец41</t>
  </si>
  <si>
    <t>Столбец42</t>
  </si>
  <si>
    <t>Столбец43</t>
  </si>
  <si>
    <t>Столбец44</t>
  </si>
  <si>
    <t>Столбец45</t>
  </si>
  <si>
    <t>Столбец46</t>
  </si>
  <si>
    <t>Столбец47</t>
  </si>
  <si>
    <t>Столбец48</t>
  </si>
  <si>
    <t>Столбец49</t>
  </si>
  <si>
    <t>Столбец50</t>
  </si>
  <si>
    <t>Столбец51</t>
  </si>
  <si>
    <t>Столбец52</t>
  </si>
  <si>
    <t>Столбец53</t>
  </si>
  <si>
    <t>Столбец54</t>
  </si>
  <si>
    <t>Столбец55</t>
  </si>
  <si>
    <t>Столбец56</t>
  </si>
  <si>
    <t>Столбец57</t>
  </si>
  <si>
    <t>Столбец58</t>
  </si>
  <si>
    <t>Столбец59</t>
  </si>
  <si>
    <t>Столбец60</t>
  </si>
  <si>
    <t>Столбец61</t>
  </si>
  <si>
    <t>Столбец62</t>
  </si>
  <si>
    <t>Столбец63</t>
  </si>
  <si>
    <t>Столбец64</t>
  </si>
  <si>
    <t>Столбец65</t>
  </si>
  <si>
    <t>Столбец66</t>
  </si>
  <si>
    <t>Столбец67</t>
  </si>
  <si>
    <t>Столбец68</t>
  </si>
  <si>
    <t>Столбец69</t>
  </si>
  <si>
    <t>Столбец70</t>
  </si>
  <si>
    <t>Столбец71</t>
  </si>
  <si>
    <t>Столбец110</t>
  </si>
  <si>
    <t>Столбец152</t>
  </si>
  <si>
    <t>Столбец292</t>
  </si>
  <si>
    <t>Столбец432</t>
  </si>
  <si>
    <t>Столбец572</t>
  </si>
  <si>
    <t>ПЛАНОВАЯ КАЛЬКУЛЯЦИЯ</t>
  </si>
  <si>
    <t>Подразделение</t>
  </si>
  <si>
    <t>Должность</t>
  </si>
  <si>
    <t>Вид затрат</t>
  </si>
  <si>
    <t>З/пл 1</t>
  </si>
  <si>
    <t>З/пл 2</t>
  </si>
  <si>
    <t>Итого з/пл</t>
  </si>
  <si>
    <t>Налоги</t>
  </si>
  <si>
    <t>Всего</t>
  </si>
  <si>
    <t>НДФЛ</t>
  </si>
  <si>
    <t>ЕСВ</t>
  </si>
  <si>
    <t>ВС</t>
  </si>
  <si>
    <t>ЦОВ</t>
  </si>
  <si>
    <t>Руководитель</t>
  </si>
  <si>
    <t>ЗСЯ</t>
  </si>
  <si>
    <t>ЗСМ</t>
  </si>
  <si>
    <t>Начальник лаборатории</t>
  </si>
  <si>
    <t>ОПР</t>
  </si>
  <si>
    <t>Лаборант</t>
  </si>
  <si>
    <t>ССт</t>
  </si>
  <si>
    <t>Итог</t>
  </si>
  <si>
    <t>К-во рабочих дней</t>
  </si>
  <si>
    <t>Продолжительность раб. дня</t>
  </si>
  <si>
    <t>Затраты на оплату труда (грн/мин)</t>
  </si>
  <si>
    <t>СЦ</t>
  </si>
  <si>
    <t>Приемщица</t>
  </si>
  <si>
    <t>Слесарь</t>
  </si>
  <si>
    <t>Ремонтник</t>
  </si>
  <si>
    <t>Учетчик</t>
  </si>
  <si>
    <t>Количество меняемых элементов</t>
  </si>
  <si>
    <t>Бригадир упаковщиков</t>
  </si>
  <si>
    <t>Упаковщик</t>
  </si>
  <si>
    <t>ДУ</t>
  </si>
  <si>
    <t>2.13</t>
  </si>
  <si>
    <t>Мононить</t>
  </si>
  <si>
    <t>Пломба</t>
  </si>
  <si>
    <t>Кл крышка</t>
  </si>
  <si>
    <t xml:space="preserve"> - затраты на оплату труда и отчисления</t>
  </si>
  <si>
    <t xml:space="preserve"> - материальные затраты</t>
  </si>
  <si>
    <t xml:space="preserve"> - государственная поверка</t>
  </si>
  <si>
    <t>РАСЧЕТ</t>
  </si>
  <si>
    <t>зватрат на оплату труда и "отчисления"</t>
  </si>
  <si>
    <t>К-во       (чел.)</t>
  </si>
  <si>
    <t>З/пл 1                     (грн.)</t>
  </si>
  <si>
    <t>З/пл 2                                    (грн.)</t>
  </si>
  <si>
    <t>Итого з/пл                                        (грн.)</t>
  </si>
  <si>
    <t>Налоги                                    (грн.)</t>
  </si>
  <si>
    <t>Всего                                       (грн.)</t>
  </si>
  <si>
    <t>РАСЧЕТ ОПР</t>
  </si>
  <si>
    <t>Наименование затрат</t>
  </si>
  <si>
    <t>Затраты на оплату труда админ персонала</t>
  </si>
  <si>
    <t>Амортизация ОС</t>
  </si>
  <si>
    <t>Затраты на оплату труда КБ</t>
  </si>
  <si>
    <t>Комунальные затраты</t>
  </si>
  <si>
    <t>Расходы накопленные при разборке приборов</t>
  </si>
  <si>
    <t>Амортизация НМА</t>
  </si>
  <si>
    <t>МБП</t>
  </si>
  <si>
    <t>Затраты на содержание оргтехники</t>
  </si>
  <si>
    <t>Затраты на обслуживание авто</t>
  </si>
  <si>
    <t>Затраты на содержание ОС</t>
  </si>
  <si>
    <t>Затраты на топливо</t>
  </si>
  <si>
    <t>Затраты на аренду</t>
  </si>
  <si>
    <t>Командировочные затраты</t>
  </si>
  <si>
    <t>Затраты на обучение персонала</t>
  </si>
  <si>
    <t>Затраты на связь</t>
  </si>
  <si>
    <t>Представительские затраты</t>
  </si>
  <si>
    <t>Затраты на логистику</t>
  </si>
  <si>
    <t>Затраты на страхование</t>
  </si>
  <si>
    <t>Відомість по витратах (управлінський облік)</t>
  </si>
  <si>
    <t>Період: Січень 2019 р. - Листопад 2019 р.</t>
  </si>
  <si>
    <t>Показники: Сума(Надходження);</t>
  </si>
  <si>
    <t>Групування рядків: Підрозділ (Елементи); Стаття витрат (Елементи);</t>
  </si>
  <si>
    <t>Груповання стовпчиків: По місяцях (Елементи);</t>
  </si>
  <si>
    <t>Підрозділ</t>
  </si>
  <si>
    <t>Січень 2019 р.</t>
  </si>
  <si>
    <t>Лютий 2019 р.</t>
  </si>
  <si>
    <t>Березень 2019 р.</t>
  </si>
  <si>
    <t>Квітень 2019 р.</t>
  </si>
  <si>
    <t>Травень 2019 р.</t>
  </si>
  <si>
    <t>Червень 2019 р.</t>
  </si>
  <si>
    <t>Липень 2019 р.</t>
  </si>
  <si>
    <t>Серпень 2019 р.</t>
  </si>
  <si>
    <t>Вересень 2019 р.</t>
  </si>
  <si>
    <t>Жовтень 2019 р.</t>
  </si>
  <si>
    <t>Підсумок</t>
  </si>
  <si>
    <t>Средний показатель</t>
  </si>
  <si>
    <t>Стаття витрат</t>
  </si>
  <si>
    <t>Сума</t>
  </si>
  <si>
    <t>ЗаводДнепр</t>
  </si>
  <si>
    <t>Амортизация МНМА</t>
  </si>
  <si>
    <t>Амортизация нематериальных активов общехозяйственного использования</t>
  </si>
  <si>
    <t>Амортизация ОС админ</t>
  </si>
  <si>
    <t>Амортизация ОС общепроизводственного назначения</t>
  </si>
  <si>
    <t>Амортизация ОС общепроизводственные</t>
  </si>
  <si>
    <t>Амортизация ОС общехозяйственного использования</t>
  </si>
  <si>
    <t>Затраты на содержание ОС, других необоротных материальных активов общехозяйственного использования</t>
  </si>
  <si>
    <r>
      <t>Затраты на содержание ОС, других необоротных материальных активов общехозяйственного использования</t>
    </r>
    <r>
      <rPr>
        <b/>
        <sz val="8"/>
        <color rgb="FFFF0000"/>
        <rFont val="Times New Roman"/>
        <family val="1"/>
        <charset val="204"/>
      </rPr>
      <t xml:space="preserve"> (строительные работы)</t>
    </r>
  </si>
  <si>
    <r>
      <t xml:space="preserve">Компенсація комунальних витрат (вода , е/е, газ та ін.) </t>
    </r>
    <r>
      <rPr>
        <sz val="8"/>
        <color rgb="FFFF0000"/>
        <rFont val="Times New Roman"/>
        <family val="1"/>
        <charset val="204"/>
      </rPr>
      <t>(в 1С списание с 92 счета по субконто "взносы с зарплаты админ. персонала)</t>
    </r>
  </si>
  <si>
    <t>Материалы Общепроизводственные</t>
  </si>
  <si>
    <t>МШП</t>
  </si>
  <si>
    <t>Общие корпоративные затраты</t>
  </si>
  <si>
    <t>Прочие общепроизводственные затраты</t>
  </si>
  <si>
    <t>Расходы на воду,чай,кофе и пр.</t>
  </si>
  <si>
    <t>Расходы на интернет</t>
  </si>
  <si>
    <t>Расходы на картридж,заправку принтер,ксерокс</t>
  </si>
  <si>
    <t>Расходы на командировки</t>
  </si>
  <si>
    <t>Расходы на логистику</t>
  </si>
  <si>
    <t>Расходы на матеріал</t>
  </si>
  <si>
    <t>Расходы на нотариальные, юрид.,пр. услуги</t>
  </si>
  <si>
    <t>Расходы на обслуживание авто</t>
  </si>
  <si>
    <t>Расходы на обучение, семинары</t>
  </si>
  <si>
    <t>Расходы на отопление, освещение, водоснабжение и другие услуги по содержанию производственных помещений</t>
  </si>
  <si>
    <t>Расходы на паливо</t>
  </si>
  <si>
    <t>Расходы на содержание ОС</t>
  </si>
  <si>
    <t>Расходы на содержание, эксплуатацию и ремонт, оперативную аренду ОС, других необоротных активов общепроизводственного назначения</t>
  </si>
  <si>
    <t>Расходы на специализированную литературу</t>
  </si>
  <si>
    <t>Расходы на страхование</t>
  </si>
  <si>
    <t>Расходы на услуги (проект,монтаж,наладка и т.д.)</t>
  </si>
  <si>
    <t>Расходы на услуги поверки (параметр и т.д.)</t>
  </si>
  <si>
    <t>Расходы на услуги связи город</t>
  </si>
  <si>
    <t>Расходы накопленные при обменном фонде</t>
  </si>
  <si>
    <t>Расходы по аренде склада</t>
  </si>
  <si>
    <t>Расходы по ЗП (Админ)</t>
  </si>
  <si>
    <t>Расходы по ЗП (Збут)</t>
  </si>
  <si>
    <t>Расходы по ЗП КБ</t>
  </si>
  <si>
    <t>Расходы по ЗП Производство</t>
  </si>
  <si>
    <t>Расходы представительские</t>
  </si>
  <si>
    <r>
      <t>Улучшение и ремонт ОС общехозяйственного использования</t>
    </r>
    <r>
      <rPr>
        <b/>
        <sz val="8"/>
        <color rgb="FFFF0000"/>
        <rFont val="Times New Roman"/>
        <family val="1"/>
        <charset val="204"/>
      </rPr>
      <t xml:space="preserve"> (проектные работы)</t>
    </r>
  </si>
  <si>
    <t>База распределения (чел/час)</t>
  </si>
  <si>
    <t>Трудозатраты    (чел/час)</t>
  </si>
  <si>
    <t>РАСПРЕДЕЛЕНИЕ ОПР</t>
  </si>
  <si>
    <t>УТР</t>
  </si>
  <si>
    <t>УчУп</t>
  </si>
  <si>
    <t>СУ</t>
  </si>
  <si>
    <t xml:space="preserve"> - сварка корпуса</t>
  </si>
  <si>
    <t>УП</t>
  </si>
  <si>
    <t>1т 1ф</t>
  </si>
  <si>
    <t>1т 3ф</t>
  </si>
  <si>
    <t>Мт</t>
  </si>
  <si>
    <t>в том числе по подразделениям</t>
  </si>
  <si>
    <t>Итого</t>
  </si>
  <si>
    <t xml:space="preserve"> - слесарное отделение</t>
  </si>
  <si>
    <t xml:space="preserve"> - ремонтное отделение</t>
  </si>
  <si>
    <t xml:space="preserve"> - приемное отделение</t>
  </si>
  <si>
    <t>Ремонтный участок</t>
  </si>
  <si>
    <t>Сумма ОПР участка</t>
  </si>
  <si>
    <t>ОПР на единицу</t>
  </si>
  <si>
    <t>Производственная мощность по ремонту</t>
  </si>
  <si>
    <t>21</t>
  </si>
  <si>
    <t>Сборка</t>
  </si>
  <si>
    <t>2.14</t>
  </si>
  <si>
    <t xml:space="preserve"> - сборка</t>
  </si>
  <si>
    <t>Наименование показателя</t>
  </si>
  <si>
    <t>Распределение ОПР по типам ремонта</t>
  </si>
  <si>
    <t>по производственным подразделениям</t>
  </si>
  <si>
    <t>Примечания</t>
  </si>
  <si>
    <t>Не включена в расчет - разовая затрата</t>
  </si>
  <si>
    <t>Не включена в расчет - затраты на проведение строительных работ</t>
  </si>
  <si>
    <t>Не включена в расчет - метериалы отнесенные на себестоимость продукции</t>
  </si>
  <si>
    <t>Не включена в расчет - затраты на проведение проектных работ работ</t>
  </si>
  <si>
    <t>Не включена в расчет - отнесена на себестоимость продукции</t>
  </si>
  <si>
    <t>Не включена в расчет - покрывается за счет прибыли</t>
  </si>
  <si>
    <r>
      <t xml:space="preserve">ИТОГО себестоимость                  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в том числе:</t>
    </r>
  </si>
  <si>
    <t>Един. изм.</t>
  </si>
  <si>
    <t>приб/мес</t>
  </si>
  <si>
    <t>грн</t>
  </si>
  <si>
    <t>грн/приб</t>
  </si>
  <si>
    <t>Без ремонта     (грн)</t>
  </si>
  <si>
    <t>Кожух     (грн)</t>
  </si>
  <si>
    <t>Цоколь     (грн)</t>
  </si>
  <si>
    <t>Клемная колодка     (грн)</t>
  </si>
  <si>
    <t>Терминал     (грн)</t>
  </si>
  <si>
    <t>Плата     (грн)</t>
  </si>
  <si>
    <t>DA1     (грн)</t>
  </si>
  <si>
    <t>C19     (грн)</t>
  </si>
  <si>
    <t>CM     (грн)</t>
  </si>
  <si>
    <t>HL1     (грн)</t>
  </si>
  <si>
    <t>HL2     (грн)</t>
  </si>
  <si>
    <t>HL3     (грн)</t>
  </si>
  <si>
    <t>VD5     (грн)</t>
  </si>
  <si>
    <t>VT1     (грн)</t>
  </si>
  <si>
    <t>L1     (грн)</t>
  </si>
  <si>
    <t>ИТОГО     (грн)</t>
  </si>
  <si>
    <t>распределения общепроизводственных затрат в зависимости от производственной мощности предприятия по выполнению определенного вида ремонта</t>
  </si>
  <si>
    <t>Наиболее часто встречающиеся варианты ремонта</t>
  </si>
  <si>
    <t>№/   п.п.</t>
  </si>
  <si>
    <t>Наименование затрат, материалов</t>
  </si>
  <si>
    <t>К-во    (шт)</t>
  </si>
  <si>
    <t>Доля      (%)</t>
  </si>
  <si>
    <t>Время                        (мин)</t>
  </si>
  <si>
    <t>Норма</t>
  </si>
  <si>
    <t>замена DA1,кожуха</t>
  </si>
  <si>
    <t>замена DA1,кожуха,цоколя</t>
  </si>
  <si>
    <t>замена DA1,С19</t>
  </si>
  <si>
    <t>замена С19</t>
  </si>
  <si>
    <t>замена С19,HL2</t>
  </si>
  <si>
    <t>замена колодки</t>
  </si>
  <si>
    <t>замена платы</t>
  </si>
  <si>
    <t>замена платы,кожуха,цоколя</t>
  </si>
  <si>
    <t>дополнительная поверка</t>
  </si>
  <si>
    <t>1.1.1</t>
  </si>
  <si>
    <t>1.1.2</t>
  </si>
  <si>
    <t>1.1.3</t>
  </si>
  <si>
    <t>Подразделение2</t>
  </si>
  <si>
    <t>Участок</t>
  </si>
  <si>
    <t>Пр.Отд.</t>
  </si>
  <si>
    <t>Сл.Отд.</t>
  </si>
  <si>
    <t>Рем.Отд.</t>
  </si>
  <si>
    <t>Лаб</t>
  </si>
  <si>
    <t>Трудозатраты по ШР</t>
  </si>
  <si>
    <t>замена DA1</t>
  </si>
  <si>
    <t>t. рем.</t>
  </si>
  <si>
    <t>Слесарный участок.</t>
  </si>
  <si>
    <t>К-во ремонтов</t>
  </si>
  <si>
    <t>Тип ремонта</t>
  </si>
  <si>
    <t>Недостаток (-), избыток (+) времени</t>
  </si>
  <si>
    <t>Участок приемки</t>
  </si>
  <si>
    <t>Доля</t>
  </si>
  <si>
    <t>Наименование работ, затрат</t>
  </si>
  <si>
    <t xml:space="preserve"> (чел/мин)</t>
  </si>
  <si>
    <t>(чел/час)</t>
  </si>
  <si>
    <t>чел</t>
  </si>
  <si>
    <t>Рабочее время согласно штатного расписания (чел/мин)</t>
  </si>
  <si>
    <t>ХРОНОМЕТРАЖ</t>
  </si>
  <si>
    <t>технологических операций</t>
  </si>
  <si>
    <t>Прибор</t>
  </si>
  <si>
    <t>Фактически затраченное к-во времени исходя из производственной мощности участка (чел/мин)</t>
  </si>
  <si>
    <t>СВОДНАЯ ТАБЛИЦА</t>
  </si>
  <si>
    <t>День</t>
  </si>
  <si>
    <t>Час</t>
  </si>
  <si>
    <t>Мин</t>
  </si>
  <si>
    <t>по подразделению "завод__________"</t>
  </si>
  <si>
    <t>цен на основные материалы используемые при ремонте приборов ________________</t>
  </si>
  <si>
    <t>Подразделение: "Завод ______"</t>
  </si>
  <si>
    <t>Подразделение: "Завод ________"</t>
  </si>
  <si>
    <t>стоимости ремонта ___________________________________________________</t>
  </si>
  <si>
    <t>стоимости ремонта однотарифных однофазных приборов учета электроэнергии _______</t>
  </si>
  <si>
    <t>структурной сбалансированности сервисного центра при выполнении работ по ремонту приборов _________</t>
  </si>
  <si>
    <t>цен на прочие материалы используемые при ремонте приборов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</si>
</sst>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"/>
    <numFmt numFmtId="166" formatCode="0.00;[Red]\-0.00"/>
  </numFmts>
  <fonts count="4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b/>
      <sz val="14"/>
      <color rgb="FF13DF6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8"/>
      <name val="Arial"/>
      <family val="2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rgb="FF594304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rgb="FFFFFF00"/>
      <name val="Times New Roman"/>
      <family val="1"/>
      <charset val="204"/>
    </font>
    <font>
      <sz val="11"/>
      <color rgb="FFFFFF0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3A1A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5F2DD"/>
      </patternFill>
    </fill>
    <fill>
      <patternFill patternType="solid">
        <fgColor rgb="FF00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FF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theme="0"/>
      </right>
      <top style="medium">
        <color indexed="64"/>
      </top>
      <bottom style="medium">
        <color indexed="64"/>
      </bottom>
      <diagonal/>
    </border>
    <border>
      <left style="dotted">
        <color theme="0"/>
      </left>
      <right style="dotted">
        <color theme="0"/>
      </right>
      <top style="medium">
        <color indexed="64"/>
      </top>
      <bottom style="medium">
        <color indexed="64"/>
      </bottom>
      <diagonal/>
    </border>
    <border>
      <left style="dotted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/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5" tint="-0.499984740745262"/>
      </left>
      <right style="thin">
        <color theme="0"/>
      </right>
      <top style="medium">
        <color theme="5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5" tint="-0.499984740745262"/>
      </top>
      <bottom style="thin">
        <color theme="0"/>
      </bottom>
      <diagonal/>
    </border>
    <border>
      <left style="thin">
        <color theme="0"/>
      </left>
      <right style="medium">
        <color theme="5" tint="-0.499984740745262"/>
      </right>
      <top style="medium">
        <color theme="5" tint="-0.499984740745262"/>
      </top>
      <bottom style="thin">
        <color theme="0"/>
      </bottom>
      <diagonal/>
    </border>
    <border>
      <left style="medium">
        <color theme="5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5" tint="-0.499984740745262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5" tint="-0.499984740745262"/>
      </bottom>
      <diagonal/>
    </border>
    <border>
      <left style="thin">
        <color theme="0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5" tint="-0.499984740745262"/>
      </bottom>
      <diagonal/>
    </border>
    <border>
      <left style="thin">
        <color rgb="FFB3AC86"/>
      </left>
      <right/>
      <top/>
      <bottom/>
      <diagonal/>
    </border>
    <border>
      <left style="thin">
        <color rgb="FFB3AC86"/>
      </left>
      <right/>
      <top style="thin">
        <color rgb="FFB3AC86"/>
      </top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/>
      <top style="thin">
        <color rgb="FFB3AC86"/>
      </top>
      <bottom style="thin">
        <color rgb="FFB3AC86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/>
      <right style="thin">
        <color theme="0"/>
      </right>
      <top style="thin">
        <color theme="0"/>
      </top>
      <bottom style="medium">
        <color theme="5" tint="-0.499984740745262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24" fillId="0" borderId="0"/>
  </cellStyleXfs>
  <cellXfs count="733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vertical="center"/>
    </xf>
    <xf numFmtId="4" fontId="3" fillId="5" borderId="8" xfId="0" applyNumberFormat="1" applyFont="1" applyFill="1" applyBorder="1" applyAlignment="1">
      <alignment horizontal="right" vertical="center"/>
    </xf>
    <xf numFmtId="4" fontId="3" fillId="5" borderId="8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right" vertical="center"/>
    </xf>
    <xf numFmtId="4" fontId="3" fillId="3" borderId="8" xfId="0" applyNumberFormat="1" applyFont="1" applyFill="1" applyBorder="1" applyAlignment="1">
      <alignment vertical="center"/>
    </xf>
    <xf numFmtId="4" fontId="3" fillId="3" borderId="8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4" fontId="9" fillId="5" borderId="8" xfId="0" applyNumberFormat="1" applyFont="1" applyFill="1" applyBorder="1" applyAlignment="1">
      <alignment horizontal="right" vertical="center"/>
    </xf>
    <xf numFmtId="4" fontId="9" fillId="3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" fontId="9" fillId="5" borderId="8" xfId="0" applyNumberFormat="1" applyFont="1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4" fontId="7" fillId="5" borderId="12" xfId="0" applyNumberFormat="1" applyFont="1" applyFill="1" applyBorder="1" applyAlignment="1">
      <alignment vertical="center"/>
    </xf>
    <xf numFmtId="4" fontId="7" fillId="3" borderId="12" xfId="0" applyNumberFormat="1" applyFont="1" applyFill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horizontal="right" vertical="center"/>
    </xf>
    <xf numFmtId="4" fontId="9" fillId="0" borderId="10" xfId="0" applyNumberFormat="1" applyFont="1" applyBorder="1" applyAlignment="1">
      <alignment vertical="center"/>
    </xf>
    <xf numFmtId="4" fontId="7" fillId="3" borderId="27" xfId="0" applyNumberFormat="1" applyFont="1" applyFill="1" applyBorder="1" applyAlignment="1">
      <alignment vertical="center"/>
    </xf>
    <xf numFmtId="4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vertical="center"/>
    </xf>
    <xf numFmtId="4" fontId="7" fillId="5" borderId="27" xfId="0" applyNumberFormat="1" applyFont="1" applyFill="1" applyBorder="1" applyAlignment="1">
      <alignment vertical="center"/>
    </xf>
    <xf numFmtId="4" fontId="3" fillId="5" borderId="28" xfId="0" applyNumberFormat="1" applyFont="1" applyFill="1" applyBorder="1" applyAlignment="1">
      <alignment horizontal="right" vertical="center"/>
    </xf>
    <xf numFmtId="4" fontId="3" fillId="5" borderId="29" xfId="0" applyNumberFormat="1" applyFont="1" applyFill="1" applyBorder="1" applyAlignment="1">
      <alignment horizontal="right" vertical="center"/>
    </xf>
    <xf numFmtId="4" fontId="3" fillId="5" borderId="28" xfId="0" applyNumberFormat="1" applyFont="1" applyFill="1" applyBorder="1" applyAlignment="1">
      <alignment vertical="center"/>
    </xf>
    <xf numFmtId="4" fontId="3" fillId="5" borderId="29" xfId="0" applyNumberFormat="1" applyFont="1" applyFill="1" applyBorder="1" applyAlignment="1">
      <alignment vertical="center"/>
    </xf>
    <xf numFmtId="4" fontId="9" fillId="5" borderId="28" xfId="0" applyNumberFormat="1" applyFont="1" applyFill="1" applyBorder="1" applyAlignment="1">
      <alignment horizontal="right" vertical="center"/>
    </xf>
    <xf numFmtId="4" fontId="9" fillId="5" borderId="29" xfId="0" applyNumberFormat="1" applyFont="1" applyFill="1" applyBorder="1" applyAlignment="1">
      <alignment horizontal="right" vertical="center"/>
    </xf>
    <xf numFmtId="4" fontId="3" fillId="5" borderId="28" xfId="0" applyNumberFormat="1" applyFont="1" applyFill="1" applyBorder="1" applyAlignment="1">
      <alignment horizontal="center" vertical="center"/>
    </xf>
    <xf numFmtId="4" fontId="3" fillId="5" borderId="29" xfId="0" applyNumberFormat="1" applyFont="1" applyFill="1" applyBorder="1" applyAlignment="1">
      <alignment horizontal="center" vertical="center"/>
    </xf>
    <xf numFmtId="4" fontId="9" fillId="5" borderId="28" xfId="0" applyNumberFormat="1" applyFont="1" applyFill="1" applyBorder="1" applyAlignment="1">
      <alignment horizontal="center" vertical="center"/>
    </xf>
    <xf numFmtId="4" fontId="9" fillId="5" borderId="29" xfId="0" applyNumberFormat="1" applyFont="1" applyFill="1" applyBorder="1" applyAlignment="1">
      <alignment horizontal="center" vertical="center"/>
    </xf>
    <xf numFmtId="4" fontId="7" fillId="4" borderId="32" xfId="0" applyNumberFormat="1" applyFont="1" applyFill="1" applyBorder="1" applyAlignment="1">
      <alignment vertical="center"/>
    </xf>
    <xf numFmtId="4" fontId="3" fillId="4" borderId="33" xfId="0" applyNumberFormat="1" applyFont="1" applyFill="1" applyBorder="1" applyAlignment="1">
      <alignment vertical="center"/>
    </xf>
    <xf numFmtId="4" fontId="7" fillId="4" borderId="30" xfId="0" applyNumberFormat="1" applyFont="1" applyFill="1" applyBorder="1" applyAlignment="1">
      <alignment vertical="center"/>
    </xf>
    <xf numFmtId="4" fontId="7" fillId="5" borderId="18" xfId="0" applyNumberFormat="1" applyFont="1" applyFill="1" applyBorder="1" applyAlignment="1">
      <alignment vertical="center"/>
    </xf>
    <xf numFmtId="4" fontId="7" fillId="5" borderId="19" xfId="0" applyNumberFormat="1" applyFont="1" applyFill="1" applyBorder="1" applyAlignment="1">
      <alignment vertical="center"/>
    </xf>
    <xf numFmtId="4" fontId="7" fillId="3" borderId="18" xfId="0" applyNumberFormat="1" applyFont="1" applyFill="1" applyBorder="1" applyAlignment="1">
      <alignment vertical="center"/>
    </xf>
    <xf numFmtId="4" fontId="7" fillId="3" borderId="19" xfId="0" applyNumberFormat="1" applyFont="1" applyFill="1" applyBorder="1" applyAlignment="1">
      <alignment vertical="center"/>
    </xf>
    <xf numFmtId="4" fontId="3" fillId="4" borderId="31" xfId="0" applyNumberFormat="1" applyFont="1" applyFill="1" applyBorder="1" applyAlignment="1">
      <alignment vertical="center"/>
    </xf>
    <xf numFmtId="4" fontId="3" fillId="5" borderId="21" xfId="0" applyNumberFormat="1" applyFont="1" applyFill="1" applyBorder="1" applyAlignment="1">
      <alignment horizontal="right" vertical="center"/>
    </xf>
    <xf numFmtId="4" fontId="3" fillId="5" borderId="22" xfId="0" applyNumberFormat="1" applyFont="1" applyFill="1" applyBorder="1" applyAlignment="1">
      <alignment horizontal="right" vertical="center"/>
    </xf>
    <xf numFmtId="4" fontId="3" fillId="5" borderId="23" xfId="0" applyNumberFormat="1" applyFont="1" applyFill="1" applyBorder="1" applyAlignment="1">
      <alignment horizontal="right" vertical="center"/>
    </xf>
    <xf numFmtId="4" fontId="3" fillId="3" borderId="21" xfId="0" applyNumberFormat="1" applyFont="1" applyFill="1" applyBorder="1" applyAlignment="1">
      <alignment horizontal="right" vertical="center"/>
    </xf>
    <xf numFmtId="4" fontId="3" fillId="3" borderId="22" xfId="0" applyNumberFormat="1" applyFont="1" applyFill="1" applyBorder="1" applyAlignment="1">
      <alignment horizontal="right" vertical="center"/>
    </xf>
    <xf numFmtId="4" fontId="7" fillId="3" borderId="24" xfId="0" applyNumberFormat="1" applyFont="1" applyFill="1" applyBorder="1" applyAlignment="1">
      <alignment vertical="center"/>
    </xf>
    <xf numFmtId="4" fontId="3" fillId="3" borderId="9" xfId="0" applyNumberFormat="1" applyFont="1" applyFill="1" applyBorder="1" applyAlignment="1">
      <alignment horizontal="right" vertical="center"/>
    </xf>
    <xf numFmtId="4" fontId="3" fillId="3" borderId="9" xfId="0" applyNumberFormat="1" applyFont="1" applyFill="1" applyBorder="1" applyAlignment="1">
      <alignment vertical="center"/>
    </xf>
    <xf numFmtId="4" fontId="3" fillId="3" borderId="25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vertical="center"/>
    </xf>
    <xf numFmtId="4" fontId="10" fillId="5" borderId="15" xfId="0" applyNumberFormat="1" applyFont="1" applyFill="1" applyBorder="1" applyAlignment="1">
      <alignment horizontal="right" vertical="center"/>
    </xf>
    <xf numFmtId="4" fontId="10" fillId="5" borderId="16" xfId="0" applyNumberFormat="1" applyFont="1" applyFill="1" applyBorder="1" applyAlignment="1">
      <alignment horizontal="right" vertical="center"/>
    </xf>
    <xf numFmtId="4" fontId="10" fillId="5" borderId="17" xfId="0" applyNumberFormat="1" applyFont="1" applyFill="1" applyBorder="1" applyAlignment="1">
      <alignment horizontal="right" vertical="center"/>
    </xf>
    <xf numFmtId="4" fontId="10" fillId="3" borderId="15" xfId="0" applyNumberFormat="1" applyFont="1" applyFill="1" applyBorder="1" applyAlignment="1">
      <alignment horizontal="right" vertical="center"/>
    </xf>
    <xf numFmtId="4" fontId="10" fillId="3" borderId="16" xfId="0" applyNumberFormat="1" applyFont="1" applyFill="1" applyBorder="1" applyAlignment="1">
      <alignment horizontal="right" vertical="center"/>
    </xf>
    <xf numFmtId="4" fontId="10" fillId="3" borderId="26" xfId="0" applyNumberFormat="1" applyFont="1" applyFill="1" applyBorder="1" applyAlignment="1">
      <alignment horizontal="right" vertical="center"/>
    </xf>
    <xf numFmtId="4" fontId="10" fillId="0" borderId="1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" fontId="7" fillId="3" borderId="14" xfId="0" applyNumberFormat="1" applyFont="1" applyFill="1" applyBorder="1" applyAlignment="1">
      <alignment vertical="center"/>
    </xf>
    <xf numFmtId="4" fontId="7" fillId="5" borderId="18" xfId="0" applyNumberFormat="1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7" fillId="6" borderId="18" xfId="0" applyNumberFormat="1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vertical="center"/>
    </xf>
    <xf numFmtId="49" fontId="3" fillId="6" borderId="28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49" fontId="3" fillId="6" borderId="21" xfId="0" applyNumberFormat="1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center" vertical="center"/>
    </xf>
    <xf numFmtId="49" fontId="7" fillId="6" borderId="27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25" xfId="0" applyFont="1" applyFill="1" applyBorder="1" applyAlignment="1">
      <alignment horizontal="right" vertical="center"/>
    </xf>
    <xf numFmtId="4" fontId="2" fillId="3" borderId="33" xfId="0" applyNumberFormat="1" applyFont="1" applyFill="1" applyBorder="1" applyAlignment="1">
      <alignment horizontal="center" vertical="center"/>
    </xf>
    <xf numFmtId="4" fontId="2" fillId="3" borderId="34" xfId="0" applyNumberFormat="1" applyFont="1" applyFill="1" applyBorder="1" applyAlignment="1">
      <alignment horizontal="center" vertical="center"/>
    </xf>
    <xf numFmtId="4" fontId="2" fillId="3" borderId="32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10" fillId="3" borderId="30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vertical="center"/>
    </xf>
    <xf numFmtId="0" fontId="3" fillId="6" borderId="29" xfId="0" applyFont="1" applyFill="1" applyBorder="1" applyAlignment="1">
      <alignment vertical="center"/>
    </xf>
    <xf numFmtId="0" fontId="9" fillId="6" borderId="29" xfId="0" applyFont="1" applyFill="1" applyBorder="1" applyAlignment="1">
      <alignment horizontal="right" vertical="center"/>
    </xf>
    <xf numFmtId="0" fontId="3" fillId="6" borderId="23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9" fillId="3" borderId="10" xfId="0" applyNumberFormat="1" applyFont="1" applyFill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right" vertical="center"/>
    </xf>
    <xf numFmtId="4" fontId="7" fillId="5" borderId="19" xfId="0" applyNumberFormat="1" applyFont="1" applyFill="1" applyBorder="1" applyAlignment="1">
      <alignment horizontal="right" vertical="center"/>
    </xf>
    <xf numFmtId="4" fontId="7" fillId="5" borderId="20" xfId="0" applyNumberFormat="1" applyFont="1" applyFill="1" applyBorder="1" applyAlignment="1">
      <alignment horizontal="right" vertical="center"/>
    </xf>
    <xf numFmtId="4" fontId="3" fillId="3" borderId="29" xfId="0" applyNumberFormat="1" applyFont="1" applyFill="1" applyBorder="1" applyAlignment="1">
      <alignment vertical="center"/>
    </xf>
    <xf numFmtId="4" fontId="3" fillId="3" borderId="29" xfId="0" applyNumberFormat="1" applyFont="1" applyFill="1" applyBorder="1" applyAlignment="1">
      <alignment horizontal="center" vertical="center"/>
    </xf>
    <xf numFmtId="4" fontId="9" fillId="3" borderId="29" xfId="0" applyNumberFormat="1" applyFont="1" applyFill="1" applyBorder="1" applyAlignment="1">
      <alignment horizontal="center" vertical="center"/>
    </xf>
    <xf numFmtId="4" fontId="3" fillId="3" borderId="29" xfId="0" applyNumberFormat="1" applyFont="1" applyFill="1" applyBorder="1" applyAlignment="1">
      <alignment horizontal="right" vertical="center"/>
    </xf>
    <xf numFmtId="4" fontId="9" fillId="3" borderId="29" xfId="0" applyNumberFormat="1" applyFont="1" applyFill="1" applyBorder="1" applyAlignment="1">
      <alignment horizontal="right" vertical="center"/>
    </xf>
    <xf numFmtId="4" fontId="3" fillId="3" borderId="23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4" fontId="3" fillId="4" borderId="37" xfId="0" applyNumberFormat="1" applyFont="1" applyFill="1" applyBorder="1" applyAlignment="1">
      <alignment vertical="center"/>
    </xf>
    <xf numFmtId="4" fontId="3" fillId="4" borderId="37" xfId="0" applyNumberFormat="1" applyFont="1" applyFill="1" applyBorder="1" applyAlignment="1">
      <alignment horizontal="center" vertical="center"/>
    </xf>
    <xf numFmtId="4" fontId="9" fillId="4" borderId="37" xfId="0" applyNumberFormat="1" applyFont="1" applyFill="1" applyBorder="1" applyAlignment="1">
      <alignment horizontal="center" vertical="center"/>
    </xf>
    <xf numFmtId="4" fontId="3" fillId="4" borderId="39" xfId="0" applyNumberFormat="1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right" vertical="center"/>
    </xf>
    <xf numFmtId="4" fontId="3" fillId="3" borderId="40" xfId="0" applyNumberFormat="1" applyFont="1" applyFill="1" applyBorder="1" applyAlignment="1">
      <alignment horizontal="right" vertical="center"/>
    </xf>
    <xf numFmtId="4" fontId="7" fillId="4" borderId="41" xfId="0" applyNumberFormat="1" applyFont="1" applyFill="1" applyBorder="1" applyAlignment="1">
      <alignment vertical="center"/>
    </xf>
    <xf numFmtId="4" fontId="7" fillId="3" borderId="42" xfId="0" applyNumberFormat="1" applyFont="1" applyFill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6" borderId="18" xfId="0" applyNumberFormat="1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7" fillId="5" borderId="44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33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3" borderId="42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40" xfId="0" applyFont="1" applyFill="1" applyBorder="1" applyAlignment="1">
      <alignment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20" xfId="0" applyFont="1" applyFill="1" applyBorder="1" applyAlignment="1">
      <alignment vertical="center"/>
    </xf>
    <xf numFmtId="0" fontId="3" fillId="5" borderId="28" xfId="0" applyFont="1" applyFill="1" applyBorder="1" applyAlignment="1">
      <alignment horizontal="right" vertical="center"/>
    </xf>
    <xf numFmtId="0" fontId="3" fillId="5" borderId="29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0" fontId="3" fillId="5" borderId="23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4" fontId="14" fillId="8" borderId="48" xfId="0" applyNumberFormat="1" applyFont="1" applyFill="1" applyBorder="1" applyAlignment="1">
      <alignment vertical="center"/>
    </xf>
    <xf numFmtId="4" fontId="13" fillId="8" borderId="4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6" borderId="29" xfId="0" applyFont="1" applyFill="1" applyBorder="1" applyAlignment="1">
      <alignment vertical="center"/>
    </xf>
    <xf numFmtId="4" fontId="11" fillId="4" borderId="37" xfId="0" applyNumberFormat="1" applyFont="1" applyFill="1" applyBorder="1" applyAlignment="1">
      <alignment horizontal="center" vertical="center"/>
    </xf>
    <xf numFmtId="4" fontId="11" fillId="5" borderId="28" xfId="0" applyNumberFormat="1" applyFont="1" applyFill="1" applyBorder="1" applyAlignment="1">
      <alignment vertical="center"/>
    </xf>
    <xf numFmtId="4" fontId="11" fillId="5" borderId="8" xfId="0" applyNumberFormat="1" applyFont="1" applyFill="1" applyBorder="1" applyAlignment="1">
      <alignment vertical="center"/>
    </xf>
    <xf numFmtId="4" fontId="11" fillId="5" borderId="29" xfId="0" applyNumberFormat="1" applyFont="1" applyFill="1" applyBorder="1" applyAlignment="1">
      <alignment vertical="center"/>
    </xf>
    <xf numFmtId="4" fontId="11" fillId="3" borderId="10" xfId="0" applyNumberFormat="1" applyFont="1" applyFill="1" applyBorder="1" applyAlignment="1">
      <alignment vertical="center"/>
    </xf>
    <xf numFmtId="4" fontId="11" fillId="3" borderId="29" xfId="0" applyNumberFormat="1" applyFont="1" applyFill="1" applyBorder="1" applyAlignment="1">
      <alignment vertical="center"/>
    </xf>
    <xf numFmtId="4" fontId="16" fillId="3" borderId="33" xfId="0" applyNumberFormat="1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vertical="center"/>
    </xf>
    <xf numFmtId="4" fontId="3" fillId="5" borderId="52" xfId="0" applyNumberFormat="1" applyFon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9" fontId="3" fillId="6" borderId="53" xfId="0" applyNumberFormat="1" applyFont="1" applyFill="1" applyBorder="1" applyAlignment="1">
      <alignment horizontal="center" vertical="center"/>
    </xf>
    <xf numFmtId="0" fontId="3" fillId="6" borderId="54" xfId="0" applyFont="1" applyFill="1" applyBorder="1" applyAlignment="1">
      <alignment vertical="center"/>
    </xf>
    <xf numFmtId="4" fontId="3" fillId="4" borderId="34" xfId="0" applyNumberFormat="1" applyFont="1" applyFill="1" applyBorder="1" applyAlignment="1">
      <alignment vertical="center"/>
    </xf>
    <xf numFmtId="4" fontId="3" fillId="5" borderId="53" xfId="0" applyNumberFormat="1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3" fillId="3" borderId="53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3" fillId="3" borderId="54" xfId="0" applyNumberFormat="1" applyFont="1" applyFill="1" applyBorder="1" applyAlignment="1">
      <alignment horizontal="right" vertical="center"/>
    </xf>
    <xf numFmtId="4" fontId="2" fillId="3" borderId="31" xfId="0" applyNumberFormat="1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54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vertical="center"/>
    </xf>
    <xf numFmtId="4" fontId="3" fillId="4" borderId="57" xfId="0" applyNumberFormat="1" applyFont="1" applyFill="1" applyBorder="1" applyAlignment="1">
      <alignment vertical="center"/>
    </xf>
    <xf numFmtId="4" fontId="3" fillId="5" borderId="56" xfId="0" applyNumberFormat="1" applyFont="1" applyFill="1" applyBorder="1" applyAlignment="1">
      <alignment horizontal="right" vertical="center"/>
    </xf>
    <xf numFmtId="4" fontId="3" fillId="3" borderId="55" xfId="0" applyNumberFormat="1" applyFont="1" applyFill="1" applyBorder="1" applyAlignment="1">
      <alignment horizontal="right" vertical="center"/>
    </xf>
    <xf numFmtId="4" fontId="3" fillId="3" borderId="56" xfId="0" applyNumberFormat="1" applyFont="1" applyFill="1" applyBorder="1" applyAlignment="1">
      <alignment horizontal="right" vertical="center"/>
    </xf>
    <xf numFmtId="4" fontId="3" fillId="5" borderId="18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right" vertical="center"/>
    </xf>
    <xf numFmtId="0" fontId="3" fillId="6" borderId="23" xfId="0" applyFont="1" applyFill="1" applyBorder="1" applyAlignment="1">
      <alignment horizontal="right" vertical="center"/>
    </xf>
    <xf numFmtId="4" fontId="7" fillId="3" borderId="18" xfId="0" applyNumberFormat="1" applyFont="1" applyFill="1" applyBorder="1" applyAlignment="1">
      <alignment horizontal="right" vertical="center"/>
    </xf>
    <xf numFmtId="4" fontId="7" fillId="3" borderId="19" xfId="0" applyNumberFormat="1" applyFont="1" applyFill="1" applyBorder="1" applyAlignment="1">
      <alignment horizontal="right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4" fontId="7" fillId="4" borderId="30" xfId="0" applyNumberFormat="1" applyFont="1" applyFill="1" applyBorder="1" applyAlignment="1">
      <alignment horizontal="center" vertical="center"/>
    </xf>
    <xf numFmtId="4" fontId="3" fillId="4" borderId="3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4" fontId="3" fillId="4" borderId="30" xfId="0" applyNumberFormat="1" applyFont="1" applyFill="1" applyBorder="1" applyAlignment="1">
      <alignment horizontal="center" vertical="center"/>
    </xf>
    <xf numFmtId="4" fontId="3" fillId="4" borderId="31" xfId="0" applyNumberFormat="1" applyFont="1" applyFill="1" applyBorder="1" applyAlignment="1">
      <alignment horizontal="center" vertical="center"/>
    </xf>
    <xf numFmtId="4" fontId="7" fillId="5" borderId="51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7" fillId="5" borderId="46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3" fillId="9" borderId="67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3" fillId="10" borderId="6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3" fillId="4" borderId="6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3" fillId="6" borderId="6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9" fontId="3" fillId="0" borderId="0" xfId="3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11" fillId="6" borderId="28" xfId="0" applyNumberFormat="1" applyFont="1" applyFill="1" applyBorder="1" applyAlignment="1">
      <alignment horizontal="center" vertical="center"/>
    </xf>
    <xf numFmtId="4" fontId="11" fillId="4" borderId="37" xfId="0" applyNumberFormat="1" applyFont="1" applyFill="1" applyBorder="1" applyAlignment="1">
      <alignment vertical="center"/>
    </xf>
    <xf numFmtId="4" fontId="11" fillId="5" borderId="28" xfId="0" applyNumberFormat="1" applyFont="1" applyFill="1" applyBorder="1" applyAlignment="1">
      <alignment horizontal="right" vertical="center"/>
    </xf>
    <xf numFmtId="4" fontId="11" fillId="5" borderId="8" xfId="0" applyNumberFormat="1" applyFont="1" applyFill="1" applyBorder="1" applyAlignment="1">
      <alignment horizontal="right" vertical="center"/>
    </xf>
    <xf numFmtId="4" fontId="11" fillId="5" borderId="29" xfId="0" applyNumberFormat="1" applyFont="1" applyFill="1" applyBorder="1" applyAlignment="1">
      <alignment horizontal="right" vertical="center"/>
    </xf>
    <xf numFmtId="4" fontId="11" fillId="3" borderId="10" xfId="0" applyNumberFormat="1" applyFont="1" applyFill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4" fontId="11" fillId="3" borderId="29" xfId="0" applyNumberFormat="1" applyFont="1" applyFill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4" fontId="11" fillId="4" borderId="33" xfId="0" applyNumberFormat="1" applyFont="1" applyFill="1" applyBorder="1" applyAlignment="1">
      <alignment vertical="center"/>
    </xf>
    <xf numFmtId="4" fontId="11" fillId="3" borderId="28" xfId="0" applyNumberFormat="1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11" fillId="6" borderId="25" xfId="0" applyFont="1" applyFill="1" applyBorder="1" applyAlignment="1">
      <alignment horizontal="right" vertical="center"/>
    </xf>
    <xf numFmtId="4" fontId="11" fillId="4" borderId="31" xfId="0" applyNumberFormat="1" applyFont="1" applyFill="1" applyBorder="1" applyAlignment="1">
      <alignment vertical="center"/>
    </xf>
    <xf numFmtId="4" fontId="11" fillId="5" borderId="21" xfId="0" applyNumberFormat="1" applyFont="1" applyFill="1" applyBorder="1" applyAlignment="1">
      <alignment horizontal="right" vertical="center"/>
    </xf>
    <xf numFmtId="4" fontId="11" fillId="5" borderId="22" xfId="0" applyNumberFormat="1" applyFont="1" applyFill="1" applyBorder="1" applyAlignment="1">
      <alignment horizontal="right" vertical="center"/>
    </xf>
    <xf numFmtId="4" fontId="11" fillId="5" borderId="23" xfId="0" applyNumberFormat="1" applyFont="1" applyFill="1" applyBorder="1" applyAlignment="1">
      <alignment horizontal="right" vertical="center"/>
    </xf>
    <xf numFmtId="4" fontId="11" fillId="3" borderId="21" xfId="0" applyNumberFormat="1" applyFont="1" applyFill="1" applyBorder="1" applyAlignment="1">
      <alignment horizontal="right" vertical="center"/>
    </xf>
    <xf numFmtId="4" fontId="11" fillId="3" borderId="22" xfId="0" applyNumberFormat="1" applyFont="1" applyFill="1" applyBorder="1" applyAlignment="1">
      <alignment horizontal="right" vertical="center"/>
    </xf>
    <xf numFmtId="4" fontId="11" fillId="3" borderId="25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4" fontId="20" fillId="4" borderId="33" xfId="0" applyNumberFormat="1" applyFont="1" applyFill="1" applyBorder="1" applyAlignment="1">
      <alignment vertical="center"/>
    </xf>
    <xf numFmtId="4" fontId="20" fillId="5" borderId="28" xfId="0" applyNumberFormat="1" applyFont="1" applyFill="1" applyBorder="1" applyAlignment="1">
      <alignment horizontal="right" vertical="center"/>
    </xf>
    <xf numFmtId="4" fontId="20" fillId="5" borderId="8" xfId="0" applyNumberFormat="1" applyFont="1" applyFill="1" applyBorder="1" applyAlignment="1">
      <alignment horizontal="right" vertical="center"/>
    </xf>
    <xf numFmtId="4" fontId="20" fillId="5" borderId="29" xfId="0" applyNumberFormat="1" applyFont="1" applyFill="1" applyBorder="1" applyAlignment="1">
      <alignment horizontal="right" vertical="center"/>
    </xf>
    <xf numFmtId="4" fontId="20" fillId="3" borderId="10" xfId="0" applyNumberFormat="1" applyFont="1" applyFill="1" applyBorder="1" applyAlignment="1">
      <alignment horizontal="right" vertical="center"/>
    </xf>
    <xf numFmtId="4" fontId="20" fillId="3" borderId="8" xfId="0" applyNumberFormat="1" applyFont="1" applyFill="1" applyBorder="1" applyAlignment="1">
      <alignment horizontal="right" vertical="center"/>
    </xf>
    <xf numFmtId="4" fontId="20" fillId="3" borderId="29" xfId="0" applyNumberFormat="1" applyFont="1" applyFill="1" applyBorder="1" applyAlignment="1">
      <alignment horizontal="right" vertical="center"/>
    </xf>
    <xf numFmtId="4" fontId="20" fillId="3" borderId="75" xfId="0" applyNumberFormat="1" applyFont="1" applyFill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" fontId="20" fillId="4" borderId="31" xfId="0" applyNumberFormat="1" applyFont="1" applyFill="1" applyBorder="1" applyAlignment="1">
      <alignment vertical="center"/>
    </xf>
    <xf numFmtId="4" fontId="20" fillId="5" borderId="21" xfId="0" applyNumberFormat="1" applyFont="1" applyFill="1" applyBorder="1" applyAlignment="1">
      <alignment horizontal="right" vertical="center"/>
    </xf>
    <xf numFmtId="4" fontId="20" fillId="5" borderId="22" xfId="0" applyNumberFormat="1" applyFont="1" applyFill="1" applyBorder="1" applyAlignment="1">
      <alignment horizontal="right" vertical="center"/>
    </xf>
    <xf numFmtId="4" fontId="20" fillId="5" borderId="23" xfId="0" applyNumberFormat="1" applyFont="1" applyFill="1" applyBorder="1" applyAlignment="1">
      <alignment horizontal="right" vertical="center"/>
    </xf>
    <xf numFmtId="4" fontId="20" fillId="3" borderId="40" xfId="0" applyNumberFormat="1" applyFont="1" applyFill="1" applyBorder="1" applyAlignment="1">
      <alignment horizontal="right" vertical="center"/>
    </xf>
    <xf numFmtId="4" fontId="20" fillId="3" borderId="22" xfId="0" applyNumberFormat="1" applyFont="1" applyFill="1" applyBorder="1" applyAlignment="1">
      <alignment horizontal="right" vertical="center"/>
    </xf>
    <xf numFmtId="4" fontId="20" fillId="3" borderId="23" xfId="0" applyNumberFormat="1" applyFont="1" applyFill="1" applyBorder="1" applyAlignment="1">
      <alignment horizontal="right" vertical="center"/>
    </xf>
    <xf numFmtId="4" fontId="3" fillId="3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49" fontId="7" fillId="6" borderId="18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13" fillId="8" borderId="48" xfId="0" applyNumberFormat="1" applyFont="1" applyFill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8" fillId="11" borderId="71" xfId="0" applyFont="1" applyFill="1" applyBorder="1" applyAlignment="1">
      <alignment horizontal="center" vertical="center" wrapText="1"/>
    </xf>
    <xf numFmtId="3" fontId="18" fillId="11" borderId="71" xfId="0" applyNumberFormat="1" applyFont="1" applyFill="1" applyBorder="1" applyAlignment="1">
      <alignment horizontal="center" vertical="center" wrapText="1"/>
    </xf>
    <xf numFmtId="3" fontId="12" fillId="11" borderId="71" xfId="0" applyNumberFormat="1" applyFont="1" applyFill="1" applyBorder="1" applyAlignment="1">
      <alignment horizontal="center" vertical="center" wrapText="1"/>
    </xf>
    <xf numFmtId="3" fontId="23" fillId="11" borderId="0" xfId="0" applyNumberFormat="1" applyFont="1" applyFill="1" applyAlignment="1">
      <alignment vertical="center"/>
    </xf>
    <xf numFmtId="3" fontId="23" fillId="11" borderId="0" xfId="0" applyNumberFormat="1" applyFont="1" applyFill="1" applyAlignment="1">
      <alignment horizontal="center" vertical="center"/>
    </xf>
    <xf numFmtId="3" fontId="13" fillId="11" borderId="0" xfId="0" applyNumberFormat="1" applyFont="1" applyFill="1" applyAlignment="1">
      <alignment vertical="center"/>
    </xf>
    <xf numFmtId="0" fontId="6" fillId="0" borderId="0" xfId="4" applyFont="1" applyAlignment="1">
      <alignment vertical="center"/>
    </xf>
    <xf numFmtId="4" fontId="6" fillId="0" borderId="0" xfId="4" applyNumberFormat="1" applyFont="1" applyAlignment="1">
      <alignment vertical="center"/>
    </xf>
    <xf numFmtId="0" fontId="23" fillId="12" borderId="0" xfId="4" applyFont="1" applyFill="1" applyAlignment="1">
      <alignment horizontal="center" vertical="center"/>
    </xf>
    <xf numFmtId="4" fontId="23" fillId="12" borderId="0" xfId="4" applyNumberFormat="1" applyFont="1" applyFill="1" applyAlignment="1">
      <alignment horizontal="center" vertical="center"/>
    </xf>
    <xf numFmtId="0" fontId="12" fillId="12" borderId="0" xfId="4" applyFont="1" applyFill="1" applyAlignment="1">
      <alignment vertical="center"/>
    </xf>
    <xf numFmtId="4" fontId="12" fillId="12" borderId="0" xfId="4" applyNumberFormat="1" applyFont="1" applyFill="1" applyAlignment="1">
      <alignment vertical="center"/>
    </xf>
    <xf numFmtId="0" fontId="27" fillId="0" borderId="0" xfId="4" applyFont="1" applyAlignment="1">
      <alignment vertical="center"/>
    </xf>
    <xf numFmtId="4" fontId="27" fillId="0" borderId="0" xfId="4" applyNumberFormat="1" applyFont="1" applyAlignment="1">
      <alignment vertical="center"/>
    </xf>
    <xf numFmtId="0" fontId="28" fillId="0" borderId="0" xfId="4" applyFont="1" applyAlignment="1">
      <alignment horizontal="center" vertical="center"/>
    </xf>
    <xf numFmtId="0" fontId="30" fillId="14" borderId="77" xfId="4" applyFont="1" applyFill="1" applyBorder="1" applyAlignment="1">
      <alignment horizontal="center" vertical="center" wrapText="1"/>
    </xf>
    <xf numFmtId="0" fontId="28" fillId="0" borderId="0" xfId="4" applyFont="1" applyAlignment="1">
      <alignment horizontal="left" vertical="center"/>
    </xf>
    <xf numFmtId="0" fontId="31" fillId="2" borderId="77" xfId="4" applyFont="1" applyFill="1" applyBorder="1" applyAlignment="1">
      <alignment horizontal="left" vertical="center" wrapText="1"/>
    </xf>
    <xf numFmtId="0" fontId="31" fillId="2" borderId="77" xfId="4" applyFont="1" applyFill="1" applyBorder="1" applyAlignment="1">
      <alignment horizontal="right" vertical="center" wrapText="1"/>
    </xf>
    <xf numFmtId="165" fontId="31" fillId="2" borderId="77" xfId="4" applyNumberFormat="1" applyFont="1" applyFill="1" applyBorder="1" applyAlignment="1">
      <alignment horizontal="right" vertical="center" wrapText="1"/>
    </xf>
    <xf numFmtId="165" fontId="32" fillId="2" borderId="77" xfId="4" applyNumberFormat="1" applyFont="1" applyFill="1" applyBorder="1" applyAlignment="1">
      <alignment horizontal="right" vertical="center" wrapText="1"/>
    </xf>
    <xf numFmtId="0" fontId="28" fillId="0" borderId="0" xfId="4" applyFont="1" applyAlignment="1">
      <alignment vertical="center"/>
    </xf>
    <xf numFmtId="0" fontId="31" fillId="15" borderId="77" xfId="4" applyFont="1" applyFill="1" applyBorder="1" applyAlignment="1">
      <alignment horizontal="left" vertical="center" wrapText="1"/>
    </xf>
    <xf numFmtId="165" fontId="31" fillId="15" borderId="77" xfId="4" applyNumberFormat="1" applyFont="1" applyFill="1" applyBorder="1" applyAlignment="1">
      <alignment horizontal="right" vertical="center" wrapText="1"/>
    </xf>
    <xf numFmtId="165" fontId="32" fillId="15" borderId="77" xfId="4" applyNumberFormat="1" applyFont="1" applyFill="1" applyBorder="1" applyAlignment="1">
      <alignment horizontal="right" vertical="center" wrapText="1"/>
    </xf>
    <xf numFmtId="0" fontId="31" fillId="15" borderId="77" xfId="4" applyFont="1" applyFill="1" applyBorder="1" applyAlignment="1">
      <alignment horizontal="right" vertical="center" wrapText="1"/>
    </xf>
    <xf numFmtId="0" fontId="30" fillId="14" borderId="77" xfId="4" applyFont="1" applyFill="1" applyBorder="1" applyAlignment="1">
      <alignment horizontal="left" vertical="center" wrapText="1"/>
    </xf>
    <xf numFmtId="165" fontId="30" fillId="14" borderId="77" xfId="4" applyNumberFormat="1" applyFont="1" applyFill="1" applyBorder="1" applyAlignment="1">
      <alignment horizontal="right" vertical="center" wrapText="1"/>
    </xf>
    <xf numFmtId="0" fontId="6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/>
    </xf>
    <xf numFmtId="3" fontId="18" fillId="12" borderId="79" xfId="4" applyNumberFormat="1" applyFont="1" applyFill="1" applyBorder="1" applyAlignment="1">
      <alignment horizontal="center" vertical="center"/>
    </xf>
    <xf numFmtId="0" fontId="12" fillId="12" borderId="82" xfId="4" applyFont="1" applyFill="1" applyBorder="1" applyAlignment="1">
      <alignment horizontal="center" vertical="center"/>
    </xf>
    <xf numFmtId="3" fontId="18" fillId="12" borderId="83" xfId="4" applyNumberFormat="1" applyFont="1" applyFill="1" applyBorder="1" applyAlignment="1">
      <alignment horizontal="center" vertical="center"/>
    </xf>
    <xf numFmtId="3" fontId="12" fillId="12" borderId="84" xfId="4" applyNumberFormat="1" applyFont="1" applyFill="1" applyBorder="1" applyAlignment="1">
      <alignment horizontal="center" vertical="center"/>
    </xf>
    <xf numFmtId="0" fontId="18" fillId="12" borderId="85" xfId="4" applyFont="1" applyFill="1" applyBorder="1" applyAlignment="1">
      <alignment horizontal="center" vertical="center" wrapText="1"/>
    </xf>
    <xf numFmtId="0" fontId="18" fillId="12" borderId="85" xfId="4" applyFont="1" applyFill="1" applyBorder="1" applyAlignment="1">
      <alignment horizontal="center" vertical="center"/>
    </xf>
    <xf numFmtId="0" fontId="12" fillId="12" borderId="86" xfId="4" applyFont="1" applyFill="1" applyBorder="1" applyAlignment="1">
      <alignment horizontal="center" vertical="center"/>
    </xf>
    <xf numFmtId="3" fontId="12" fillId="12" borderId="87" xfId="4" applyNumberFormat="1" applyFont="1" applyFill="1" applyBorder="1" applyAlignment="1">
      <alignment horizontal="center" vertical="center"/>
    </xf>
    <xf numFmtId="3" fontId="12" fillId="12" borderId="88" xfId="4" applyNumberFormat="1" applyFont="1" applyFill="1" applyBorder="1" applyAlignment="1">
      <alignment horizontal="center" vertical="center"/>
    </xf>
    <xf numFmtId="4" fontId="6" fillId="13" borderId="76" xfId="4" applyNumberFormat="1" applyFont="1" applyFill="1" applyBorder="1" applyAlignment="1">
      <alignment vertical="center"/>
    </xf>
    <xf numFmtId="4" fontId="6" fillId="0" borderId="76" xfId="4" applyNumberFormat="1" applyFont="1" applyBorder="1" applyAlignment="1">
      <alignment vertical="center"/>
    </xf>
    <xf numFmtId="3" fontId="27" fillId="13" borderId="76" xfId="4" applyNumberFormat="1" applyFont="1" applyFill="1" applyBorder="1" applyAlignment="1">
      <alignment vertical="center"/>
    </xf>
    <xf numFmtId="3" fontId="27" fillId="0" borderId="76" xfId="4" applyNumberFormat="1" applyFont="1" applyBorder="1" applyAlignment="1">
      <alignment vertical="center"/>
    </xf>
    <xf numFmtId="49" fontId="3" fillId="0" borderId="89" xfId="0" applyNumberFormat="1" applyFont="1" applyBorder="1" applyAlignment="1">
      <alignment horizontal="center" vertical="center"/>
    </xf>
    <xf numFmtId="49" fontId="6" fillId="0" borderId="89" xfId="0" applyNumberFormat="1" applyFont="1" applyBorder="1" applyAlignment="1">
      <alignment horizontal="center" vertical="center"/>
    </xf>
    <xf numFmtId="4" fontId="3" fillId="0" borderId="90" xfId="0" applyNumberFormat="1" applyFont="1" applyBorder="1" applyAlignment="1">
      <alignment horizontal="center" vertical="center"/>
    </xf>
    <xf numFmtId="4" fontId="6" fillId="0" borderId="90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left" vertical="center"/>
    </xf>
    <xf numFmtId="0" fontId="6" fillId="0" borderId="67" xfId="0" applyFont="1" applyBorder="1" applyAlignment="1">
      <alignment horizontal="center" vertical="center"/>
    </xf>
    <xf numFmtId="4" fontId="6" fillId="0" borderId="94" xfId="0" applyNumberFormat="1" applyFont="1" applyBorder="1" applyAlignment="1">
      <alignment horizontal="center" vertical="center"/>
    </xf>
    <xf numFmtId="49" fontId="18" fillId="12" borderId="91" xfId="0" applyNumberFormat="1" applyFont="1" applyFill="1" applyBorder="1" applyAlignment="1">
      <alignment horizontal="center" vertical="center"/>
    </xf>
    <xf numFmtId="0" fontId="18" fillId="12" borderId="78" xfId="0" applyFont="1" applyFill="1" applyBorder="1" applyAlignment="1">
      <alignment horizontal="center" vertical="center"/>
    </xf>
    <xf numFmtId="4" fontId="18" fillId="12" borderId="92" xfId="0" applyNumberFormat="1" applyFont="1" applyFill="1" applyBorder="1" applyAlignment="1">
      <alignment horizontal="center" vertical="center"/>
    </xf>
    <xf numFmtId="0" fontId="18" fillId="12" borderId="92" xfId="0" applyFont="1" applyFill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" fontId="7" fillId="3" borderId="42" xfId="0" applyNumberFormat="1" applyFont="1" applyFill="1" applyBorder="1" applyAlignment="1">
      <alignment vertical="center"/>
    </xf>
    <xf numFmtId="4" fontId="7" fillId="5" borderId="20" xfId="0" applyNumberFormat="1" applyFont="1" applyFill="1" applyBorder="1" applyAlignment="1">
      <alignment vertical="center"/>
    </xf>
    <xf numFmtId="0" fontId="18" fillId="12" borderId="93" xfId="0" applyFont="1" applyFill="1" applyBorder="1" applyAlignment="1">
      <alignment horizontal="center" vertical="center"/>
    </xf>
    <xf numFmtId="0" fontId="18" fillId="12" borderId="67" xfId="0" applyFont="1" applyFill="1" applyBorder="1" applyAlignment="1">
      <alignment horizontal="left" vertical="center"/>
    </xf>
    <xf numFmtId="0" fontId="18" fillId="12" borderId="67" xfId="0" applyFont="1" applyFill="1" applyBorder="1" applyAlignment="1">
      <alignment horizontal="center" vertical="center"/>
    </xf>
    <xf numFmtId="0" fontId="18" fillId="12" borderId="94" xfId="0" applyFont="1" applyFill="1" applyBorder="1" applyAlignment="1">
      <alignment horizontal="center" vertical="center"/>
    </xf>
    <xf numFmtId="4" fontId="18" fillId="12" borderId="94" xfId="0" applyNumberFormat="1" applyFont="1" applyFill="1" applyBorder="1" applyAlignment="1">
      <alignment horizontal="center" vertical="center"/>
    </xf>
    <xf numFmtId="49" fontId="3" fillId="16" borderId="90" xfId="0" applyNumberFormat="1" applyFont="1" applyFill="1" applyBorder="1" applyAlignment="1">
      <alignment horizontal="center" vertical="center"/>
    </xf>
    <xf numFmtId="0" fontId="3" fillId="16" borderId="95" xfId="0" applyFont="1" applyFill="1" applyBorder="1" applyAlignment="1">
      <alignment horizontal="left" vertical="center"/>
    </xf>
    <xf numFmtId="0" fontId="3" fillId="16" borderId="95" xfId="0" applyFont="1" applyFill="1" applyBorder="1" applyAlignment="1">
      <alignment horizontal="center" vertical="center"/>
    </xf>
    <xf numFmtId="0" fontId="3" fillId="16" borderId="89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4" fontId="3" fillId="16" borderId="2" xfId="0" applyNumberFormat="1" applyFont="1" applyFill="1" applyBorder="1" applyAlignment="1">
      <alignment horizontal="center" vertical="center"/>
    </xf>
    <xf numFmtId="49" fontId="3" fillId="6" borderId="90" xfId="0" applyNumberFormat="1" applyFont="1" applyFill="1" applyBorder="1" applyAlignment="1">
      <alignment horizontal="center" vertical="center"/>
    </xf>
    <xf numFmtId="0" fontId="3" fillId="6" borderId="95" xfId="0" applyFont="1" applyFill="1" applyBorder="1" applyAlignment="1">
      <alignment horizontal="left" vertical="center"/>
    </xf>
    <xf numFmtId="0" fontId="3" fillId="6" borderId="95" xfId="0" applyFont="1" applyFill="1" applyBorder="1" applyAlignment="1">
      <alignment horizontal="center" vertical="center"/>
    </xf>
    <xf numFmtId="0" fontId="3" fillId="6" borderId="89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4" fontId="3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3" fontId="2" fillId="5" borderId="8" xfId="0" applyNumberFormat="1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vertical="center"/>
    </xf>
    <xf numFmtId="3" fontId="7" fillId="4" borderId="30" xfId="0" applyNumberFormat="1" applyFont="1" applyFill="1" applyBorder="1" applyAlignment="1">
      <alignment horizontal="center" vertical="center"/>
    </xf>
    <xf numFmtId="3" fontId="2" fillId="4" borderId="33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3" fontId="7" fillId="5" borderId="18" xfId="0" applyNumberFormat="1" applyFont="1" applyFill="1" applyBorder="1" applyAlignment="1">
      <alignment horizontal="center" vertical="center"/>
    </xf>
    <xf numFmtId="3" fontId="7" fillId="5" borderId="19" xfId="0" applyNumberFormat="1" applyFont="1" applyFill="1" applyBorder="1" applyAlignment="1">
      <alignment horizontal="center" vertical="center"/>
    </xf>
    <xf numFmtId="3" fontId="7" fillId="5" borderId="20" xfId="0" applyNumberFormat="1" applyFont="1" applyFill="1" applyBorder="1" applyAlignment="1">
      <alignment horizontal="center" vertical="center"/>
    </xf>
    <xf numFmtId="3" fontId="2" fillId="5" borderId="28" xfId="0" applyNumberFormat="1" applyFont="1" applyFill="1" applyBorder="1" applyAlignment="1">
      <alignment horizontal="center" vertical="center"/>
    </xf>
    <xf numFmtId="3" fontId="2" fillId="5" borderId="29" xfId="0" applyNumberFormat="1" applyFont="1" applyFill="1" applyBorder="1" applyAlignment="1">
      <alignment horizontal="center" vertical="center"/>
    </xf>
    <xf numFmtId="3" fontId="2" fillId="5" borderId="28" xfId="0" applyNumberFormat="1" applyFont="1" applyFill="1" applyBorder="1" applyAlignment="1">
      <alignment vertical="center"/>
    </xf>
    <xf numFmtId="3" fontId="2" fillId="5" borderId="29" xfId="0" applyNumberFormat="1" applyFont="1" applyFill="1" applyBorder="1" applyAlignment="1">
      <alignment vertical="center"/>
    </xf>
    <xf numFmtId="2" fontId="2" fillId="5" borderId="21" xfId="0" applyNumberFormat="1" applyFont="1" applyFill="1" applyBorder="1" applyAlignment="1">
      <alignment horizontal="center" vertical="center"/>
    </xf>
    <xf numFmtId="2" fontId="2" fillId="5" borderId="22" xfId="0" applyNumberFormat="1" applyFont="1" applyFill="1" applyBorder="1" applyAlignment="1">
      <alignment horizontal="center" vertical="center"/>
    </xf>
    <xf numFmtId="2" fontId="2" fillId="5" borderId="23" xfId="0" applyNumberFormat="1" applyFont="1" applyFill="1" applyBorder="1" applyAlignment="1">
      <alignment horizontal="center" vertical="center"/>
    </xf>
    <xf numFmtId="0" fontId="3" fillId="3" borderId="75" xfId="0" applyFont="1" applyFill="1" applyBorder="1" applyAlignment="1">
      <alignment vertical="center"/>
    </xf>
    <xf numFmtId="0" fontId="2" fillId="3" borderId="75" xfId="0" applyFont="1" applyFill="1" applyBorder="1" applyAlignment="1">
      <alignment vertical="center"/>
    </xf>
    <xf numFmtId="3" fontId="2" fillId="3" borderId="75" xfId="0" applyNumberFormat="1" applyFont="1" applyFill="1" applyBorder="1" applyAlignment="1">
      <alignment vertical="center"/>
    </xf>
    <xf numFmtId="0" fontId="21" fillId="3" borderId="75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37" fillId="3" borderId="75" xfId="0" applyFont="1" applyFill="1" applyBorder="1" applyAlignment="1">
      <alignment vertical="center"/>
    </xf>
    <xf numFmtId="4" fontId="38" fillId="17" borderId="30" xfId="0" applyNumberFormat="1" applyFont="1" applyFill="1" applyBorder="1" applyAlignment="1">
      <alignment horizontal="center" vertical="center"/>
    </xf>
    <xf numFmtId="4" fontId="27" fillId="17" borderId="33" xfId="0" applyNumberFormat="1" applyFont="1" applyFill="1" applyBorder="1" applyAlignment="1">
      <alignment horizontal="center" vertical="center"/>
    </xf>
    <xf numFmtId="4" fontId="27" fillId="17" borderId="32" xfId="0" applyNumberFormat="1" applyFont="1" applyFill="1" applyBorder="1" applyAlignment="1">
      <alignment horizontal="center" vertical="center"/>
    </xf>
    <xf numFmtId="4" fontId="38" fillId="17" borderId="3" xfId="0" applyNumberFormat="1" applyFont="1" applyFill="1" applyBorder="1" applyAlignment="1">
      <alignment horizontal="center" vertical="center"/>
    </xf>
    <xf numFmtId="4" fontId="39" fillId="17" borderId="33" xfId="0" applyNumberFormat="1" applyFont="1" applyFill="1" applyBorder="1" applyAlignment="1">
      <alignment horizontal="center" vertical="center"/>
    </xf>
    <xf numFmtId="4" fontId="39" fillId="17" borderId="31" xfId="0" applyNumberFormat="1" applyFont="1" applyFill="1" applyBorder="1" applyAlignment="1">
      <alignment horizontal="center" vertical="center"/>
    </xf>
    <xf numFmtId="0" fontId="10" fillId="17" borderId="30" xfId="0" applyFont="1" applyFill="1" applyBorder="1" applyAlignment="1">
      <alignment horizontal="center" vertical="center"/>
    </xf>
    <xf numFmtId="3" fontId="7" fillId="17" borderId="33" xfId="0" applyNumberFormat="1" applyFont="1" applyFill="1" applyBorder="1" applyAlignment="1">
      <alignment horizontal="center" vertical="center"/>
    </xf>
    <xf numFmtId="3" fontId="37" fillId="17" borderId="33" xfId="0" applyNumberFormat="1" applyFont="1" applyFill="1" applyBorder="1" applyAlignment="1">
      <alignment horizontal="center" vertical="center"/>
    </xf>
    <xf numFmtId="3" fontId="2" fillId="17" borderId="33" xfId="0" applyNumberFormat="1" applyFont="1" applyFill="1" applyBorder="1" applyAlignment="1">
      <alignment horizontal="center" vertical="center"/>
    </xf>
    <xf numFmtId="2" fontId="2" fillId="17" borderId="31" xfId="0" applyNumberFormat="1" applyFont="1" applyFill="1" applyBorder="1" applyAlignment="1">
      <alignment horizontal="center" vertical="center"/>
    </xf>
    <xf numFmtId="165" fontId="32" fillId="2" borderId="100" xfId="4" applyNumberFormat="1" applyFont="1" applyFill="1" applyBorder="1" applyAlignment="1">
      <alignment horizontal="right" vertical="center" wrapText="1"/>
    </xf>
    <xf numFmtId="165" fontId="32" fillId="15" borderId="100" xfId="4" applyNumberFormat="1" applyFont="1" applyFill="1" applyBorder="1" applyAlignment="1">
      <alignment horizontal="right" vertical="center" wrapText="1"/>
    </xf>
    <xf numFmtId="165" fontId="30" fillId="14" borderId="100" xfId="4" applyNumberFormat="1" applyFont="1" applyFill="1" applyBorder="1" applyAlignment="1">
      <alignment horizontal="right" vertical="center" wrapText="1"/>
    </xf>
    <xf numFmtId="0" fontId="28" fillId="0" borderId="0" xfId="4" applyFont="1" applyAlignment="1">
      <alignment horizontal="center" vertical="center" wrapText="1"/>
    </xf>
    <xf numFmtId="0" fontId="28" fillId="0" borderId="0" xfId="4" applyFont="1" applyAlignment="1">
      <alignment vertical="center" wrapText="1"/>
    </xf>
    <xf numFmtId="0" fontId="29" fillId="0" borderId="0" xfId="4" applyFont="1" applyAlignment="1">
      <alignment horizontal="left" vertical="center"/>
    </xf>
    <xf numFmtId="0" fontId="28" fillId="0" borderId="0" xfId="4" applyFont="1" applyAlignment="1">
      <alignment horizontal="left" vertical="center" wrapText="1"/>
    </xf>
    <xf numFmtId="165" fontId="30" fillId="14" borderId="77" xfId="4" applyNumberFormat="1" applyFont="1" applyFill="1" applyBorder="1" applyAlignment="1">
      <alignment horizontal="center" vertical="center" wrapText="1"/>
    </xf>
    <xf numFmtId="166" fontId="31" fillId="15" borderId="77" xfId="4" applyNumberFormat="1" applyFont="1" applyFill="1" applyBorder="1" applyAlignment="1">
      <alignment horizontal="right" vertical="center" wrapText="1"/>
    </xf>
    <xf numFmtId="166" fontId="31" fillId="2" borderId="77" xfId="4" applyNumberFormat="1" applyFont="1" applyFill="1" applyBorder="1" applyAlignment="1">
      <alignment horizontal="right" vertical="center" wrapText="1"/>
    </xf>
    <xf numFmtId="0" fontId="34" fillId="15" borderId="77" xfId="4" applyFont="1" applyFill="1" applyBorder="1" applyAlignment="1">
      <alignment horizontal="left" vertical="center" wrapText="1"/>
    </xf>
    <xf numFmtId="0" fontId="28" fillId="2" borderId="77" xfId="4" applyFont="1" applyFill="1" applyBorder="1" applyAlignment="1">
      <alignment horizontal="left" vertical="center" wrapText="1"/>
    </xf>
    <xf numFmtId="165" fontId="28" fillId="2" borderId="77" xfId="4" applyNumberFormat="1" applyFont="1" applyFill="1" applyBorder="1" applyAlignment="1">
      <alignment horizontal="right" vertical="center" wrapText="1"/>
    </xf>
    <xf numFmtId="166" fontId="28" fillId="2" borderId="77" xfId="4" applyNumberFormat="1" applyFont="1" applyFill="1" applyBorder="1" applyAlignment="1">
      <alignment horizontal="right" vertical="center" wrapText="1"/>
    </xf>
    <xf numFmtId="165" fontId="35" fillId="2" borderId="77" xfId="4" applyNumberFormat="1" applyFont="1" applyFill="1" applyBorder="1" applyAlignment="1">
      <alignment horizontal="right" vertical="center" wrapText="1"/>
    </xf>
    <xf numFmtId="165" fontId="35" fillId="2" borderId="100" xfId="4" applyNumberFormat="1" applyFont="1" applyFill="1" applyBorder="1" applyAlignment="1">
      <alignment horizontal="right" vertical="center" wrapText="1"/>
    </xf>
    <xf numFmtId="0" fontId="28" fillId="18" borderId="2" xfId="4" applyFont="1" applyFill="1" applyBorder="1" applyAlignment="1">
      <alignment vertical="center" wrapText="1"/>
    </xf>
    <xf numFmtId="0" fontId="28" fillId="18" borderId="2" xfId="4" applyFont="1" applyFill="1" applyBorder="1" applyAlignment="1">
      <alignment horizontal="center" vertical="center" wrapText="1"/>
    </xf>
    <xf numFmtId="0" fontId="3" fillId="6" borderId="75" xfId="0" applyFont="1" applyFill="1" applyBorder="1" applyAlignment="1">
      <alignment horizontal="right" vertical="center"/>
    </xf>
    <xf numFmtId="0" fontId="11" fillId="6" borderId="102" xfId="0" applyFont="1" applyFill="1" applyBorder="1" applyAlignment="1">
      <alignment horizontal="right" vertical="center"/>
    </xf>
    <xf numFmtId="0" fontId="3" fillId="0" borderId="101" xfId="0" applyFont="1" applyBorder="1" applyAlignment="1">
      <alignment vertical="center"/>
    </xf>
    <xf numFmtId="0" fontId="3" fillId="0" borderId="75" xfId="0" applyFont="1" applyBorder="1" applyAlignment="1">
      <alignment vertical="center"/>
    </xf>
    <xf numFmtId="0" fontId="3" fillId="0" borderId="102" xfId="0" applyFont="1" applyBorder="1" applyAlignment="1">
      <alignment vertical="center"/>
    </xf>
    <xf numFmtId="49" fontId="10" fillId="6" borderId="38" xfId="0" applyNumberFormat="1" applyFont="1" applyFill="1" applyBorder="1" applyAlignment="1">
      <alignment horizontal="center" vertical="center"/>
    </xf>
    <xf numFmtId="49" fontId="21" fillId="3" borderId="38" xfId="0" applyNumberFormat="1" applyFont="1" applyFill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29" fillId="17" borderId="1" xfId="0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14" fontId="7" fillId="0" borderId="50" xfId="0" applyNumberFormat="1" applyFont="1" applyBorder="1" applyAlignment="1">
      <alignment horizontal="center" vertical="center"/>
    </xf>
    <xf numFmtId="49" fontId="11" fillId="0" borderId="8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90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4" fontId="11" fillId="0" borderId="95" xfId="0" applyNumberFormat="1" applyFont="1" applyBorder="1" applyAlignment="1">
      <alignment horizontal="center" vertical="center"/>
    </xf>
    <xf numFmtId="4" fontId="41" fillId="19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10" fontId="3" fillId="0" borderId="9" xfId="0" applyNumberFormat="1" applyFont="1" applyFill="1" applyBorder="1" applyAlignment="1">
      <alignment horizontal="right" vertical="center"/>
    </xf>
    <xf numFmtId="4" fontId="3" fillId="0" borderId="8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42" fillId="19" borderId="8" xfId="0" applyNumberFormat="1" applyFont="1" applyFill="1" applyBorder="1" applyAlignment="1">
      <alignment vertical="center"/>
    </xf>
    <xf numFmtId="4" fontId="42" fillId="19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vertical="center"/>
    </xf>
    <xf numFmtId="10" fontId="7" fillId="0" borderId="9" xfId="0" applyNumberFormat="1" applyFont="1" applyFill="1" applyBorder="1" applyAlignment="1">
      <alignment horizontal="right" vertical="center"/>
    </xf>
    <xf numFmtId="4" fontId="7" fillId="0" borderId="8" xfId="0" applyNumberFormat="1" applyFont="1" applyFill="1" applyBorder="1" applyAlignment="1">
      <alignment vertical="center"/>
    </xf>
    <xf numFmtId="3" fontId="29" fillId="0" borderId="8" xfId="0" applyNumberFormat="1" applyFont="1" applyFill="1" applyBorder="1" applyAlignment="1">
      <alignment vertical="center"/>
    </xf>
    <xf numFmtId="49" fontId="3" fillId="6" borderId="95" xfId="0" applyNumberFormat="1" applyFont="1" applyFill="1" applyBorder="1" applyAlignment="1">
      <alignment horizontal="center" vertical="center"/>
    </xf>
    <xf numFmtId="49" fontId="3" fillId="16" borderId="95" xfId="0" applyNumberFormat="1" applyFont="1" applyFill="1" applyBorder="1" applyAlignment="1">
      <alignment horizontal="center" vertical="center"/>
    </xf>
    <xf numFmtId="49" fontId="43" fillId="0" borderId="8" xfId="0" applyNumberFormat="1" applyFont="1" applyFill="1" applyBorder="1" applyAlignment="1">
      <alignment horizontal="center" vertical="center"/>
    </xf>
    <xf numFmtId="0" fontId="43" fillId="0" borderId="8" xfId="0" applyFont="1" applyBorder="1" applyAlignment="1">
      <alignment vertical="center"/>
    </xf>
    <xf numFmtId="3" fontId="43" fillId="0" borderId="8" xfId="0" applyNumberFormat="1" applyFont="1" applyFill="1" applyBorder="1" applyAlignment="1">
      <alignment vertical="center"/>
    </xf>
    <xf numFmtId="10" fontId="43" fillId="0" borderId="9" xfId="0" applyNumberFormat="1" applyFont="1" applyFill="1" applyBorder="1" applyAlignment="1">
      <alignment horizontal="right" vertical="center"/>
    </xf>
    <xf numFmtId="4" fontId="43" fillId="0" borderId="8" xfId="0" applyNumberFormat="1" applyFont="1" applyFill="1" applyBorder="1" applyAlignment="1">
      <alignment vertical="center"/>
    </xf>
    <xf numFmtId="3" fontId="44" fillId="0" borderId="8" xfId="0" applyNumberFormat="1" applyFont="1" applyFill="1" applyBorder="1" applyAlignment="1">
      <alignment vertical="center"/>
    </xf>
    <xf numFmtId="4" fontId="37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/>
    <xf numFmtId="0" fontId="7" fillId="0" borderId="0" xfId="0" applyFont="1"/>
    <xf numFmtId="0" fontId="2" fillId="0" borderId="0" xfId="0" applyFont="1"/>
    <xf numFmtId="0" fontId="4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/>
    <xf numFmtId="3" fontId="2" fillId="0" borderId="0" xfId="0" applyNumberFormat="1" applyFont="1"/>
    <xf numFmtId="3" fontId="43" fillId="0" borderId="0" xfId="0" applyNumberFormat="1" applyFont="1"/>
    <xf numFmtId="9" fontId="42" fillId="19" borderId="8" xfId="0" applyNumberFormat="1" applyFont="1" applyFill="1" applyBorder="1" applyAlignment="1">
      <alignment vertical="center"/>
    </xf>
    <xf numFmtId="3" fontId="45" fillId="5" borderId="28" xfId="0" applyNumberFormat="1" applyFont="1" applyFill="1" applyBorder="1" applyAlignment="1">
      <alignment vertical="center"/>
    </xf>
    <xf numFmtId="3" fontId="45" fillId="5" borderId="8" xfId="0" applyNumberFormat="1" applyFont="1" applyFill="1" applyBorder="1" applyAlignment="1">
      <alignment vertical="center"/>
    </xf>
    <xf numFmtId="3" fontId="45" fillId="5" borderId="29" xfId="0" applyNumberFormat="1" applyFont="1" applyFill="1" applyBorder="1" applyAlignment="1">
      <alignment vertical="center"/>
    </xf>
    <xf numFmtId="3" fontId="27" fillId="5" borderId="28" xfId="0" applyNumberFormat="1" applyFont="1" applyFill="1" applyBorder="1" applyAlignment="1">
      <alignment horizontal="center" vertical="center"/>
    </xf>
    <xf numFmtId="3" fontId="27" fillId="5" borderId="8" xfId="0" applyNumberFormat="1" applyFont="1" applyFill="1" applyBorder="1" applyAlignment="1">
      <alignment horizontal="center" vertical="center"/>
    </xf>
    <xf numFmtId="3" fontId="27" fillId="5" borderId="29" xfId="0" applyNumberFormat="1" applyFont="1" applyFill="1" applyBorder="1" applyAlignment="1">
      <alignment horizontal="center" vertical="center"/>
    </xf>
    <xf numFmtId="3" fontId="27" fillId="3" borderId="28" xfId="0" applyNumberFormat="1" applyFont="1" applyFill="1" applyBorder="1" applyAlignment="1">
      <alignment vertical="center"/>
    </xf>
    <xf numFmtId="3" fontId="27" fillId="3" borderId="8" xfId="0" applyNumberFormat="1" applyFont="1" applyFill="1" applyBorder="1" applyAlignment="1">
      <alignment vertical="center"/>
    </xf>
    <xf numFmtId="3" fontId="27" fillId="3" borderId="29" xfId="0" applyNumberFormat="1" applyFont="1" applyFill="1" applyBorder="1" applyAlignment="1">
      <alignment vertical="center"/>
    </xf>
    <xf numFmtId="2" fontId="27" fillId="3" borderId="21" xfId="0" applyNumberFormat="1" applyFont="1" applyFill="1" applyBorder="1" applyAlignment="1">
      <alignment horizontal="center" vertical="center"/>
    </xf>
    <xf numFmtId="2" fontId="27" fillId="3" borderId="22" xfId="0" applyNumberFormat="1" applyFont="1" applyFill="1" applyBorder="1" applyAlignment="1">
      <alignment horizontal="center" vertical="center"/>
    </xf>
    <xf numFmtId="2" fontId="27" fillId="3" borderId="23" xfId="0" applyNumberFormat="1" applyFont="1" applyFill="1" applyBorder="1" applyAlignment="1">
      <alignment horizontal="center" vertical="center"/>
    </xf>
    <xf numFmtId="3" fontId="29" fillId="3" borderId="18" xfId="0" applyNumberFormat="1" applyFont="1" applyFill="1" applyBorder="1" applyAlignment="1">
      <alignment horizontal="center" vertical="center"/>
    </xf>
    <xf numFmtId="3" fontId="29" fillId="3" borderId="19" xfId="0" applyNumberFormat="1" applyFont="1" applyFill="1" applyBorder="1" applyAlignment="1">
      <alignment horizontal="center" vertical="center"/>
    </xf>
    <xf numFmtId="3" fontId="29" fillId="3" borderId="20" xfId="0" applyNumberFormat="1" applyFont="1" applyFill="1" applyBorder="1" applyAlignment="1">
      <alignment horizontal="center" vertical="center"/>
    </xf>
    <xf numFmtId="3" fontId="27" fillId="3" borderId="28" xfId="0" applyNumberFormat="1" applyFont="1" applyFill="1" applyBorder="1" applyAlignment="1">
      <alignment horizontal="center" vertical="center"/>
    </xf>
    <xf numFmtId="3" fontId="27" fillId="3" borderId="8" xfId="0" applyNumberFormat="1" applyFont="1" applyFill="1" applyBorder="1" applyAlignment="1">
      <alignment horizontal="center" vertical="center"/>
    </xf>
    <xf numFmtId="3" fontId="27" fillId="3" borderId="29" xfId="0" applyNumberFormat="1" applyFont="1" applyFill="1" applyBorder="1" applyAlignment="1">
      <alignment horizontal="center" vertical="center"/>
    </xf>
    <xf numFmtId="3" fontId="45" fillId="3" borderId="28" xfId="0" applyNumberFormat="1" applyFont="1" applyFill="1" applyBorder="1" applyAlignment="1">
      <alignment vertical="center"/>
    </xf>
    <xf numFmtId="3" fontId="45" fillId="3" borderId="8" xfId="0" applyNumberFormat="1" applyFont="1" applyFill="1" applyBorder="1" applyAlignment="1">
      <alignment vertical="center"/>
    </xf>
    <xf numFmtId="3" fontId="45" fillId="3" borderId="29" xfId="0" applyNumberFormat="1" applyFont="1" applyFill="1" applyBorder="1" applyAlignment="1">
      <alignment vertical="center"/>
    </xf>
    <xf numFmtId="3" fontId="45" fillId="4" borderId="33" xfId="0" applyNumberFormat="1" applyFont="1" applyFill="1" applyBorder="1" applyAlignment="1">
      <alignment horizontal="center" vertical="center"/>
    </xf>
    <xf numFmtId="3" fontId="27" fillId="4" borderId="33" xfId="0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0" fontId="6" fillId="0" borderId="8" xfId="0" applyNumberFormat="1" applyFont="1" applyBorder="1" applyAlignment="1">
      <alignment vertical="center"/>
    </xf>
    <xf numFmtId="10" fontId="27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horizontal="center" vertical="center"/>
    </xf>
    <xf numFmtId="4" fontId="10" fillId="4" borderId="30" xfId="0" applyNumberFormat="1" applyFont="1" applyFill="1" applyBorder="1" applyAlignment="1">
      <alignment vertical="center"/>
    </xf>
    <xf numFmtId="4" fontId="10" fillId="5" borderId="18" xfId="0" applyNumberFormat="1" applyFont="1" applyFill="1" applyBorder="1" applyAlignment="1">
      <alignment horizontal="right" vertical="center"/>
    </xf>
    <xf numFmtId="4" fontId="10" fillId="5" borderId="19" xfId="0" applyNumberFormat="1" applyFont="1" applyFill="1" applyBorder="1" applyAlignment="1">
      <alignment horizontal="right" vertical="center"/>
    </xf>
    <xf numFmtId="4" fontId="10" fillId="5" borderId="20" xfId="0" applyNumberFormat="1" applyFont="1" applyFill="1" applyBorder="1" applyAlignment="1">
      <alignment horizontal="right" vertical="center"/>
    </xf>
    <xf numFmtId="4" fontId="10" fillId="3" borderId="42" xfId="0" applyNumberFormat="1" applyFont="1" applyFill="1" applyBorder="1" applyAlignment="1">
      <alignment horizontal="right" vertical="center"/>
    </xf>
    <xf numFmtId="4" fontId="10" fillId="3" borderId="19" xfId="0" applyNumberFormat="1" applyFont="1" applyFill="1" applyBorder="1" applyAlignment="1">
      <alignment horizontal="right" vertical="center"/>
    </xf>
    <xf numFmtId="4" fontId="10" fillId="3" borderId="20" xfId="0" applyNumberFormat="1" applyFont="1" applyFill="1" applyBorder="1" applyAlignment="1">
      <alignment horizontal="right" vertical="center"/>
    </xf>
    <xf numFmtId="4" fontId="10" fillId="3" borderId="101" xfId="0" applyNumberFormat="1" applyFont="1" applyFill="1" applyBorder="1" applyAlignment="1">
      <alignment horizontal="right" vertical="center"/>
    </xf>
    <xf numFmtId="0" fontId="18" fillId="12" borderId="109" xfId="4" applyFont="1" applyFill="1" applyBorder="1" applyAlignment="1">
      <alignment horizontal="center" vertical="center" wrapText="1"/>
    </xf>
    <xf numFmtId="4" fontId="6" fillId="13" borderId="110" xfId="4" applyNumberFormat="1" applyFont="1" applyFill="1" applyBorder="1" applyAlignment="1">
      <alignment vertical="center"/>
    </xf>
    <xf numFmtId="4" fontId="6" fillId="0" borderId="110" xfId="4" applyNumberFormat="1" applyFont="1" applyBorder="1" applyAlignment="1">
      <alignment vertical="center"/>
    </xf>
    <xf numFmtId="3" fontId="12" fillId="12" borderId="111" xfId="4" applyNumberFormat="1" applyFont="1" applyFill="1" applyBorder="1" applyAlignment="1">
      <alignment horizontal="center" vertical="center"/>
    </xf>
    <xf numFmtId="0" fontId="6" fillId="2" borderId="108" xfId="4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3" fontId="7" fillId="2" borderId="8" xfId="0" applyNumberFormat="1" applyFont="1" applyFill="1" applyBorder="1" applyAlignment="1">
      <alignment vertical="center"/>
    </xf>
    <xf numFmtId="0" fontId="3" fillId="20" borderId="8" xfId="0" applyFont="1" applyFill="1" applyBorder="1" applyAlignment="1">
      <alignment horizontal="center" vertical="center"/>
    </xf>
    <xf numFmtId="0" fontId="6" fillId="20" borderId="8" xfId="0" applyFont="1" applyFill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6" fillId="0" borderId="112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2" fontId="23" fillId="11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vertical="center"/>
    </xf>
    <xf numFmtId="49" fontId="20" fillId="6" borderId="37" xfId="0" applyNumberFormat="1" applyFont="1" applyFill="1" applyBorder="1" applyAlignment="1">
      <alignment horizontal="right" vertical="center"/>
    </xf>
    <xf numFmtId="49" fontId="20" fillId="6" borderId="75" xfId="0" applyNumberFormat="1" applyFont="1" applyFill="1" applyBorder="1" applyAlignment="1">
      <alignment horizontal="right" vertical="center"/>
    </xf>
    <xf numFmtId="49" fontId="20" fillId="6" borderId="103" xfId="0" applyNumberFormat="1" applyFont="1" applyFill="1" applyBorder="1" applyAlignment="1">
      <alignment horizontal="right" vertical="center"/>
    </xf>
    <xf numFmtId="0" fontId="3" fillId="6" borderId="9" xfId="0" applyFont="1" applyFill="1" applyBorder="1" applyAlignment="1">
      <alignment vertical="center"/>
    </xf>
    <xf numFmtId="0" fontId="3" fillId="6" borderId="103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right" vertical="center"/>
    </xf>
    <xf numFmtId="0" fontId="3" fillId="6" borderId="103" xfId="0" applyFont="1" applyFill="1" applyBorder="1" applyAlignment="1">
      <alignment horizontal="right" vertical="center"/>
    </xf>
    <xf numFmtId="0" fontId="11" fillId="6" borderId="9" xfId="0" applyFont="1" applyFill="1" applyBorder="1" applyAlignment="1">
      <alignment horizontal="right" vertical="center"/>
    </xf>
    <xf numFmtId="0" fontId="11" fillId="6" borderId="103" xfId="0" applyFont="1" applyFill="1" applyBorder="1" applyAlignment="1">
      <alignment horizontal="right" vertical="center"/>
    </xf>
    <xf numFmtId="49" fontId="10" fillId="6" borderId="41" xfId="0" applyNumberFormat="1" applyFont="1" applyFill="1" applyBorder="1" applyAlignment="1">
      <alignment horizontal="center" vertical="center" wrapText="1"/>
    </xf>
    <xf numFmtId="49" fontId="10" fillId="6" borderId="101" xfId="0" applyNumberFormat="1" applyFont="1" applyFill="1" applyBorder="1" applyAlignment="1">
      <alignment horizontal="center" vertical="center" wrapText="1"/>
    </xf>
    <xf numFmtId="49" fontId="10" fillId="6" borderId="107" xfId="0" applyNumberFormat="1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vertical="center"/>
    </xf>
    <xf numFmtId="0" fontId="6" fillId="6" borderId="104" xfId="0" applyFont="1" applyFill="1" applyBorder="1" applyAlignment="1">
      <alignment vertical="center"/>
    </xf>
    <xf numFmtId="0" fontId="7" fillId="6" borderId="24" xfId="0" applyFont="1" applyFill="1" applyBorder="1" applyAlignment="1">
      <alignment vertical="center"/>
    </xf>
    <xf numFmtId="0" fontId="7" fillId="6" borderId="107" xfId="0" applyFont="1" applyFill="1" applyBorder="1" applyAlignment="1">
      <alignment vertical="center"/>
    </xf>
    <xf numFmtId="49" fontId="21" fillId="3" borderId="15" xfId="0" applyNumberFormat="1" applyFont="1" applyFill="1" applyBorder="1" applyAlignment="1">
      <alignment horizontal="center" vertical="center"/>
    </xf>
    <xf numFmtId="49" fontId="21" fillId="3" borderId="17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36" fillId="0" borderId="0" xfId="0" applyNumberFormat="1" applyFont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center" vertical="center"/>
    </xf>
    <xf numFmtId="49" fontId="2" fillId="2" borderId="72" xfId="0" applyNumberFormat="1" applyFont="1" applyFill="1" applyBorder="1" applyAlignment="1">
      <alignment horizontal="center" vertical="center"/>
    </xf>
    <xf numFmtId="0" fontId="7" fillId="6" borderId="10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/>
    </xf>
    <xf numFmtId="0" fontId="7" fillId="6" borderId="74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vertical="center"/>
    </xf>
    <xf numFmtId="0" fontId="3" fillId="6" borderId="104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6" borderId="103" xfId="0" applyFont="1" applyFill="1" applyBorder="1" applyAlignment="1">
      <alignment vertical="center"/>
    </xf>
    <xf numFmtId="0" fontId="47" fillId="6" borderId="9" xfId="0" applyFont="1" applyFill="1" applyBorder="1" applyAlignment="1">
      <alignment horizontal="right" vertical="center"/>
    </xf>
    <xf numFmtId="0" fontId="47" fillId="6" borderId="103" xfId="0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49" fontId="7" fillId="6" borderId="18" xfId="0" applyNumberFormat="1" applyFont="1" applyFill="1" applyBorder="1" applyAlignment="1">
      <alignment horizontal="center" vertical="center"/>
    </xf>
    <xf numFmtId="49" fontId="7" fillId="6" borderId="21" xfId="0" applyNumberFormat="1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8" fillId="7" borderId="7" xfId="0" applyNumberFormat="1" applyFont="1" applyFill="1" applyBorder="1" applyAlignment="1">
      <alignment horizontal="center" vertical="center"/>
    </xf>
    <xf numFmtId="49" fontId="8" fillId="7" borderId="38" xfId="0" applyNumberFormat="1" applyFont="1" applyFill="1" applyBorder="1" applyAlignment="1">
      <alignment horizontal="center" vertical="center"/>
    </xf>
    <xf numFmtId="49" fontId="8" fillId="7" borderId="6" xfId="0" applyNumberFormat="1" applyFont="1" applyFill="1" applyBorder="1" applyAlignment="1">
      <alignment horizontal="center" vertical="center"/>
    </xf>
    <xf numFmtId="49" fontId="10" fillId="6" borderId="15" xfId="0" applyNumberFormat="1" applyFont="1" applyFill="1" applyBorder="1" applyAlignment="1">
      <alignment horizontal="center" vertical="center"/>
    </xf>
    <xf numFmtId="49" fontId="10" fillId="6" borderId="26" xfId="0" applyNumberFormat="1" applyFont="1" applyFill="1" applyBorder="1" applyAlignment="1">
      <alignment horizontal="center" vertical="center"/>
    </xf>
    <xf numFmtId="49" fontId="13" fillId="8" borderId="47" xfId="0" applyNumberFormat="1" applyFont="1" applyFill="1" applyBorder="1" applyAlignment="1">
      <alignment horizontal="center" vertical="center"/>
    </xf>
    <xf numFmtId="49" fontId="13" fillId="8" borderId="48" xfId="0" applyNumberFormat="1" applyFont="1" applyFill="1" applyBorder="1" applyAlignment="1">
      <alignment horizontal="center" vertical="center"/>
    </xf>
    <xf numFmtId="49" fontId="8" fillId="7" borderId="73" xfId="0" applyNumberFormat="1" applyFont="1" applyFill="1" applyBorder="1" applyAlignment="1">
      <alignment horizontal="center" vertical="center"/>
    </xf>
    <xf numFmtId="49" fontId="8" fillId="7" borderId="50" xfId="0" applyNumberFormat="1" applyFont="1" applyFill="1" applyBorder="1" applyAlignment="1">
      <alignment horizontal="center" vertical="center"/>
    </xf>
    <xf numFmtId="49" fontId="8" fillId="7" borderId="74" xfId="0" applyNumberFormat="1" applyFont="1" applyFill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0" fontId="9" fillId="6" borderId="9" xfId="0" applyFont="1" applyFill="1" applyBorder="1" applyAlignment="1">
      <alignment horizontal="right" vertical="center"/>
    </xf>
    <xf numFmtId="0" fontId="9" fillId="6" borderId="103" xfId="0" applyFont="1" applyFill="1" applyBorder="1" applyAlignment="1">
      <alignment horizontal="right" vertical="center"/>
    </xf>
    <xf numFmtId="0" fontId="19" fillId="6" borderId="9" xfId="0" applyFont="1" applyFill="1" applyBorder="1" applyAlignment="1">
      <alignment horizontal="right" vertical="center"/>
    </xf>
    <xf numFmtId="0" fontId="19" fillId="6" borderId="103" xfId="0" applyFont="1" applyFill="1" applyBorder="1" applyAlignment="1">
      <alignment horizontal="right" vertical="center"/>
    </xf>
    <xf numFmtId="49" fontId="20" fillId="6" borderId="39" xfId="0" applyNumberFormat="1" applyFont="1" applyFill="1" applyBorder="1" applyAlignment="1">
      <alignment horizontal="right" vertical="center"/>
    </xf>
    <xf numFmtId="49" fontId="20" fillId="6" borderId="102" xfId="0" applyNumberFormat="1" applyFont="1" applyFill="1" applyBorder="1" applyAlignment="1">
      <alignment horizontal="right" vertical="center"/>
    </xf>
    <xf numFmtId="49" fontId="20" fillId="6" borderId="104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37" fillId="0" borderId="28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49" fontId="3" fillId="0" borderId="50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49" fontId="12" fillId="7" borderId="7" xfId="0" applyNumberFormat="1" applyFont="1" applyFill="1" applyBorder="1" applyAlignment="1">
      <alignment horizontal="center" vertical="center"/>
    </xf>
    <xf numFmtId="49" fontId="12" fillId="7" borderId="38" xfId="0" applyNumberFormat="1" applyFont="1" applyFill="1" applyBorder="1" applyAlignment="1">
      <alignment horizontal="center" vertical="center"/>
    </xf>
    <xf numFmtId="49" fontId="12" fillId="7" borderId="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3" fontId="3" fillId="20" borderId="8" xfId="0" applyNumberFormat="1" applyFont="1" applyFill="1" applyBorder="1" applyAlignment="1">
      <alignment horizontal="center" vertical="center"/>
    </xf>
    <xf numFmtId="3" fontId="2" fillId="20" borderId="8" xfId="0" applyNumberFormat="1" applyFont="1" applyFill="1" applyBorder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164" fontId="3" fillId="20" borderId="8" xfId="0" applyNumberFormat="1" applyFont="1" applyFill="1" applyBorder="1" applyAlignment="1">
      <alignment horizontal="center" vertical="center"/>
    </xf>
    <xf numFmtId="164" fontId="2" fillId="20" borderId="8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14" fontId="2" fillId="0" borderId="36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49" fontId="46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2" fillId="0" borderId="5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2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18" fillId="12" borderId="80" xfId="4" applyFont="1" applyFill="1" applyBorder="1" applyAlignment="1">
      <alignment horizontal="center" vertical="center"/>
    </xf>
    <xf numFmtId="0" fontId="18" fillId="12" borderId="81" xfId="4" applyFont="1" applyFill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5" fillId="0" borderId="96" xfId="4" applyFont="1" applyBorder="1" applyAlignment="1">
      <alignment horizontal="center" vertical="center" wrapText="1"/>
    </xf>
    <xf numFmtId="0" fontId="30" fillId="14" borderId="98" xfId="4" applyFont="1" applyFill="1" applyBorder="1" applyAlignment="1">
      <alignment horizontal="center" vertical="center" wrapText="1"/>
    </xf>
    <xf numFmtId="0" fontId="30" fillId="14" borderId="97" xfId="4" applyFont="1" applyFill="1" applyBorder="1" applyAlignment="1">
      <alignment horizontal="center" vertical="center" wrapText="1"/>
    </xf>
    <xf numFmtId="0" fontId="30" fillId="14" borderId="99" xfId="4" applyFont="1" applyFill="1" applyBorder="1" applyAlignment="1">
      <alignment horizontal="center" vertical="center" wrapText="1"/>
    </xf>
    <xf numFmtId="0" fontId="28" fillId="18" borderId="2" xfId="4" applyFont="1" applyFill="1" applyBorder="1" applyAlignment="1">
      <alignment horizontal="center" vertical="center" wrapText="1"/>
    </xf>
    <xf numFmtId="49" fontId="42" fillId="19" borderId="9" xfId="0" applyNumberFormat="1" applyFont="1" applyFill="1" applyBorder="1" applyAlignment="1">
      <alignment horizontal="center" vertical="center"/>
    </xf>
    <xf numFmtId="49" fontId="42" fillId="19" borderId="10" xfId="0" applyNumberFormat="1" applyFont="1" applyFill="1" applyBorder="1" applyAlignment="1">
      <alignment horizontal="center" vertical="center"/>
    </xf>
    <xf numFmtId="49" fontId="36" fillId="0" borderId="8" xfId="0" applyNumberFormat="1" applyFont="1" applyBorder="1" applyAlignment="1">
      <alignment horizontal="center" vertical="center"/>
    </xf>
    <xf numFmtId="3" fontId="40" fillId="19" borderId="11" xfId="0" applyNumberFormat="1" applyFont="1" applyFill="1" applyBorder="1" applyAlignment="1">
      <alignment horizontal="center" vertical="center" wrapText="1"/>
    </xf>
    <xf numFmtId="3" fontId="40" fillId="19" borderId="12" xfId="0" applyNumberFormat="1" applyFont="1" applyFill="1" applyBorder="1" applyAlignment="1">
      <alignment horizontal="center" vertical="center" wrapText="1"/>
    </xf>
    <xf numFmtId="0" fontId="40" fillId="19" borderId="11" xfId="0" applyFont="1" applyFill="1" applyBorder="1" applyAlignment="1">
      <alignment horizontal="center" vertical="center"/>
    </xf>
    <xf numFmtId="0" fontId="40" fillId="19" borderId="12" xfId="0" applyFont="1" applyFill="1" applyBorder="1" applyAlignment="1">
      <alignment horizontal="center" vertical="center"/>
    </xf>
    <xf numFmtId="0" fontId="40" fillId="19" borderId="13" xfId="0" applyFont="1" applyFill="1" applyBorder="1" applyAlignment="1">
      <alignment horizontal="center" vertical="center" wrapText="1"/>
    </xf>
    <xf numFmtId="0" fontId="40" fillId="19" borderId="14" xfId="0" applyFont="1" applyFill="1" applyBorder="1" applyAlignment="1">
      <alignment horizontal="center" vertical="center" wrapText="1"/>
    </xf>
    <xf numFmtId="0" fontId="41" fillId="19" borderId="8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Процентный" xfId="3" builtinId="5"/>
  </cellStyles>
  <dxfs count="2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2" formatCode="0.00"/>
      <fill>
        <patternFill patternType="solid">
          <fgColor indexed="64"/>
          <bgColor rgb="FF003A1A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charset val="204"/>
        <scheme val="none"/>
      </font>
      <numFmt numFmtId="3" formatCode="#,##0"/>
      <fill>
        <patternFill patternType="solid">
          <fgColor indexed="64"/>
          <bgColor rgb="FF003A1A"/>
        </patternFill>
      </fill>
      <alignment horizontal="general" vertical="center" textRotation="0" wrapText="0" indent="0" justifyLastLine="0" shrinkToFit="0" readingOrder="0"/>
    </dxf>
    <dxf>
      <fill>
        <patternFill>
          <bgColor rgb="FFFF99CC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3" tint="-0.49998474074526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ill>
        <patternFill>
          <bgColor rgb="FF00B05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ont>
        <color theme="9" tint="0.79998168889431442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3" tint="-0.49998474074526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ill>
        <patternFill>
          <bgColor rgb="FF00B050"/>
        </patternFill>
      </fill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ont>
        <color theme="9" tint="0.79998168889431442"/>
      </font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0.79998168889431442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3" tint="-0.49998474074526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8" tint="0.39994506668294322"/>
        </patternFill>
      </fill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4" tint="0.79998168889431442"/>
      </font>
    </dxf>
    <dxf>
      <fill>
        <patternFill>
          <bgColor rgb="FF00B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numFmt numFmtId="4" formatCode="#,##0.00"/>
      <fill>
        <patternFill patternType="solid">
          <fgColor indexed="64"/>
          <bgColor theme="5" tint="-0.49998474074526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  <numFmt numFmtId="3" formatCode="#,##0"/>
      <fill>
        <patternFill patternType="solid">
          <fgColor indexed="64"/>
          <bgColor rgb="FF003A1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numFmt numFmtId="4" formatCode="#,##0.00"/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numFmt numFmtId="4" formatCode="#,##0.00"/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numFmt numFmtId="4" formatCode="#,##0.00"/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numFmt numFmtId="4" formatCode="#,##0.00"/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indexed="64"/>
          <bgColor theme="5" tint="-0.499984740745262"/>
        </patternFill>
      </fill>
    </dxf>
  </dxfs>
  <tableStyles count="0" defaultTableStyle="TableStyleMedium9" defaultPivotStyle="PivotStyleLight16"/>
  <colors>
    <mruColors>
      <color rgb="FFFF99FF"/>
      <color rgb="FF8EFC93"/>
      <color rgb="FF13DF61"/>
      <color rgb="FFFF9966"/>
      <color rgb="FF003A1A"/>
      <color rgb="FF005024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2211916</xdr:colOff>
      <xdr:row>6</xdr:row>
      <xdr:rowOff>38101</xdr:rowOff>
    </xdr:from>
    <xdr:to>
      <xdr:col>3</xdr:col>
      <xdr:colOff>664633</xdr:colOff>
      <xdr:row>6</xdr:row>
      <xdr:rowOff>190500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5545E0E0-7EBF-48C5-95A5-F3F5068A564D}"/>
            </a:ext>
          </a:extLst>
        </xdr:cNvPr>
        <xdr:cNvSpPr/>
      </xdr:nvSpPr>
      <xdr:spPr>
        <a:xfrm>
          <a:off x="2899833" y="1530351"/>
          <a:ext cx="1140883" cy="152399"/>
        </a:xfrm>
        <a:prstGeom prst="rightArrow">
          <a:avLst/>
        </a:prstGeom>
        <a:solidFill>
          <a:srgbClr val="FF0000"/>
        </a:solidFill>
        <a:ln w="63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2209800</xdr:colOff>
      <xdr:row>5</xdr:row>
      <xdr:rowOff>59267</xdr:rowOff>
    </xdr:from>
    <xdr:to>
      <xdr:col>3</xdr:col>
      <xdr:colOff>662517</xdr:colOff>
      <xdr:row>5</xdr:row>
      <xdr:rowOff>211666</xdr:rowOff>
    </xdr:to>
    <xdr:sp macro="" textlink="">
      <xdr:nvSpPr>
        <xdr:cNvPr id="4" name="Стрелка: вправо 3">
          <a:extLst>
            <a:ext uri="{FF2B5EF4-FFF2-40B4-BE49-F238E27FC236}">
              <a16:creationId xmlns:a16="http://schemas.microsoft.com/office/drawing/2014/main" id="{D3AF03D7-EF6F-4425-B5DE-A336081E9C4C}"/>
            </a:ext>
          </a:extLst>
        </xdr:cNvPr>
        <xdr:cNvSpPr/>
      </xdr:nvSpPr>
      <xdr:spPr>
        <a:xfrm>
          <a:off x="2912533" y="1219200"/>
          <a:ext cx="1221317" cy="152399"/>
        </a:xfrm>
        <a:prstGeom prst="rightArrow">
          <a:avLst/>
        </a:prstGeom>
        <a:solidFill>
          <a:srgbClr val="FF0000"/>
        </a:solidFill>
        <a:ln w="63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1819274</xdr:colOff>
      <xdr:row>5</xdr:row>
      <xdr:rowOff>38101</xdr:rowOff>
    </xdr:from>
    <xdr:to>
      <xdr:col>2</xdr:col>
      <xdr:colOff>2400299</xdr:colOff>
      <xdr:row>5</xdr:row>
      <xdr:rowOff>180974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A49A1965-0281-41AC-8822-CB58A1B8313C}"/>
            </a:ext>
          </a:extLst>
        </xdr:cNvPr>
        <xdr:cNvSpPr/>
      </xdr:nvSpPr>
      <xdr:spPr>
        <a:xfrm>
          <a:off x="2505074" y="1228726"/>
          <a:ext cx="581025" cy="142873"/>
        </a:xfrm>
        <a:prstGeom prst="rightArrow">
          <a:avLst/>
        </a:prstGeom>
        <a:solidFill>
          <a:srgbClr val="FF0000"/>
        </a:solidFill>
        <a:ln w="63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1819274</xdr:colOff>
      <xdr:row>5</xdr:row>
      <xdr:rowOff>38101</xdr:rowOff>
    </xdr:from>
    <xdr:to>
      <xdr:col>2</xdr:col>
      <xdr:colOff>2400299</xdr:colOff>
      <xdr:row>5</xdr:row>
      <xdr:rowOff>180974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id="{F471199D-A689-498D-A3B9-D7116DCE88A3}"/>
            </a:ext>
          </a:extLst>
        </xdr:cNvPr>
        <xdr:cNvSpPr/>
      </xdr:nvSpPr>
      <xdr:spPr>
        <a:xfrm>
          <a:off x="2505074" y="1228726"/>
          <a:ext cx="581025" cy="142873"/>
        </a:xfrm>
        <a:prstGeom prst="rightArrow">
          <a:avLst/>
        </a:prstGeom>
        <a:solidFill>
          <a:srgbClr val="FF0000"/>
        </a:solidFill>
        <a:ln w="63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5" displayName="Таблица5" ref="A4:J40" totalsRowCount="1" headerRowDxfId="230" totalsRowDxfId="227" headerRowBorderDxfId="229" tableBorderDxfId="228" totalsRowBorderDxfId="226">
  <tableColumns count="10">
    <tableColumn id="1" xr3:uid="{00000000-0010-0000-0000-000001000000}" name="№/п.п." totalsRowLabel="Итог" dataDxfId="225" totalsRowDxfId="224"/>
    <tableColumn id="10" xr3:uid="{00000000-0010-0000-0000-00000A000000}" name="Участок" dataDxfId="223" totalsRowDxfId="222"/>
    <tableColumn id="9" xr3:uid="{00000000-0010-0000-0000-000009000000}" name="Прибор" dataDxfId="221" totalsRowDxfId="220"/>
    <tableColumn id="2" xr3:uid="{00000000-0010-0000-0000-000002000000}" name="Наименование операции" totalsRowLabel="в том числе по подразделениям" dataDxfId="219" totalsRowDxfId="218"/>
    <tableColumn id="3" xr3:uid="{00000000-0010-0000-0000-000003000000}" name="Един. Изм." dataDxfId="217" totalsRowDxfId="216"/>
    <tableColumn id="5" xr3:uid="{00000000-0010-0000-0000-000005000000}" name="Подразделение2" dataDxfId="215" totalsRowDxfId="214"/>
    <tableColumn id="6" xr3:uid="{00000000-0010-0000-0000-000006000000}" name="1т 1ф" dataDxfId="213" totalsRowDxfId="212">
      <calculatedColumnFormula>Таблица5[[#This Row],[К-во]]</calculatedColumnFormula>
    </tableColumn>
    <tableColumn id="7" xr3:uid="{00000000-0010-0000-0000-000007000000}" name="1т 3ф" dataDxfId="211" totalsRowDxfId="210"/>
    <tableColumn id="8" xr3:uid="{00000000-0010-0000-0000-000008000000}" name="Мт" dataDxfId="209" totalsRowDxfId="208"/>
    <tableColumn id="4" xr3:uid="{00000000-0010-0000-0000-000004000000}" name="К-во" totalsRowFunction="sum" dataDxfId="207" totalsRowDxfId="206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Таблица1" displayName="Таблица1" ref="A6:BX23" totalsRowShown="0" headerRowDxfId="205" dataDxfId="204" tableBorderDxfId="203">
  <autoFilter ref="A6:BX23" xr:uid="{00000000-0009-0000-0100-000001000000}"/>
  <sortState ref="A7:BX23">
    <sortCondition ref="A6:A23"/>
  </sortState>
  <tableColumns count="76">
    <tableColumn id="1" xr3:uid="{00000000-0010-0000-0100-000001000000}" name="Столбец1" dataDxfId="202"/>
    <tableColumn id="72" xr3:uid="{00000000-0010-0000-0100-000048000000}" name="Столбец110" dataDxfId="201">
      <calculatedColumnFormula>Спецификация!$C$4</calculatedColumnFormula>
    </tableColumn>
    <tableColumn id="2" xr3:uid="{00000000-0010-0000-0100-000002000000}" name="Столбец2" dataDxfId="200"/>
    <tableColumn id="3" xr3:uid="{00000000-0010-0000-0100-000003000000}" name="Столбец3" dataDxfId="199"/>
    <tableColumn id="4" xr3:uid="{00000000-0010-0000-0100-000004000000}" name="Столбец4" dataDxfId="198"/>
    <tableColumn id="5" xr3:uid="{00000000-0010-0000-0100-000005000000}" name="Столбец5" dataDxfId="197"/>
    <tableColumn id="6" xr3:uid="{00000000-0010-0000-0100-000006000000}" name="Столбец6" dataDxfId="196"/>
    <tableColumn id="7" xr3:uid="{00000000-0010-0000-0100-000007000000}" name="Столбец7" dataDxfId="195"/>
    <tableColumn id="8" xr3:uid="{00000000-0010-0000-0100-000008000000}" name="Столбец8" dataDxfId="194"/>
    <tableColumn id="9" xr3:uid="{00000000-0010-0000-0100-000009000000}" name="Столбец9" dataDxfId="193"/>
    <tableColumn id="10" xr3:uid="{00000000-0010-0000-0100-00000A000000}" name="Столбец10" dataDxfId="192"/>
    <tableColumn id="11" xr3:uid="{00000000-0010-0000-0100-00000B000000}" name="Столбец11" dataDxfId="191"/>
    <tableColumn id="12" xr3:uid="{00000000-0010-0000-0100-00000C000000}" name="Столбец12" dataDxfId="190"/>
    <tableColumn id="13" xr3:uid="{00000000-0010-0000-0100-00000D000000}" name="Столбец13" dataDxfId="189"/>
    <tableColumn id="14" xr3:uid="{00000000-0010-0000-0100-00000E000000}" name="Столбец14" dataDxfId="188"/>
    <tableColumn id="15" xr3:uid="{00000000-0010-0000-0100-00000F000000}" name="Столбец15" dataDxfId="187"/>
    <tableColumn id="73" xr3:uid="{00000000-0010-0000-0100-000049000000}" name="Столбец152" dataDxfId="186">
      <calculatedColumnFormula>Спецификация!$D$4</calculatedColumnFormula>
    </tableColumn>
    <tableColumn id="16" xr3:uid="{00000000-0010-0000-0100-000010000000}" name="Столбец16" dataDxfId="185"/>
    <tableColumn id="17" xr3:uid="{00000000-0010-0000-0100-000011000000}" name="Столбец17" dataDxfId="184"/>
    <tableColumn id="18" xr3:uid="{00000000-0010-0000-0100-000012000000}" name="Столбец18" dataDxfId="183"/>
    <tableColumn id="19" xr3:uid="{00000000-0010-0000-0100-000013000000}" name="Столбец19" dataDxfId="182"/>
    <tableColumn id="20" xr3:uid="{00000000-0010-0000-0100-000014000000}" name="Столбец20" dataDxfId="181"/>
    <tableColumn id="21" xr3:uid="{00000000-0010-0000-0100-000015000000}" name="Столбец21" dataDxfId="180"/>
    <tableColumn id="22" xr3:uid="{00000000-0010-0000-0100-000016000000}" name="Столбец22" dataDxfId="179"/>
    <tableColumn id="23" xr3:uid="{00000000-0010-0000-0100-000017000000}" name="Столбец23" dataDxfId="178"/>
    <tableColumn id="24" xr3:uid="{00000000-0010-0000-0100-000018000000}" name="Столбец24" dataDxfId="177"/>
    <tableColumn id="25" xr3:uid="{00000000-0010-0000-0100-000019000000}" name="Столбец25" dataDxfId="176"/>
    <tableColumn id="26" xr3:uid="{00000000-0010-0000-0100-00001A000000}" name="Столбец26" dataDxfId="175"/>
    <tableColumn id="27" xr3:uid="{00000000-0010-0000-0100-00001B000000}" name="Столбец27" dataDxfId="174"/>
    <tableColumn id="28" xr3:uid="{00000000-0010-0000-0100-00001C000000}" name="Столбец28" dataDxfId="173"/>
    <tableColumn id="29" xr3:uid="{00000000-0010-0000-0100-00001D000000}" name="Столбец29" dataDxfId="172"/>
    <tableColumn id="74" xr3:uid="{00000000-0010-0000-0100-00004A000000}" name="Столбец292" dataDxfId="171">
      <calculatedColumnFormula>Спецификация!$E$4</calculatedColumnFormula>
    </tableColumn>
    <tableColumn id="30" xr3:uid="{00000000-0010-0000-0100-00001E000000}" name="Столбец30" dataDxfId="170"/>
    <tableColumn id="31" xr3:uid="{00000000-0010-0000-0100-00001F000000}" name="Столбец31" dataDxfId="169"/>
    <tableColumn id="32" xr3:uid="{00000000-0010-0000-0100-000020000000}" name="Столбец32" dataDxfId="168"/>
    <tableColumn id="33" xr3:uid="{00000000-0010-0000-0100-000021000000}" name="Столбец33" dataDxfId="167"/>
    <tableColumn id="34" xr3:uid="{00000000-0010-0000-0100-000022000000}" name="Столбец34" dataDxfId="166"/>
    <tableColumn id="35" xr3:uid="{00000000-0010-0000-0100-000023000000}" name="Столбец35" dataDxfId="165"/>
    <tableColumn id="36" xr3:uid="{00000000-0010-0000-0100-000024000000}" name="Столбец36" dataDxfId="164"/>
    <tableColumn id="37" xr3:uid="{00000000-0010-0000-0100-000025000000}" name="Столбец37" dataDxfId="163"/>
    <tableColumn id="38" xr3:uid="{00000000-0010-0000-0100-000026000000}" name="Столбец38" dataDxfId="162"/>
    <tableColumn id="39" xr3:uid="{00000000-0010-0000-0100-000027000000}" name="Столбец39" dataDxfId="161"/>
    <tableColumn id="40" xr3:uid="{00000000-0010-0000-0100-000028000000}" name="Столбец40" dataDxfId="160"/>
    <tableColumn id="41" xr3:uid="{00000000-0010-0000-0100-000029000000}" name="Столбец41" dataDxfId="159"/>
    <tableColumn id="42" xr3:uid="{00000000-0010-0000-0100-00002A000000}" name="Столбец42" dataDxfId="158"/>
    <tableColumn id="43" xr3:uid="{00000000-0010-0000-0100-00002B000000}" name="Столбец43" dataDxfId="157"/>
    <tableColumn id="75" xr3:uid="{00000000-0010-0000-0100-00004B000000}" name="Столбец432" dataDxfId="156">
      <calculatedColumnFormula>Спецификация!$F$4</calculatedColumnFormula>
    </tableColumn>
    <tableColumn id="44" xr3:uid="{00000000-0010-0000-0100-00002C000000}" name="Столбец44" dataDxfId="155"/>
    <tableColumn id="45" xr3:uid="{00000000-0010-0000-0100-00002D000000}" name="Столбец45" dataDxfId="154"/>
    <tableColumn id="46" xr3:uid="{00000000-0010-0000-0100-00002E000000}" name="Столбец46" dataDxfId="153"/>
    <tableColumn id="47" xr3:uid="{00000000-0010-0000-0100-00002F000000}" name="Столбец47" dataDxfId="152"/>
    <tableColumn id="48" xr3:uid="{00000000-0010-0000-0100-000030000000}" name="Столбец48" dataDxfId="151"/>
    <tableColumn id="49" xr3:uid="{00000000-0010-0000-0100-000031000000}" name="Столбец49" dataDxfId="150"/>
    <tableColumn id="50" xr3:uid="{00000000-0010-0000-0100-000032000000}" name="Столбец50" dataDxfId="149"/>
    <tableColumn id="51" xr3:uid="{00000000-0010-0000-0100-000033000000}" name="Столбец51" dataDxfId="148"/>
    <tableColumn id="52" xr3:uid="{00000000-0010-0000-0100-000034000000}" name="Столбец52" dataDxfId="147"/>
    <tableColumn id="53" xr3:uid="{00000000-0010-0000-0100-000035000000}" name="Столбец53" dataDxfId="146"/>
    <tableColumn id="54" xr3:uid="{00000000-0010-0000-0100-000036000000}" name="Столбец54" dataDxfId="145"/>
    <tableColumn id="55" xr3:uid="{00000000-0010-0000-0100-000037000000}" name="Столбец55" dataDxfId="144"/>
    <tableColumn id="56" xr3:uid="{00000000-0010-0000-0100-000038000000}" name="Столбец56" dataDxfId="143"/>
    <tableColumn id="57" xr3:uid="{00000000-0010-0000-0100-000039000000}" name="Столбец57" dataDxfId="142"/>
    <tableColumn id="78" xr3:uid="{00000000-0010-0000-0100-00004E000000}" name="Столбец572" dataDxfId="141">
      <calculatedColumnFormula>$BK$4</calculatedColumnFormula>
    </tableColumn>
    <tableColumn id="58" xr3:uid="{00000000-0010-0000-0100-00003A000000}" name="Столбец58" dataDxfId="140"/>
    <tableColumn id="59" xr3:uid="{00000000-0010-0000-0100-00003B000000}" name="Столбец59" dataDxfId="139"/>
    <tableColumn id="60" xr3:uid="{00000000-0010-0000-0100-00003C000000}" name="Столбец60" dataDxfId="138"/>
    <tableColumn id="61" xr3:uid="{00000000-0010-0000-0100-00003D000000}" name="Столбец61" dataDxfId="137"/>
    <tableColumn id="62" xr3:uid="{00000000-0010-0000-0100-00003E000000}" name="Столбец62" dataDxfId="136"/>
    <tableColumn id="63" xr3:uid="{00000000-0010-0000-0100-00003F000000}" name="Столбец63" dataDxfId="135"/>
    <tableColumn id="64" xr3:uid="{00000000-0010-0000-0100-000040000000}" name="Столбец64" dataDxfId="134"/>
    <tableColumn id="65" xr3:uid="{00000000-0010-0000-0100-000041000000}" name="Столбец65" dataDxfId="133"/>
    <tableColumn id="66" xr3:uid="{00000000-0010-0000-0100-000042000000}" name="Столбец66" dataDxfId="132"/>
    <tableColumn id="67" xr3:uid="{00000000-0010-0000-0100-000043000000}" name="Столбец67" dataDxfId="131"/>
    <tableColumn id="68" xr3:uid="{00000000-0010-0000-0100-000044000000}" name="Столбец68" dataDxfId="130"/>
    <tableColumn id="69" xr3:uid="{00000000-0010-0000-0100-000045000000}" name="Столбец69" dataDxfId="129"/>
    <tableColumn id="70" xr3:uid="{00000000-0010-0000-0100-000046000000}" name="Столбец70" dataDxfId="128"/>
    <tableColumn id="71" xr3:uid="{00000000-0010-0000-0100-000047000000}" name="Столбец71" dataDxfId="127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A6:E23" totalsRowShown="0" headerRowDxfId="126" dataDxfId="125">
  <autoFilter ref="A6:E23" xr:uid="{00000000-0009-0000-0100-000003000000}"/>
  <tableColumns count="5">
    <tableColumn id="1" xr3:uid="{00000000-0010-0000-0200-000001000000}" name="Столбец1" dataDxfId="124"/>
    <tableColumn id="2" xr3:uid="{00000000-0010-0000-0200-000002000000}" name="Столбец2" dataDxfId="123"/>
    <tableColumn id="3" xr3:uid="{00000000-0010-0000-0200-000003000000}" name="Столбец3" dataDxfId="122"/>
    <tableColumn id="4" xr3:uid="{00000000-0010-0000-0200-000004000000}" name="Столбец4" dataDxfId="121"/>
    <tableColumn id="5" xr3:uid="{00000000-0010-0000-0200-000005000000}" name="Столбец5" dataDxfId="120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Таблица2" displayName="Таблица2" ref="A8:L34" totalsRowCount="1" headerRowDxfId="119" dataDxfId="118" totalsRowDxfId="117">
  <autoFilter ref="A8:L33" xr:uid="{00000000-0009-0000-0100-000002000000}"/>
  <sortState ref="A9:K33">
    <sortCondition descending="1" ref="B8:B33"/>
  </sortState>
  <tableColumns count="12">
    <tableColumn id="1" xr3:uid="{00000000-0010-0000-0300-000001000000}" name="№/п.п." totalsRowLabel="Итог" dataDxfId="116" totalsRowDxfId="11"/>
    <tableColumn id="2" xr3:uid="{00000000-0010-0000-0300-000002000000}" name="Подразделение" totalsRowLabel="Х" dataDxfId="115" totalsRowDxfId="10"/>
    <tableColumn id="3" xr3:uid="{00000000-0010-0000-0300-000003000000}" name="Должность" totalsRowLabel="Х" dataDxfId="114" totalsRowDxfId="9"/>
    <tableColumn id="4" xr3:uid="{00000000-0010-0000-0300-000004000000}" name="Вид затрат" totalsRowLabel="Х" dataDxfId="113" totalsRowDxfId="8"/>
    <tableColumn id="11" xr3:uid="{00000000-0010-0000-0300-00000B000000}" name="К-во" totalsRowFunction="sum" dataDxfId="112" totalsRowDxfId="7"/>
    <tableColumn id="5" xr3:uid="{00000000-0010-0000-0300-000005000000}" name="З/пл 1" totalsRowFunction="sum" dataDxfId="111" totalsRowDxfId="6"/>
    <tableColumn id="6" xr3:uid="{00000000-0010-0000-0300-000006000000}" name="З/пл 2" totalsRowFunction="sum" dataDxfId="110" totalsRowDxfId="5"/>
    <tableColumn id="7" xr3:uid="{00000000-0010-0000-0300-000007000000}" name="Итого з/пл" totalsRowFunction="sum" dataDxfId="109" totalsRowDxfId="4"/>
    <tableColumn id="8" xr3:uid="{00000000-0010-0000-0300-000008000000}" name="Налоги" totalsRowFunction="sum" dataDxfId="108" totalsRowDxfId="3">
      <calculatedColumnFormula>H9*($C$3+$C$4+$C$5)</calculatedColumnFormula>
    </tableColumn>
    <tableColumn id="9" xr3:uid="{00000000-0010-0000-0300-000009000000}" name="Всего" totalsRowFunction="sum" dataDxfId="107" totalsRowDxfId="2">
      <calculatedColumnFormula>(H9+I9)*Таблица2[[#This Row],[К-во]]</calculatedColumnFormula>
    </tableColumn>
    <tableColumn id="10" xr3:uid="{00000000-0010-0000-0300-00000A000000}" name="Затраты на оплату труда (грн/мин)" totalsRowFunction="sum" dataDxfId="106" totalsRowDxfId="1">
      <calculatedColumnFormula>IF(Таблица2[[#This Row],[К-во]]&gt;0,(Таблица2[[#This Row],[Всего]]/($J$3*$J$4*60)),0)</calculatedColumnFormula>
    </tableColumn>
    <tableColumn id="12" xr3:uid="{00000000-0010-0000-0300-00000C000000}" name="Трудозатраты    (чел/час)" totalsRowFunction="sum" dataDxfId="105" totalsRowDxfId="0">
      <calculatedColumnFormula>Таблица2[[#This Row],[К-во]]*$J$3*$J$4</calculatedColumnFormula>
    </tableColumn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Таблица15" displayName="Таблица15" ref="A5:B24" totalsRowCount="1" headerRowDxfId="104" totalsRowDxfId="103">
  <autoFilter ref="A5:B23" xr:uid="{00000000-0009-0000-0100-000004000000}"/>
  <sortState ref="A6:B23">
    <sortCondition descending="1" ref="B5:B23"/>
  </sortState>
  <tableColumns count="2">
    <tableColumn id="1" xr3:uid="{00000000-0010-0000-0400-000001000000}" name="Наименование затрат" totalsRowLabel="Итог" dataDxfId="102" totalsRowDxfId="101" dataCellStyle="Обычный 4"/>
    <tableColumn id="2" xr3:uid="{00000000-0010-0000-0400-000002000000}" name="Сумма" totalsRowFunction="sum" dataDxfId="100" totalsRowDxfId="99" dataCellStyle="Обычный 4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4:AA73"/>
  <sheetViews>
    <sheetView showGridLines="0" showZeros="0" tabSelected="1" topLeftCell="A4" zoomScale="90" zoomScaleNormal="90" workbookViewId="0">
      <pane ySplit="7" topLeftCell="A11" activePane="bottomLeft" state="frozen"/>
      <selection activeCell="A4" sqref="A4"/>
      <selection pane="bottomLeft" activeCell="B4" sqref="B4:U4"/>
    </sheetView>
  </sheetViews>
  <sheetFormatPr defaultColWidth="9.109375" defaultRowHeight="15.6" outlineLevelRow="1" x14ac:dyDescent="0.3"/>
  <cols>
    <col min="1" max="1" width="1.109375" style="3" customWidth="1"/>
    <col min="2" max="2" width="9.109375" style="1"/>
    <col min="3" max="3" width="40.33203125" style="3" bestFit="1" customWidth="1"/>
    <col min="4" max="4" width="11.88671875" style="389" customWidth="1"/>
    <col min="5" max="5" width="9.5546875" style="3" customWidth="1"/>
    <col min="6" max="6" width="10.109375" style="6" customWidth="1"/>
    <col min="7" max="7" width="9.109375" style="3" bestFit="1" customWidth="1"/>
    <col min="8" max="8" width="11.33203125" style="3" bestFit="1" customWidth="1"/>
    <col min="9" max="9" width="11.109375" style="3" customWidth="1"/>
    <col min="10" max="10" width="9.109375" style="3" bestFit="1" customWidth="1"/>
    <col min="11" max="12" width="8.44140625" style="3" bestFit="1" customWidth="1"/>
    <col min="13" max="13" width="9.109375" style="3" bestFit="1" customWidth="1"/>
    <col min="14" max="19" width="8.44140625" style="3" bestFit="1" customWidth="1"/>
    <col min="20" max="20" width="12.88671875" style="3" hidden="1" customWidth="1"/>
    <col min="21" max="21" width="13.44140625" style="21" bestFit="1" customWidth="1"/>
    <col min="22" max="22" width="13" style="3" hidden="1" customWidth="1"/>
    <col min="23" max="24" width="9.109375" style="3"/>
    <col min="25" max="25" width="11.88671875" style="3" customWidth="1"/>
    <col min="26" max="16384" width="9.109375" style="3"/>
  </cols>
  <sheetData>
    <row r="4" spans="2:24" ht="23.25" customHeight="1" x14ac:dyDescent="0.3">
      <c r="B4" s="602" t="s">
        <v>339</v>
      </c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</row>
    <row r="5" spans="2:24" ht="23.25" customHeight="1" x14ac:dyDescent="0.3">
      <c r="B5" s="603" t="s">
        <v>574</v>
      </c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</row>
    <row r="6" spans="2:24" ht="23.25" customHeight="1" thickBot="1" x14ac:dyDescent="0.35">
      <c r="B6" s="639" t="s">
        <v>246</v>
      </c>
      <c r="C6" s="639"/>
      <c r="D6" s="308"/>
      <c r="E6" s="462" t="s">
        <v>254</v>
      </c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640" t="s">
        <v>257</v>
      </c>
      <c r="R6" s="640"/>
      <c r="S6" s="640"/>
      <c r="T6" s="463"/>
      <c r="U6" s="464">
        <f ca="1">TODAY()</f>
        <v>43979</v>
      </c>
    </row>
    <row r="7" spans="2:24" s="2" customFormat="1" ht="16.2" thickBot="1" x14ac:dyDescent="0.35">
      <c r="B7" s="604" t="s">
        <v>71</v>
      </c>
      <c r="C7" s="605"/>
      <c r="D7" s="606"/>
      <c r="E7" s="74">
        <v>0</v>
      </c>
      <c r="F7" s="74">
        <v>1</v>
      </c>
      <c r="G7" s="74">
        <v>1</v>
      </c>
      <c r="H7" s="74">
        <v>1</v>
      </c>
      <c r="I7" s="74">
        <v>1</v>
      </c>
      <c r="J7" s="74">
        <v>1</v>
      </c>
      <c r="K7" s="74">
        <v>1</v>
      </c>
      <c r="L7" s="74">
        <v>1</v>
      </c>
      <c r="M7" s="74">
        <v>1</v>
      </c>
      <c r="N7" s="74">
        <v>1</v>
      </c>
      <c r="O7" s="74">
        <v>1</v>
      </c>
      <c r="P7" s="74">
        <v>1</v>
      </c>
      <c r="Q7" s="74">
        <v>1</v>
      </c>
      <c r="R7" s="74">
        <v>1</v>
      </c>
      <c r="S7" s="74">
        <v>1</v>
      </c>
      <c r="T7" s="74">
        <v>1</v>
      </c>
      <c r="U7" s="73"/>
    </row>
    <row r="8" spans="2:24" s="2" customFormat="1" ht="16.2" thickBot="1" x14ac:dyDescent="0.35">
      <c r="B8" s="604" t="s">
        <v>368</v>
      </c>
      <c r="C8" s="605"/>
      <c r="D8" s="605"/>
      <c r="E8" s="261"/>
      <c r="F8" s="262"/>
      <c r="G8" s="263"/>
      <c r="H8" s="264"/>
      <c r="I8" s="260">
        <v>1</v>
      </c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5"/>
    </row>
    <row r="9" spans="2:24" s="5" customFormat="1" ht="16.2" thickBot="1" x14ac:dyDescent="0.35">
      <c r="B9" s="618" t="s">
        <v>31</v>
      </c>
      <c r="C9" s="607" t="s">
        <v>557</v>
      </c>
      <c r="D9" s="608"/>
      <c r="E9" s="620" t="s">
        <v>506</v>
      </c>
      <c r="F9" s="622"/>
      <c r="G9" s="623"/>
      <c r="H9" s="624"/>
      <c r="I9" s="625"/>
      <c r="J9" s="626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8"/>
      <c r="V9" s="617" t="s">
        <v>68</v>
      </c>
    </row>
    <row r="10" spans="2:24" s="21" customFormat="1" ht="55.5" customHeight="1" thickBot="1" x14ac:dyDescent="0.35">
      <c r="B10" s="619"/>
      <c r="C10" s="609"/>
      <c r="D10" s="610"/>
      <c r="E10" s="621"/>
      <c r="F10" s="457" t="s">
        <v>507</v>
      </c>
      <c r="G10" s="458" t="s">
        <v>508</v>
      </c>
      <c r="H10" s="242" t="s">
        <v>509</v>
      </c>
      <c r="I10" s="134" t="s">
        <v>510</v>
      </c>
      <c r="J10" s="459" t="s">
        <v>511</v>
      </c>
      <c r="K10" s="460" t="s">
        <v>512</v>
      </c>
      <c r="L10" s="460" t="s">
        <v>513</v>
      </c>
      <c r="M10" s="460" t="s">
        <v>514</v>
      </c>
      <c r="N10" s="460" t="s">
        <v>515</v>
      </c>
      <c r="O10" s="460" t="s">
        <v>516</v>
      </c>
      <c r="P10" s="460" t="s">
        <v>517</v>
      </c>
      <c r="Q10" s="460" t="s">
        <v>518</v>
      </c>
      <c r="R10" s="460" t="s">
        <v>519</v>
      </c>
      <c r="S10" s="460" t="s">
        <v>520</v>
      </c>
      <c r="T10" s="61"/>
      <c r="U10" s="461" t="s">
        <v>521</v>
      </c>
      <c r="V10" s="617"/>
    </row>
    <row r="11" spans="2:24" s="21" customFormat="1" ht="22.5" customHeight="1" thickBot="1" x14ac:dyDescent="0.35">
      <c r="B11" s="629" t="s">
        <v>142</v>
      </c>
      <c r="C11" s="630"/>
      <c r="D11" s="630"/>
      <c r="E11" s="630"/>
      <c r="F11" s="630"/>
      <c r="G11" s="630"/>
      <c r="H11" s="630"/>
      <c r="I11" s="630"/>
      <c r="J11" s="630"/>
      <c r="K11" s="630"/>
      <c r="L11" s="630"/>
      <c r="M11" s="630"/>
      <c r="N11" s="630"/>
      <c r="O11" s="630"/>
      <c r="P11" s="630"/>
      <c r="Q11" s="630"/>
      <c r="R11" s="630"/>
      <c r="S11" s="630"/>
      <c r="T11" s="630"/>
      <c r="U11" s="631"/>
      <c r="V11" s="88"/>
    </row>
    <row r="12" spans="2:24" s="5" customFormat="1" ht="17.399999999999999" x14ac:dyDescent="0.3">
      <c r="B12" s="75" t="s">
        <v>1</v>
      </c>
      <c r="C12" s="595" t="s">
        <v>36</v>
      </c>
      <c r="D12" s="596"/>
      <c r="E12" s="43">
        <f>SUM(E13:E17)</f>
        <v>15.291238095238095</v>
      </c>
      <c r="F12" s="44">
        <f>SUM(F13:F17)</f>
        <v>15.291238095238095</v>
      </c>
      <c r="G12" s="45">
        <f>SUM(G13:G17)</f>
        <v>15.291238095238095</v>
      </c>
      <c r="H12" s="45">
        <f t="shared" ref="H12:S12" si="0">SUM(H13:H17)</f>
        <v>15.291238095238095</v>
      </c>
      <c r="I12" s="371">
        <f t="shared" si="0"/>
        <v>15.291238095238095</v>
      </c>
      <c r="J12" s="370">
        <f>SUM(J13:J17)</f>
        <v>15.291238095238095</v>
      </c>
      <c r="K12" s="47">
        <f t="shared" si="0"/>
        <v>15.291238095238095</v>
      </c>
      <c r="L12" s="47">
        <f t="shared" si="0"/>
        <v>15.291238095238095</v>
      </c>
      <c r="M12" s="47">
        <f t="shared" si="0"/>
        <v>15.291238095238095</v>
      </c>
      <c r="N12" s="47">
        <f t="shared" si="0"/>
        <v>15.291238095238095</v>
      </c>
      <c r="O12" s="47">
        <f t="shared" si="0"/>
        <v>15.291238095238095</v>
      </c>
      <c r="P12" s="47">
        <f t="shared" si="0"/>
        <v>15.291238095238095</v>
      </c>
      <c r="Q12" s="47">
        <f t="shared" si="0"/>
        <v>15.291238095238095</v>
      </c>
      <c r="R12" s="47">
        <f t="shared" si="0"/>
        <v>15.291238095238095</v>
      </c>
      <c r="S12" s="47">
        <f t="shared" si="0"/>
        <v>15.291238095238095</v>
      </c>
      <c r="T12" s="54">
        <f t="shared" ref="T12" si="1">SUM(T13:T16)</f>
        <v>9.7912380952380946</v>
      </c>
      <c r="U12" s="418">
        <f>SUM(U13:U17)</f>
        <v>15.291238095238095</v>
      </c>
      <c r="V12" s="24">
        <f t="shared" ref="V12:V16" si="2">U12</f>
        <v>15.291238095238095</v>
      </c>
      <c r="X12" s="15"/>
    </row>
    <row r="13" spans="2:24" ht="13.8" x14ac:dyDescent="0.3">
      <c r="B13" s="77" t="s">
        <v>33</v>
      </c>
      <c r="C13" s="584" t="s">
        <v>37</v>
      </c>
      <c r="D13" s="585"/>
      <c r="E13" s="4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F13" s="31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G13" s="9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H13" s="9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I13" s="3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J13" s="100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K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L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M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N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O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P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Q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R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S13" s="12">
        <f>SUMIF(Таблица5[Наименование операции],"Диагностика функциональности",Таблица5[К-во])*2*((SUMIF(Таблица2[Подразделение],"ЦОВ",Таблица2[Всего])/SUMIF(Таблица2[Подразделение],"ЦОВ",Таблица2[К-во]))/(ЗП!$J$3*ЗП!$J$4*60))</f>
        <v>7.3930158730158722</v>
      </c>
      <c r="T13" s="55">
        <f t="shared" ref="T13" si="3">S13</f>
        <v>7.3930158730158722</v>
      </c>
      <c r="U13" s="419">
        <f>_xlfn.MAXIFS(E13:T13,$E$7:$T$7,1)</f>
        <v>7.3930158730158722</v>
      </c>
      <c r="V13" s="8">
        <f t="shared" si="2"/>
        <v>7.3930158730158722</v>
      </c>
    </row>
    <row r="14" spans="2:24" ht="13.8" x14ac:dyDescent="0.3">
      <c r="B14" s="77" t="s">
        <v>34</v>
      </c>
      <c r="C14" s="584" t="s">
        <v>38</v>
      </c>
      <c r="D14" s="585"/>
      <c r="E14" s="4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F14" s="31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G14" s="9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H14" s="9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I14" s="3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J14" s="100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K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L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M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N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O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P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Q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R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S14" s="12">
        <f>SUMIF(Таблица5[Наименование операции],"Поверка",Таблица5[К-во])*((SUMIF(Таблица2[Подразделение],"ЦОВ",Таблица2[Всего])/SUMIF(Таблица2[Подразделение],"ЦОВ",Таблица2[К-во]))/(ЗП!$J$3*ЗП!$J$4*60))</f>
        <v>2.1638095238095238</v>
      </c>
      <c r="T14" s="55">
        <f t="shared" ref="F14:T17" si="4">S14</f>
        <v>2.1638095238095238</v>
      </c>
      <c r="U14" s="419">
        <f t="shared" ref="U14:U17" si="5">_xlfn.MAXIFS(E14:T14,$E$7:$T$7,1)</f>
        <v>2.1638095238095238</v>
      </c>
      <c r="V14" s="8">
        <f t="shared" si="2"/>
        <v>2.1638095238095238</v>
      </c>
    </row>
    <row r="15" spans="2:24" ht="13.8" x14ac:dyDescent="0.3">
      <c r="B15" s="77" t="s">
        <v>76</v>
      </c>
      <c r="C15" s="584" t="s">
        <v>39</v>
      </c>
      <c r="D15" s="585"/>
      <c r="E15" s="4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F15" s="31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G15" s="9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H15" s="9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I15" s="3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J15" s="100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K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L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M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N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O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P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Q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R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S15" s="12">
        <f>SUMIF(Таблица5[Наименование операции],"Пломбировка",Таблица5[К-во])*((SUMIF(Таблица2[Подразделение],"ЦОВ",Таблица2[Всего])/SUMIF(Таблица2[Подразделение],"ЦОВ",Таблица2[К-во]))/(ЗП!$J$3*ЗП!$J$4*60))</f>
        <v>0.23441269841269843</v>
      </c>
      <c r="T15" s="55">
        <f t="shared" si="4"/>
        <v>0.23441269841269843</v>
      </c>
      <c r="U15" s="419">
        <f t="shared" si="5"/>
        <v>0.23441269841269843</v>
      </c>
      <c r="V15" s="8">
        <f t="shared" si="2"/>
        <v>0.23441269841269843</v>
      </c>
    </row>
    <row r="16" spans="2:24" ht="14.4" thickBot="1" x14ac:dyDescent="0.35">
      <c r="B16" s="176" t="s">
        <v>77</v>
      </c>
      <c r="C16" s="584" t="s">
        <v>75</v>
      </c>
      <c r="D16" s="585"/>
      <c r="E16" s="178"/>
      <c r="F16" s="179">
        <f t="shared" si="4"/>
        <v>0</v>
      </c>
      <c r="G16" s="180">
        <f t="shared" si="4"/>
        <v>0</v>
      </c>
      <c r="H16" s="180">
        <f t="shared" si="4"/>
        <v>0</v>
      </c>
      <c r="I16" s="191">
        <f t="shared" si="4"/>
        <v>0</v>
      </c>
      <c r="J16" s="192">
        <f t="shared" si="4"/>
        <v>0</v>
      </c>
      <c r="K16" s="182">
        <f t="shared" si="4"/>
        <v>0</v>
      </c>
      <c r="L16" s="182">
        <f t="shared" ref="L16:L17" si="6">K16</f>
        <v>0</v>
      </c>
      <c r="M16" s="182">
        <f t="shared" ref="M16:M17" si="7">L16</f>
        <v>0</v>
      </c>
      <c r="N16" s="182">
        <f t="shared" ref="N16:N17" si="8">M16</f>
        <v>0</v>
      </c>
      <c r="O16" s="182">
        <f t="shared" ref="O16:O17" si="9">N16</f>
        <v>0</v>
      </c>
      <c r="P16" s="182">
        <f t="shared" ref="P16:P17" si="10">O16</f>
        <v>0</v>
      </c>
      <c r="Q16" s="182">
        <f t="shared" ref="Q16:Q17" si="11">P16</f>
        <v>0</v>
      </c>
      <c r="R16" s="182">
        <f t="shared" ref="R16:R17" si="12">Q16</f>
        <v>0</v>
      </c>
      <c r="S16" s="182">
        <f t="shared" ref="S16:S17" si="13">R16</f>
        <v>0</v>
      </c>
      <c r="T16" s="57">
        <f t="shared" si="4"/>
        <v>0</v>
      </c>
      <c r="U16" s="419">
        <f t="shared" si="5"/>
        <v>0</v>
      </c>
      <c r="V16" s="8">
        <f t="shared" si="2"/>
        <v>0</v>
      </c>
    </row>
    <row r="17" spans="2:27" ht="14.4" thickBot="1" x14ac:dyDescent="0.35">
      <c r="B17" s="79" t="s">
        <v>212</v>
      </c>
      <c r="C17" s="611" t="s">
        <v>378</v>
      </c>
      <c r="D17" s="612"/>
      <c r="E17" s="113">
        <v>5.5</v>
      </c>
      <c r="F17" s="49">
        <f>E17</f>
        <v>5.5</v>
      </c>
      <c r="G17" s="50">
        <f t="shared" si="4"/>
        <v>5.5</v>
      </c>
      <c r="H17" s="50">
        <f t="shared" si="4"/>
        <v>5.5</v>
      </c>
      <c r="I17" s="51">
        <f t="shared" si="4"/>
        <v>5.5</v>
      </c>
      <c r="J17" s="117">
        <f t="shared" si="4"/>
        <v>5.5</v>
      </c>
      <c r="K17" s="117">
        <f t="shared" si="4"/>
        <v>5.5</v>
      </c>
      <c r="L17" s="117">
        <f t="shared" si="6"/>
        <v>5.5</v>
      </c>
      <c r="M17" s="117">
        <f t="shared" si="7"/>
        <v>5.5</v>
      </c>
      <c r="N17" s="117">
        <f t="shared" si="8"/>
        <v>5.5</v>
      </c>
      <c r="O17" s="117">
        <f t="shared" si="9"/>
        <v>5.5</v>
      </c>
      <c r="P17" s="117">
        <f t="shared" si="10"/>
        <v>5.5</v>
      </c>
      <c r="Q17" s="117">
        <f t="shared" si="11"/>
        <v>5.5</v>
      </c>
      <c r="R17" s="117">
        <f t="shared" si="12"/>
        <v>5.5</v>
      </c>
      <c r="S17" s="117">
        <f t="shared" si="13"/>
        <v>5.5</v>
      </c>
      <c r="T17" s="303"/>
      <c r="U17" s="420">
        <f t="shared" si="5"/>
        <v>5.5</v>
      </c>
      <c r="V17" s="8"/>
    </row>
    <row r="18" spans="2:27" s="5" customFormat="1" ht="17.399999999999999" x14ac:dyDescent="0.3">
      <c r="B18" s="305" t="s">
        <v>23</v>
      </c>
      <c r="C18" s="595" t="s">
        <v>44</v>
      </c>
      <c r="D18" s="596"/>
      <c r="E18" s="118">
        <f ca="1">E19+E20+E21+E29+E30+E31+E34+E36+E37</f>
        <v>10.688888888888888</v>
      </c>
      <c r="F18" s="72">
        <f ca="1">F19+F20+F21+F22+F23+F29+F30+F31+F34+F36+F37</f>
        <v>12.886507936507938</v>
      </c>
      <c r="G18" s="101">
        <f ca="1">G19+G20+G21+G22+G23+G29+G30+G31+G34+G36+G37</f>
        <v>15.675793650793649</v>
      </c>
      <c r="H18" s="101">
        <f ca="1">H19+H20+H21+H22+H23+H29+H30+H31+H34+H36+H37</f>
        <v>22.775793650793648</v>
      </c>
      <c r="I18" s="102">
        <f ca="1">I19+I20+I21+I22+I23+I29+I30+I31+I34+I36+I37</f>
        <v>16.11531746031746</v>
      </c>
      <c r="J18" s="119">
        <f ca="1">J19+J20+J21+J22+J26+J29+J30+J31+J34+J36+J37+J35</f>
        <v>19.293412698412702</v>
      </c>
      <c r="K18" s="119">
        <f t="shared" ref="K18:T18" ca="1" si="14">K19+K20+K21+K22+K26+K29+K30+K31+K34+K36+K37</f>
        <v>14.915079365079363</v>
      </c>
      <c r="L18" s="119">
        <f ca="1">L19+L20+L21+L22+L26+L29+L30+L31+L34+L36+L37</f>
        <v>13.427460317460318</v>
      </c>
      <c r="M18" s="119">
        <f t="shared" ca="1" si="14"/>
        <v>14.424841269841268</v>
      </c>
      <c r="N18" s="119">
        <f t="shared" ca="1" si="14"/>
        <v>12.937222222222223</v>
      </c>
      <c r="O18" s="119">
        <f t="shared" ca="1" si="14"/>
        <v>12.937222222222223</v>
      </c>
      <c r="P18" s="119">
        <f t="shared" ca="1" si="14"/>
        <v>12.937222222222223</v>
      </c>
      <c r="Q18" s="119">
        <f t="shared" ca="1" si="14"/>
        <v>14.069841269841268</v>
      </c>
      <c r="R18" s="119">
        <f t="shared" ca="1" si="14"/>
        <v>13.123174603174602</v>
      </c>
      <c r="S18" s="119">
        <f t="shared" ca="1" si="14"/>
        <v>13.055555555555555</v>
      </c>
      <c r="T18" s="119">
        <f t="shared" ca="1" si="14"/>
        <v>12.125793650793652</v>
      </c>
      <c r="U18" s="418">
        <f ca="1">U19+U20+U21+U22+U23+U26+U29+U30+U31+U34+U36+U37+U35</f>
        <v>50.939126984126986</v>
      </c>
      <c r="V18" s="25" t="e">
        <f>SUM(V19:V23,V26,V29:V37,#REF!)</f>
        <v>#REF!</v>
      </c>
      <c r="Z18" s="162"/>
    </row>
    <row r="19" spans="2:27" ht="13.8" x14ac:dyDescent="0.3">
      <c r="B19" s="77" t="s">
        <v>40</v>
      </c>
      <c r="C19" s="613" t="s">
        <v>53</v>
      </c>
      <c r="D19" s="614"/>
      <c r="E19" s="110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F19" s="3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G19" s="10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H19" s="10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I19" s="34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J19" s="114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K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L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M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N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O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P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Q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R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S19" s="13">
        <f>SUMIF(Таблица5[Наименование операции],"Распак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0.52123015873015877</v>
      </c>
      <c r="T19" s="103">
        <f t="shared" ref="T19:V19" si="15">S19</f>
        <v>0.52123015873015877</v>
      </c>
      <c r="U19" s="419">
        <f>_xlfn.MAXIFS(E19:T19,$E$7:$T$7,1)</f>
        <v>0.52123015873015877</v>
      </c>
      <c r="V19" s="8">
        <f t="shared" si="15"/>
        <v>0.52123015873015877</v>
      </c>
    </row>
    <row r="20" spans="2:27" ht="14.4" x14ac:dyDescent="0.3">
      <c r="B20" s="77" t="s">
        <v>41</v>
      </c>
      <c r="C20" s="613" t="s">
        <v>54</v>
      </c>
      <c r="D20" s="614"/>
      <c r="E20" s="110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F20" s="3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G20" s="10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H20" s="10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I20" s="34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J20" s="114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K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L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M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N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O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P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Q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R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S20" s="13">
        <f>SUMIF(Таблица5[Наименование операции],"Сканирование (регистрация)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0.21130952380952381</v>
      </c>
      <c r="T20" s="103">
        <f t="shared" ref="T20:V22" si="16">S20</f>
        <v>0.21130952380952381</v>
      </c>
      <c r="U20" s="419">
        <f t="shared" ref="U20:U44" si="17">_xlfn.MAXIFS(E20:T20,$E$7:$T$7,1)</f>
        <v>0.21130952380952381</v>
      </c>
      <c r="V20" s="8">
        <f t="shared" si="16"/>
        <v>0.21130952380952381</v>
      </c>
      <c r="Z20" s="161"/>
    </row>
    <row r="21" spans="2:27" ht="13.8" x14ac:dyDescent="0.3">
      <c r="B21" s="77" t="s">
        <v>42</v>
      </c>
      <c r="C21" s="613" t="s">
        <v>55</v>
      </c>
      <c r="D21" s="614"/>
      <c r="E21" s="110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F21" s="3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G21" s="10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H21" s="10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I21" s="34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J21" s="114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K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L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M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N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O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P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Q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R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S21" s="13">
        <f>SUMIF(Таблица5[Наименование операции],"Сортиров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T21" s="103">
        <f t="shared" si="16"/>
        <v>0.1126984126984127</v>
      </c>
      <c r="U21" s="419">
        <f t="shared" si="17"/>
        <v>0.1126984126984127</v>
      </c>
      <c r="V21" s="8">
        <f t="shared" si="16"/>
        <v>0.1126984126984127</v>
      </c>
    </row>
    <row r="22" spans="2:27" ht="13.8" x14ac:dyDescent="0.3">
      <c r="B22" s="77" t="s">
        <v>43</v>
      </c>
      <c r="C22" s="613" t="s">
        <v>45</v>
      </c>
      <c r="D22" s="614"/>
      <c r="E22" s="111" t="s">
        <v>70</v>
      </c>
      <c r="F22" s="33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G22" s="10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H22" s="10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I22" s="3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J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K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L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M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N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O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P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Q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R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S22" s="114">
        <f>(SUMIF(Таблица5[Наименование операции],"Разборка",Таблица5[К-во])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1.4369047619047619</v>
      </c>
      <c r="T22" s="103">
        <f t="shared" si="16"/>
        <v>1.4369047619047619</v>
      </c>
      <c r="U22" s="419">
        <f t="shared" si="17"/>
        <v>1.4369047619047619</v>
      </c>
      <c r="V22" s="8">
        <f t="shared" si="16"/>
        <v>1.4369047619047619</v>
      </c>
    </row>
    <row r="23" spans="2:27" ht="14.4" x14ac:dyDescent="0.3">
      <c r="B23" s="77" t="s">
        <v>78</v>
      </c>
      <c r="C23" s="584" t="s">
        <v>46</v>
      </c>
      <c r="D23" s="585"/>
      <c r="E23" s="111" t="s">
        <v>70</v>
      </c>
      <c r="F23" s="31">
        <f ca="1">IF(F7=1,F24+F25,0)</f>
        <v>0.76071428571428568</v>
      </c>
      <c r="G23" s="9">
        <f ca="1">IF(G7=1,G24+G25,0)</f>
        <v>3.55</v>
      </c>
      <c r="H23" s="9">
        <f ca="1">IF(H7=1,H24+H25,0)</f>
        <v>10.65</v>
      </c>
      <c r="I23" s="32">
        <f ca="1">IF(I7=1,I24+I25,0)</f>
        <v>3.9895238095238095</v>
      </c>
      <c r="J23" s="115" t="s">
        <v>70</v>
      </c>
      <c r="K23" s="14" t="s">
        <v>70</v>
      </c>
      <c r="L23" s="14" t="s">
        <v>70</v>
      </c>
      <c r="M23" s="14" t="s">
        <v>70</v>
      </c>
      <c r="N23" s="14" t="s">
        <v>70</v>
      </c>
      <c r="O23" s="14" t="s">
        <v>70</v>
      </c>
      <c r="P23" s="14" t="s">
        <v>70</v>
      </c>
      <c r="Q23" s="14" t="s">
        <v>70</v>
      </c>
      <c r="R23" s="14" t="s">
        <v>70</v>
      </c>
      <c r="S23" s="14" t="s">
        <v>70</v>
      </c>
      <c r="T23" s="104" t="s">
        <v>70</v>
      </c>
      <c r="U23" s="419">
        <f ca="1">SUM(U24:U25)</f>
        <v>18.950238095238095</v>
      </c>
      <c r="V23" s="8">
        <f ca="1">U23</f>
        <v>18.950238095238095</v>
      </c>
      <c r="AA23" s="163"/>
    </row>
    <row r="24" spans="2:27" s="18" customFormat="1" ht="14.25" customHeight="1" outlineLevel="1" x14ac:dyDescent="0.3">
      <c r="B24" s="81" t="s">
        <v>79</v>
      </c>
      <c r="C24" s="615" t="s">
        <v>60</v>
      </c>
      <c r="D24" s="616"/>
      <c r="E24" s="112" t="s">
        <v>70</v>
      </c>
      <c r="F24" s="35">
        <f>SUMIF(Таблица5[Наименование операции]," - кожух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0.76071428571428568</v>
      </c>
      <c r="G24" s="16">
        <f>SUMIF(Таблица5[Наименование операции]," - цоколь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3.55</v>
      </c>
      <c r="H24" s="16">
        <f>SUMIF(Таблица5[Наименование операции]," - клемная колод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10.65</v>
      </c>
      <c r="I24" s="36">
        <f>(SUMIF(Таблица5[Наименование операции]," - замена терминал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)*I8</f>
        <v>3.9895238095238095</v>
      </c>
      <c r="J24" s="99" t="s">
        <v>70</v>
      </c>
      <c r="K24" s="17" t="s">
        <v>70</v>
      </c>
      <c r="L24" s="17" t="s">
        <v>70</v>
      </c>
      <c r="M24" s="17" t="s">
        <v>70</v>
      </c>
      <c r="N24" s="17" t="s">
        <v>70</v>
      </c>
      <c r="O24" s="17" t="s">
        <v>70</v>
      </c>
      <c r="P24" s="17" t="s">
        <v>70</v>
      </c>
      <c r="Q24" s="17" t="s">
        <v>70</v>
      </c>
      <c r="R24" s="17" t="s">
        <v>70</v>
      </c>
      <c r="S24" s="17" t="s">
        <v>70</v>
      </c>
      <c r="T24" s="105" t="s">
        <v>70</v>
      </c>
      <c r="U24" s="419">
        <f>SUMIF($F$7:$I$7,1,F24:I24)</f>
        <v>18.950238095238095</v>
      </c>
      <c r="V24" s="26">
        <f>SUMIF($F$7:$I$7,1,F24:I24)</f>
        <v>18.950238095238095</v>
      </c>
    </row>
    <row r="25" spans="2:27" s="18" customFormat="1" ht="14.25" customHeight="1" outlineLevel="1" x14ac:dyDescent="0.3">
      <c r="B25" s="81" t="s">
        <v>80</v>
      </c>
      <c r="C25" s="641" t="s">
        <v>61</v>
      </c>
      <c r="D25" s="642"/>
      <c r="E25" s="112" t="s">
        <v>70</v>
      </c>
      <c r="F25" s="35">
        <f ca="1">SUMIFS(Таблица1[Столбец2],Таблица1[Столбец1],VLOOKUP($U$6,Таблица1[],1,1),Таблица1[Столбец110],$E$6)+SUMIFS(Таблица1[Столбец16],Таблица1[Столбец1],VLOOKUP($U$6,Таблица1[],1,1),Таблица1[Столбец152],$E$6)+SUMIFS(Таблица1[Столбец30],Таблица1[Столбец1],VLOOKUP($U$6,Таблица1[],1,1),Таблица1[Столбец292],$E$6)+SUMIFS(Таблица1[Столбец44],Таблица1[Столбец1],VLOOKUP($U$6,Таблица1[],1,1),Таблица1[Столбец432],$E$6)+SUMIFS(Таблица1[Столбец58],Таблица1[Столбец1],VLOOKUP($U$6,Таблица1[],1,1),Таблица1[Столбец572],$E$6)</f>
        <v>0</v>
      </c>
      <c r="G25" s="16">
        <f ca="1">SUMIFS(Таблица1[Столбец3],Таблица1[Столбец1],VLOOKUP($U$6,Таблица1[],1,1),Таблица1[Столбец110],$E$6)+SUMIFS(Таблица1[Столбец17],Таблица1[Столбец1],VLOOKUP($U$6,Таблица1[],1,1),Таблица1[Столбец152],$E$6)+SUMIFS(Таблица1[Столбец31],Таблица1[Столбец1],VLOOKUP($U$6,Таблица1[],1,1),Таблица1[Столбец292],$E$6)+SUMIFS(Таблица1[Столбец45],Таблица1[Столбец1],VLOOKUP($U$6,Таблица1[],1,1),Таблица1[Столбец432],$E$6)+SUMIFS(Таблица1[Столбец59],Таблица1[Столбец1],VLOOKUP($U$6,Таблица1[],1,1),Таблица1[Столбец572],$E$6)</f>
        <v>0</v>
      </c>
      <c r="H25" s="16">
        <f ca="1">SUMIFS(Таблица1[Столбец4],Таблица1[Столбец1],VLOOKUP($U$6,Таблица1[],1,1),Таблица1[Столбец110],$E$6)+SUMIFS(Таблица1[Столбец18],Таблица1[Столбец1],VLOOKUP($U$6,Таблица1[],1,1),Таблица1[Столбец152],$E$6)+SUMIFS(Таблица1[Столбец32],Таблица1[Столбец1],VLOOKUP($U$6,Таблица1[],1,1),Таблица1[Столбец292],$E$6)+SUMIFS(Таблица1[Столбец46],Таблица1[Столбец1],VLOOKUP($U$6,Таблица1[],1,1),Таблица1[Столбец432],$E$6)+SUMIFS(Таблица1[Столбец60],Таблица1[Столбец1],VLOOKUP($U$6,Таблица1[],1,1),Таблица1[Столбец572],$E$6)</f>
        <v>0</v>
      </c>
      <c r="I25" s="36">
        <f ca="1">(SUMIFS(Таблица1[Столбец5],Таблица1[Столбец1],VLOOKUP($U$6,Таблица1[],1,1),Таблица1[Столбец110],$E$6)+SUMIFS(Таблица1[Столбец19],Таблица1[Столбец1],VLOOKUP($U$6,Таблица1[],1,1),Таблица1[Столбец152],$E$6)+SUMIFS(Таблица1[Столбец33],Таблица1[Столбец1],VLOOKUP($U$6,Таблица1[],1,1),Таблица1[Столбец292],$E$6)+SUMIFS(Таблица1[Столбец47],Таблица1[Столбец1],VLOOKUP($U$6,Таблица1[],1,1),Таблица1[Столбец432],$E$6)+SUMIFS(Таблица1[Столбец61],Таблица1[Столбец1],VLOOKUP($U$6,Таблица1[],1,1),Таблица1[Столбец572],$E$6))*I8</f>
        <v>0</v>
      </c>
      <c r="J25" s="99" t="s">
        <v>70</v>
      </c>
      <c r="K25" s="17" t="s">
        <v>70</v>
      </c>
      <c r="L25" s="17" t="s">
        <v>70</v>
      </c>
      <c r="M25" s="17" t="s">
        <v>70</v>
      </c>
      <c r="N25" s="17" t="s">
        <v>70</v>
      </c>
      <c r="O25" s="17" t="s">
        <v>70</v>
      </c>
      <c r="P25" s="17" t="s">
        <v>70</v>
      </c>
      <c r="Q25" s="17" t="s">
        <v>70</v>
      </c>
      <c r="R25" s="17" t="s">
        <v>70</v>
      </c>
      <c r="S25" s="17" t="s">
        <v>70</v>
      </c>
      <c r="T25" s="105" t="s">
        <v>70</v>
      </c>
      <c r="U25" s="419">
        <f ca="1">SUMIF($F$7:$I$7,1,F25:I25)</f>
        <v>0</v>
      </c>
      <c r="V25" s="26">
        <f ca="1">SUMIF($F$7:$I$7,1,F25:I25)</f>
        <v>0</v>
      </c>
    </row>
    <row r="26" spans="2:27" ht="13.8" x14ac:dyDescent="0.3">
      <c r="B26" s="77" t="s">
        <v>211</v>
      </c>
      <c r="C26" s="584" t="s">
        <v>48</v>
      </c>
      <c r="D26" s="585"/>
      <c r="E26" s="111" t="s">
        <v>70</v>
      </c>
      <c r="F26" s="37" t="s">
        <v>70</v>
      </c>
      <c r="G26" s="11" t="s">
        <v>70</v>
      </c>
      <c r="H26" s="11" t="s">
        <v>70</v>
      </c>
      <c r="I26" s="38" t="s">
        <v>70</v>
      </c>
      <c r="J26" s="100">
        <f ca="1">SUM(J27:J28)</f>
        <v>5.4771428571428578</v>
      </c>
      <c r="K26" s="12">
        <f t="shared" ref="K26:T26" ca="1" si="18">SUM(K27:K28)</f>
        <v>2.7892857142857141</v>
      </c>
      <c r="L26" s="12">
        <f t="shared" ca="1" si="18"/>
        <v>1.3016666666666667</v>
      </c>
      <c r="M26" s="12">
        <f t="shared" ca="1" si="18"/>
        <v>2.2990476190476192</v>
      </c>
      <c r="N26" s="12">
        <f t="shared" ca="1" si="18"/>
        <v>0.81142857142857139</v>
      </c>
      <c r="O26" s="12">
        <f t="shared" ca="1" si="18"/>
        <v>0.81142857142857139</v>
      </c>
      <c r="P26" s="12">
        <f t="shared" ca="1" si="18"/>
        <v>0.81142857142857139</v>
      </c>
      <c r="Q26" s="12">
        <f t="shared" ca="1" si="18"/>
        <v>1.944047619047619</v>
      </c>
      <c r="R26" s="12">
        <f t="shared" ca="1" si="18"/>
        <v>0.99738095238095237</v>
      </c>
      <c r="S26" s="12">
        <f t="shared" ca="1" si="18"/>
        <v>0.92976190476190479</v>
      </c>
      <c r="T26" s="12">
        <f t="shared" si="18"/>
        <v>0</v>
      </c>
      <c r="U26" s="419">
        <f ca="1">SUM(U27:U28)</f>
        <v>18.172619047619047</v>
      </c>
      <c r="V26" s="8">
        <f ca="1">SUMIF($J$7:$U$7,1,J26:U26)</f>
        <v>18.172619047619047</v>
      </c>
      <c r="Y26" s="241"/>
    </row>
    <row r="27" spans="2:27" s="18" customFormat="1" ht="14.25" customHeight="1" outlineLevel="1" x14ac:dyDescent="0.3">
      <c r="B27" s="81" t="s">
        <v>240</v>
      </c>
      <c r="C27" s="641" t="s">
        <v>60</v>
      </c>
      <c r="D27" s="642"/>
      <c r="E27" s="112" t="s">
        <v>70</v>
      </c>
      <c r="F27" s="39" t="s">
        <v>70</v>
      </c>
      <c r="G27" s="19" t="s">
        <v>70</v>
      </c>
      <c r="H27" s="19" t="s">
        <v>70</v>
      </c>
      <c r="I27" s="40" t="s">
        <v>70</v>
      </c>
      <c r="J27" s="116">
        <f>Хронометраж!J24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5.4771428571428578</v>
      </c>
      <c r="K27" s="20">
        <f>Хронометраж!J15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2.7892857142857141</v>
      </c>
      <c r="L27" s="20">
        <f>Хронометраж!J17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1.3016666666666667</v>
      </c>
      <c r="M27" s="20">
        <f>Хронометраж!J16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2.2990476190476192</v>
      </c>
      <c r="N27" s="20">
        <f>Хронометраж!J18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0.81142857142857139</v>
      </c>
      <c r="O27" s="20">
        <f>Хронометраж!J19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0.81142857142857139</v>
      </c>
      <c r="P27" s="20">
        <f>Хронометраж!J20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0.81142857142857139</v>
      </c>
      <c r="Q27" s="20">
        <f>Хронометраж!J21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1.944047619047619</v>
      </c>
      <c r="R27" s="20">
        <f>Хронометраж!J22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0.99738095238095237</v>
      </c>
      <c r="S27" s="20">
        <f>Хронометраж!J23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0.92976190476190479</v>
      </c>
      <c r="T27" s="107"/>
      <c r="U27" s="419">
        <f>SUMIF($J$7:$T$7,1,J27:T27)</f>
        <v>18.172619047619047</v>
      </c>
      <c r="V27" s="26">
        <f t="shared" ref="V27:V28" si="19">SUMIF($J$7:$U$7,1,J27:U27)</f>
        <v>18.172619047619047</v>
      </c>
    </row>
    <row r="28" spans="2:27" s="18" customFormat="1" ht="14.25" customHeight="1" outlineLevel="1" x14ac:dyDescent="0.3">
      <c r="B28" s="81" t="s">
        <v>241</v>
      </c>
      <c r="C28" s="641" t="s">
        <v>61</v>
      </c>
      <c r="D28" s="642"/>
      <c r="E28" s="112" t="s">
        <v>70</v>
      </c>
      <c r="F28" s="39" t="s">
        <v>70</v>
      </c>
      <c r="G28" s="19" t="s">
        <v>70</v>
      </c>
      <c r="H28" s="19" t="s">
        <v>70</v>
      </c>
      <c r="I28" s="40" t="s">
        <v>70</v>
      </c>
      <c r="J28" s="116">
        <f ca="1">SUMIFS(Таблица1[Столбец6],Таблица1[Столбец1],VLOOKUP($U$6,Таблица1[],1,1),Таблица1[Столбец110],$E$6)+SUMIFS(Таблица1[Столбец20],Таблица1[Столбец1],VLOOKUP($U$6,Таблица1[],1,1),Таблица1[Столбец152],$E$6)+SUMIFS(Таблица1[Столбец34],Таблица1[Столбец1],VLOOKUP($U$6,Таблица1[],1,1),Таблица1[Столбец292],$E$6)+SUMIFS(Таблица1[Столбец48],Таблица1[Столбец1],VLOOKUP($U$6,Таблица1[],1,1),Таблица1[Столбец432],$E$6)+SUMIFS(Таблица1[Столбец62],Таблица1[Столбец1],VLOOKUP($U$6,Таблица1[],1,1),Таблица1[Столбец572],$E$6)</f>
        <v>0</v>
      </c>
      <c r="K28" s="116">
        <f ca="1">SUMIFS(Таблица1[Столбец7],Таблица1[Столбец1],VLOOKUP($U$6,Таблица1[],1,1),Таблица1[Столбец110],$E$6)+SUMIFS(Таблица1[Столбец21],Таблица1[Столбец1],VLOOKUP($U$6,Таблица1[],1,1),Таблица1[Столбец152],$E$6)+SUMIFS(Таблица1[Столбец35],Таблица1[Столбец1],VLOOKUP($U$6,Таблица1[],1,1),Таблица1[Столбец292],$E$6)+SUMIFS(Таблица1[Столбец49],Таблица1[Столбец1],VLOOKUP($U$6,Таблица1[],1,1),Таблица1[Столбец432],$E$6)+SUMIFS(Таблица1[Столбец63],Таблица1[Столбец1],VLOOKUP($U$6,Таблица1[],1,1),Таблица1[Столбец572],$E$6)</f>
        <v>0</v>
      </c>
      <c r="L28" s="116">
        <f ca="1">SUMIFS(Таблица1[Столбец8],Таблица1[Столбец1],VLOOKUP($U$6,Таблица1[],1,1),Таблица1[Столбец110],$E$6)+SUMIFS(Таблица1[Столбец22],Таблица1[Столбец1],VLOOKUP($U$6,Таблица1[],1,1),Таблица1[Столбец152],$E$6)+SUMIFS(Таблица1[Столбец36],Таблица1[Столбец1],VLOOKUP($U$6,Таблица1[],1,1),Таблица1[Столбец292],$E$6)+SUMIFS(Таблица1[Столбец50],Таблица1[Столбец1],VLOOKUP($U$6,Таблица1[],1,1),Таблица1[Столбец432],$E$6)+SUMIFS(Таблица1[Столбец64],Таблица1[Столбец1],VLOOKUP($U$6,Таблица1[],1,1),Таблица1[Столбец572],$E$6)</f>
        <v>0</v>
      </c>
      <c r="M28" s="116">
        <f ca="1">SUMIFS(Таблица1[Столбец9],Таблица1[Столбец1],VLOOKUP($U$6,Таблица1[],1,1),Таблица1[Столбец110],$E$6)+SUMIFS(Таблица1[Столбец23],Таблица1[Столбец1],VLOOKUP($U$6,Таблица1[],1,1),Таблица1[Столбец152],$E$6)+SUMIFS(Таблица1[Столбец37],Таблица1[Столбец1],VLOOKUP($U$6,Таблица1[],1,1),Таблица1[Столбец292],$E$6)+SUMIFS(Таблица1[Столбец51],Таблица1[Столбец1],VLOOKUP($U$6,Таблица1[],1,1),Таблица1[Столбец432],$E$6)+SUMIFS(Таблица1[Столбец65],Таблица1[Столбец1],VLOOKUP($U$6,Таблица1[],1,1),Таблица1[Столбец572],$E$6)</f>
        <v>0</v>
      </c>
      <c r="N28" s="20">
        <f ca="1">SUMIFS(Таблица1[Столбец10],Таблица1[Столбец1],VLOOKUP($U$6,Таблица1[],1,1),Таблица1[Столбец110],$E$6)+SUMIFS(Таблица1[Столбец24],Таблица1[Столбец1],VLOOKUP($U$6,Таблица1[],1,1),Таблица1[Столбец152],$E$6)+SUMIFS(Таблица1[Столбец38],Таблица1[Столбец1],VLOOKUP($U$6,Таблица1[],1,1),Таблица1[Столбец292],$E$6)+SUMIFS(Таблица1[Столбец52],Таблица1[Столбец1],VLOOKUP($U$6,Таблица1[],1,1),Таблица1[Столбец432],$E$6)+SUMIFS(Таблица1[Столбец66],Таблица1[Столбец1],VLOOKUP($U$6,Таблица1[],1,1),Таблица1[Столбец572],$E$6)</f>
        <v>0</v>
      </c>
      <c r="O28" s="20">
        <f ca="1">SUMIFS(Таблица1[Столбец11],Таблица1[Столбец1],VLOOKUP($U$6,Таблица1[],1,1),Таблица1[Столбец110],$E$6)+SUMIFS(Таблица1[Столбец25],Таблица1[Столбец1],VLOOKUP($U$6,Таблица1[],1,1),Таблица1[Столбец152],$E$6)+SUMIFS(Таблица1[Столбец39],Таблица1[Столбец1],VLOOKUP($U$6,Таблица1[],1,1),Таблица1[Столбец292],$E$6)+SUMIFS(Таблица1[Столбец53],Таблица1[Столбец1],VLOOKUP($U$6,Таблица1[],1,1),Таблица1[Столбец432],$E$6)+SUMIFS(Таблица1[Столбец67],Таблица1[Столбец1],VLOOKUP($U$6,Таблица1[],1,1),Таблица1[Столбец572],$E$6)</f>
        <v>0</v>
      </c>
      <c r="P28" s="20">
        <f ca="1">SUMIFS(Таблица1[Столбец12],Таблица1[Столбец1],VLOOKUP($U$6,Таблица1[],1,1),Таблица1[Столбец110],$E$6)+SUMIFS(Таблица1[Столбец26],Таблица1[Столбец1],VLOOKUP($U$6,Таблица1[],1,1),Таблица1[Столбец152],$E$6)+SUMIFS(Таблица1[Столбец40],Таблица1[Столбец1],VLOOKUP($U$6,Таблица1[],1,1),Таблица1[Столбец292],$E$6)+SUMIFS(Таблица1[Столбец54],Таблица1[Столбец1],VLOOKUP($U$6,Таблица1[],1,1),Таблица1[Столбец432],$E$6)+SUMIFS(Таблица1[Столбец68],Таблица1[Столбец1],VLOOKUP($U$6,Таблица1[],1,1),Таблица1[Столбец572],$E$6)</f>
        <v>0</v>
      </c>
      <c r="Q28" s="20">
        <f ca="1">SUMIFS(Таблица1[Столбец13],Таблица1[Столбец1],VLOOKUP($U$6,Таблица1[],1,1),Таблица1[Столбец110],$E$6)+SUMIFS(Таблица1[Столбец27],Таблица1[Столбец1],VLOOKUP($U$6,Таблица1[],1,1),Таблица1[Столбец152],$E$6)+SUMIFS(Таблица1[Столбец41],Таблица1[Столбец1],VLOOKUP($U$6,Таблица1[],1,1),Таблица1[Столбец292],$E$6)+SUMIFS(Таблица1[Столбец55],Таблица1[Столбец1],VLOOKUP($U$6,Таблица1[],1,1),Таблица1[Столбец432],$E$6)+SUMIFS(Таблица1[Столбец69],Таблица1[Столбец1],VLOOKUP($U$6,Таблица1[],1,1),Таблица1[Столбец572],$E$6)</f>
        <v>0</v>
      </c>
      <c r="R28" s="20">
        <f ca="1">SUMIFS(Таблица1[Столбец14],Таблица1[Столбец1],VLOOKUP($U$6,Таблица1[],1,1),Таблица1[Столбец110],$E$6)+SUMIFS(Таблица1[Столбец28],Таблица1[Столбец1],VLOOKUP($U$6,Таблица1[],1,1),Таблица1[Столбец152],$E$6)+SUMIFS(Таблица1[Столбец42],Таблица1[Столбец1],VLOOKUP($U$6,Таблица1[],1,1),Таблица1[Столбец292],$E$6)+SUMIFS(Таблица1[Столбец56],Таблица1[Столбец1],VLOOKUP($U$6,Таблица1[],1,1),Таблица1[Столбец432],$E$6)+SUMIFS(Таблица1[Столбец70],Таблица1[Столбец1],VLOOKUP($U$6,Таблица1[],1,1),Таблица1[Столбец572],$E$6)</f>
        <v>0</v>
      </c>
      <c r="S28" s="20">
        <f ca="1">SUMIFS(Таблица1[Столбец15],Таблица1[Столбец1],VLOOKUP($U$6,Таблица1[],1,1),Таблица1[Столбец110],$E$6)+SUMIFS(Таблица1[Столбец29],Таблица1[Столбец1],VLOOKUP($U$6,Таблица1[],1,1),Таблица1[Столбец152],$E$6)+SUMIFS(Таблица1[Столбец43],Таблица1[Столбец1],VLOOKUP($U$6,Таблица1[],1,1),Таблица1[Столбец292],$E$6)+SUMIFS(Таблица1[Столбец57],Таблица1[Столбец1],VLOOKUP($U$6,Таблица1[],1,1),Таблица1[Столбец432],$E$6)+SUMIFS(Таблица1[Столбец71],Таблица1[Столбец1],VLOOKUP($U$6,Таблица1[],1,1),Таблица1[Столбец572],$E$6)</f>
        <v>0</v>
      </c>
      <c r="T28" s="107"/>
      <c r="U28" s="419">
        <f ca="1">SUMIF($J$7:$T$7,1,J28:T28)</f>
        <v>0</v>
      </c>
      <c r="V28" s="26">
        <f t="shared" ca="1" si="19"/>
        <v>0</v>
      </c>
    </row>
    <row r="29" spans="2:27" ht="13.8" x14ac:dyDescent="0.3">
      <c r="B29" s="77" t="s">
        <v>81</v>
      </c>
      <c r="C29" s="584" t="s">
        <v>49</v>
      </c>
      <c r="D29" s="585"/>
      <c r="E29" s="110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F29" s="31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G29" s="9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H29" s="9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I29" s="3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J29" s="100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K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L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M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N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O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P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Q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R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S29" s="12">
        <f>SUMIF(Таблица5[Наименование операции],"Юстировка",Таблица5[К-во])*(SUMIFS(Таблица2[Всего],Таблица2[Подразделение],"СЦ",Таблица2[Должность],"Ремонтник")/SUMIFS(Таблица2[К-во],Таблица2[Подразделение],"СЦ",Таблица2[Должность],"Ремонтник"))/(ЗП!$J$3*ЗП!$J$4*60)</f>
        <v>1.7073809523809524</v>
      </c>
      <c r="T29" s="106">
        <f t="shared" ref="T29" si="20">S29</f>
        <v>1.7073809523809524</v>
      </c>
      <c r="U29" s="419">
        <f>_xlfn.MAXIFS(E29:T29,$E$7:$T$7,1)</f>
        <v>1.7073809523809524</v>
      </c>
      <c r="V29" s="7">
        <f>U29</f>
        <v>1.7073809523809524</v>
      </c>
    </row>
    <row r="30" spans="2:27" ht="13.8" x14ac:dyDescent="0.3">
      <c r="B30" s="77" t="s">
        <v>82</v>
      </c>
      <c r="C30" s="613" t="s">
        <v>50</v>
      </c>
      <c r="D30" s="614"/>
      <c r="E30" s="110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F30" s="31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G30" s="9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H30" s="9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I30" s="3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J30" s="100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K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L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M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N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O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P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Q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R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S30" s="12">
        <f>SUMIF(Таблица5[Наименование операции],"Очист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5.8321428571428573</v>
      </c>
      <c r="T30" s="106">
        <f t="shared" ref="T30:T37" si="21">S30</f>
        <v>5.8321428571428573</v>
      </c>
      <c r="U30" s="419">
        <f t="shared" si="17"/>
        <v>5.8321428571428573</v>
      </c>
      <c r="V30" s="7">
        <f t="shared" ref="V30" si="22">U30</f>
        <v>5.8321428571428573</v>
      </c>
    </row>
    <row r="31" spans="2:27" ht="13.8" x14ac:dyDescent="0.3">
      <c r="B31" s="77" t="s">
        <v>83</v>
      </c>
      <c r="C31" s="613" t="s">
        <v>51</v>
      </c>
      <c r="D31" s="614"/>
      <c r="E31" s="110">
        <f t="shared" ref="E31:K31" ca="1" si="23">SUM(E32:E33)</f>
        <v>2.1914285714285713</v>
      </c>
      <c r="F31" s="31">
        <f t="shared" ca="1" si="23"/>
        <v>2.1914285714285713</v>
      </c>
      <c r="G31" s="9">
        <f t="shared" ca="1" si="23"/>
        <v>2.1914285714285713</v>
      </c>
      <c r="H31" s="9">
        <f t="shared" ca="1" si="23"/>
        <v>2.1914285714285713</v>
      </c>
      <c r="I31" s="32">
        <f t="shared" ca="1" si="23"/>
        <v>2.1914285714285713</v>
      </c>
      <c r="J31" s="100">
        <f t="shared" ca="1" si="23"/>
        <v>2.1914285714285713</v>
      </c>
      <c r="K31" s="12">
        <f t="shared" ca="1" si="23"/>
        <v>2.1914285714285713</v>
      </c>
      <c r="L31" s="12">
        <f t="shared" ref="L31:R31" ca="1" si="24">SUM(L32:L33)</f>
        <v>2.1914285714285713</v>
      </c>
      <c r="M31" s="12">
        <f t="shared" ca="1" si="24"/>
        <v>2.1914285714285713</v>
      </c>
      <c r="N31" s="12">
        <f t="shared" ca="1" si="24"/>
        <v>2.1914285714285713</v>
      </c>
      <c r="O31" s="12">
        <f t="shared" ca="1" si="24"/>
        <v>2.1914285714285713</v>
      </c>
      <c r="P31" s="12">
        <f t="shared" ca="1" si="24"/>
        <v>2.1914285714285713</v>
      </c>
      <c r="Q31" s="12">
        <f t="shared" ca="1" si="24"/>
        <v>2.1914285714285713</v>
      </c>
      <c r="R31" s="12">
        <f t="shared" ca="1" si="24"/>
        <v>2.1914285714285713</v>
      </c>
      <c r="S31" s="12">
        <f ca="1">SUM(S32:S33)</f>
        <v>2.1914285714285713</v>
      </c>
      <c r="T31" s="106">
        <f t="shared" ca="1" si="21"/>
        <v>2.1914285714285713</v>
      </c>
      <c r="U31" s="419">
        <f ca="1">SUM(U32:U33)</f>
        <v>2.1914285714285713</v>
      </c>
      <c r="V31" s="7">
        <f t="shared" ref="V31" ca="1" si="25">U31</f>
        <v>2.1914285714285713</v>
      </c>
    </row>
    <row r="32" spans="2:27" ht="15" hidden="1" customHeight="1" outlineLevel="1" x14ac:dyDescent="0.3">
      <c r="B32" s="77" t="s">
        <v>154</v>
      </c>
      <c r="C32" s="641" t="s">
        <v>60</v>
      </c>
      <c r="D32" s="642"/>
      <c r="E32" s="110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F32" s="31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G32" s="9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H32" s="9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I32" s="3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J32" s="100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K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L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M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N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O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P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Q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R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S32" s="12">
        <f>SUMIF(Таблица5[Наименование операции],"Вязка пломб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1.5214285714285714</v>
      </c>
      <c r="T32" s="106">
        <f t="shared" si="21"/>
        <v>1.5214285714285714</v>
      </c>
      <c r="U32" s="419">
        <f>_xlfn.MAXIFS(E32:T32,$E$7:$T$7,1)</f>
        <v>1.5214285714285714</v>
      </c>
      <c r="V32" s="7"/>
    </row>
    <row r="33" spans="2:25" s="164" customFormat="1" ht="15" hidden="1" customHeight="1" outlineLevel="1" x14ac:dyDescent="0.3">
      <c r="B33" s="266" t="s">
        <v>155</v>
      </c>
      <c r="C33" s="643" t="s">
        <v>61</v>
      </c>
      <c r="D33" s="644"/>
      <c r="E33" s="267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F33" s="268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G33" s="269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H33" s="269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I33" s="270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J33" s="271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K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L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M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N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O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P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Q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R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S33" s="272">
        <f ca="1">SUMIF(Таблица3[Столбец1],VLOOKUP($U$6,Таблица3[],1,1),Таблица3[Столбец2])+SUMIF(Таблица3[Столбец1],VLOOKUP($U$6,Таблица3[],1,1),Таблица3[Столбец3])</f>
        <v>0.67</v>
      </c>
      <c r="T33" s="273">
        <f t="shared" ca="1" si="21"/>
        <v>0.67</v>
      </c>
      <c r="U33" s="419">
        <f t="shared" ca="1" si="17"/>
        <v>0.67</v>
      </c>
      <c r="V33" s="274"/>
    </row>
    <row r="34" spans="2:25" ht="13.8" collapsed="1" x14ac:dyDescent="0.3">
      <c r="B34" s="77" t="s">
        <v>84</v>
      </c>
      <c r="C34" s="584" t="s">
        <v>35</v>
      </c>
      <c r="D34" s="585"/>
      <c r="E34" s="110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F34" s="31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G34" s="9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H34" s="9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I34" s="3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J34" s="100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K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L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M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N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O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P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Q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R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S34" s="12">
        <f>Хронометраж!$J$34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T34" s="12">
        <f t="shared" ref="T34" si="26">S34</f>
        <v>0</v>
      </c>
      <c r="U34" s="419">
        <f t="shared" si="17"/>
        <v>0</v>
      </c>
      <c r="V34" s="7">
        <f t="shared" ref="V34" si="27">U34</f>
        <v>0</v>
      </c>
    </row>
    <row r="35" spans="2:25" ht="13.8" x14ac:dyDescent="0.3">
      <c r="B35" s="77" t="s">
        <v>85</v>
      </c>
      <c r="C35" s="584" t="s">
        <v>490</v>
      </c>
      <c r="D35" s="585"/>
      <c r="E35" s="110"/>
      <c r="F35" s="31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G35" s="9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H35" s="9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I35" s="3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J35" s="100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K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L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M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N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O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P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Q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R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S35" s="12">
        <f>SUMIF(Таблица5[Наименование операции],"Сборка",Таблица5[К-во])*(SUMIFS(Таблица2[Всего],Таблица2[Подразделение],"СЦ",Таблица2[Должность],"Слесарь")/SUMIFS(Таблица2[К-во],Таблица2[Подразделение],"СЦ",Таблица2[Должность],"Слесарь"))/(ЗП!$J$3*ЗП!$J$4*60)</f>
        <v>1.6904761904761905</v>
      </c>
      <c r="T35" s="55"/>
      <c r="U35" s="419">
        <f>_xlfn.MAXIFS(E35:T35,$E$7:$T$7,1)</f>
        <v>1.6904761904761905</v>
      </c>
      <c r="V35" s="7"/>
    </row>
    <row r="36" spans="2:25" ht="13.8" x14ac:dyDescent="0.3">
      <c r="B36" s="77" t="s">
        <v>372</v>
      </c>
      <c r="C36" s="584" t="s">
        <v>58</v>
      </c>
      <c r="D36" s="585"/>
      <c r="E36" s="110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F36" s="31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G36" s="9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H36" s="9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I36" s="3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J36" s="100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K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L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M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N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O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P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Q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R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S36" s="12">
        <f>Хронометраж!$J$35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</v>
      </c>
      <c r="T36" s="106">
        <f t="shared" si="21"/>
        <v>0</v>
      </c>
      <c r="U36" s="419">
        <f t="shared" si="17"/>
        <v>0</v>
      </c>
      <c r="V36" s="7">
        <f t="shared" ref="V36" si="28">U36</f>
        <v>0</v>
      </c>
    </row>
    <row r="37" spans="2:25" ht="14.4" thickBot="1" x14ac:dyDescent="0.35">
      <c r="B37" s="79" t="s">
        <v>489</v>
      </c>
      <c r="C37" s="593" t="s">
        <v>59</v>
      </c>
      <c r="D37" s="594"/>
      <c r="E37" s="11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F37" s="49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G37" s="50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H37" s="50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I37" s="51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J37" s="117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K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L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M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N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O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P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Q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R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S37" s="53">
        <f>SUMIF(Таблица5[Наименование операции],"Отгрузка",Таблица5[К-во])*(SUMIFS(Таблица2[Всего],Таблица2[Подразделение],"СЦ",Таблица2[Должность],"Приемщица")/SUMIFS(Таблица2[К-во],Таблица2[Подразделение],"СЦ",Таблица2[Должность],"Приемщица"))/(ЗП!$J$3*ЗП!$J$4*60)</f>
        <v>0.1126984126984127</v>
      </c>
      <c r="T37" s="108">
        <f t="shared" si="21"/>
        <v>0.1126984126984127</v>
      </c>
      <c r="U37" s="419">
        <f t="shared" si="17"/>
        <v>0.1126984126984127</v>
      </c>
      <c r="V37" s="7">
        <f t="shared" ref="V37" si="29">U37</f>
        <v>0.1126984126984127</v>
      </c>
    </row>
    <row r="38" spans="2:25" s="5" customFormat="1" ht="17.399999999999999" x14ac:dyDescent="0.3">
      <c r="B38" s="82" t="s">
        <v>19</v>
      </c>
      <c r="C38" s="595" t="s">
        <v>52</v>
      </c>
      <c r="D38" s="596"/>
      <c r="E38" s="41">
        <f ca="1">E39+E42</f>
        <v>6.5575396825396819</v>
      </c>
      <c r="F38" s="30">
        <f t="shared" ref="F38:V38" ca="1" si="30">F39+F42</f>
        <v>6.5575396825396819</v>
      </c>
      <c r="G38" s="22">
        <f t="shared" ca="1" si="30"/>
        <v>6.5575396825396819</v>
      </c>
      <c r="H38" s="22">
        <f ca="1">H39+H42</f>
        <v>6.5575396825396819</v>
      </c>
      <c r="I38" s="22">
        <f t="shared" ref="I38" ca="1" si="31">I39+I42</f>
        <v>6.5575396825396819</v>
      </c>
      <c r="J38" s="27">
        <f t="shared" ca="1" si="30"/>
        <v>6.5575396825396819</v>
      </c>
      <c r="K38" s="23">
        <f t="shared" ca="1" si="30"/>
        <v>6.5575396825396819</v>
      </c>
      <c r="L38" s="23">
        <f t="shared" ca="1" si="30"/>
        <v>6.5575396825396819</v>
      </c>
      <c r="M38" s="23">
        <f t="shared" ref="M38" ca="1" si="32">M39+M42</f>
        <v>6.5575396825396819</v>
      </c>
      <c r="N38" s="23">
        <f t="shared" ca="1" si="30"/>
        <v>6.5575396825396819</v>
      </c>
      <c r="O38" s="23">
        <f t="shared" ca="1" si="30"/>
        <v>6.5575396825396819</v>
      </c>
      <c r="P38" s="23">
        <f t="shared" ca="1" si="30"/>
        <v>6.5575396825396819</v>
      </c>
      <c r="Q38" s="23">
        <f t="shared" ca="1" si="30"/>
        <v>6.5575396825396819</v>
      </c>
      <c r="R38" s="23">
        <f t="shared" ca="1" si="30"/>
        <v>6.5575396825396819</v>
      </c>
      <c r="S38" s="23">
        <f t="shared" ca="1" si="30"/>
        <v>6.5575396825396819</v>
      </c>
      <c r="T38" s="71">
        <f t="shared" ca="1" si="30"/>
        <v>6.5575396825396819</v>
      </c>
      <c r="U38" s="418">
        <f ca="1">U39+U42</f>
        <v>6.5575396825396819</v>
      </c>
      <c r="V38" s="24">
        <f t="shared" ca="1" si="30"/>
        <v>6.5575396825396819</v>
      </c>
    </row>
    <row r="39" spans="2:25" ht="13.8" x14ac:dyDescent="0.3">
      <c r="B39" s="77" t="s">
        <v>20</v>
      </c>
      <c r="C39" s="584" t="s">
        <v>56</v>
      </c>
      <c r="D39" s="585"/>
      <c r="E39" s="42">
        <f ca="1">SUM(E40:E41)</f>
        <v>1.626984126984127</v>
      </c>
      <c r="F39" s="33">
        <f ca="1">SUM(F40:F41)</f>
        <v>1.626984126984127</v>
      </c>
      <c r="G39" s="10">
        <f t="shared" ref="G39:V39" ca="1" si="33">SUM(G40:G41)</f>
        <v>1.626984126984127</v>
      </c>
      <c r="H39" s="10">
        <f t="shared" ref="H39:I39" ca="1" si="34">SUM(H40:H41)</f>
        <v>1.626984126984127</v>
      </c>
      <c r="I39" s="10">
        <f t="shared" ca="1" si="34"/>
        <v>1.626984126984127</v>
      </c>
      <c r="J39" s="29">
        <f t="shared" ca="1" si="33"/>
        <v>1.626984126984127</v>
      </c>
      <c r="K39" s="13">
        <f t="shared" ca="1" si="33"/>
        <v>1.626984126984127</v>
      </c>
      <c r="L39" s="13">
        <f t="shared" ca="1" si="33"/>
        <v>1.626984126984127</v>
      </c>
      <c r="M39" s="13">
        <f t="shared" ref="M39" ca="1" si="35">SUM(M40:M41)</f>
        <v>1.626984126984127</v>
      </c>
      <c r="N39" s="13">
        <f t="shared" ca="1" si="33"/>
        <v>1.626984126984127</v>
      </c>
      <c r="O39" s="13">
        <f t="shared" ca="1" si="33"/>
        <v>1.626984126984127</v>
      </c>
      <c r="P39" s="13">
        <f t="shared" ca="1" si="33"/>
        <v>1.626984126984127</v>
      </c>
      <c r="Q39" s="13">
        <f t="shared" ca="1" si="33"/>
        <v>1.626984126984127</v>
      </c>
      <c r="R39" s="13">
        <f t="shared" ca="1" si="33"/>
        <v>1.626984126984127</v>
      </c>
      <c r="S39" s="13">
        <f t="shared" ca="1" si="33"/>
        <v>1.626984126984127</v>
      </c>
      <c r="T39" s="56">
        <f t="shared" ca="1" si="33"/>
        <v>1.626984126984127</v>
      </c>
      <c r="U39" s="419">
        <f ca="1">SUM(U40:U41)</f>
        <v>1.626984126984127</v>
      </c>
      <c r="V39" s="8">
        <f t="shared" ca="1" si="33"/>
        <v>1.626984126984127</v>
      </c>
      <c r="Y39" s="259"/>
    </row>
    <row r="40" spans="2:25" ht="15" customHeight="1" outlineLevel="1" x14ac:dyDescent="0.3">
      <c r="B40" s="77" t="s">
        <v>144</v>
      </c>
      <c r="C40" s="586" t="s">
        <v>60</v>
      </c>
      <c r="D40" s="587"/>
      <c r="E40" s="4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F40" s="31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G40" s="9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H40" s="9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I40" s="9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J40" s="28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K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L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M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N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O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P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Q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R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S40" s="12">
        <f>SUMIF(Таблица5[Наименование операции],"Установка клемной крышки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1.126984126984127</v>
      </c>
      <c r="T40" s="55">
        <f t="shared" ref="T40:V40" si="36">S40</f>
        <v>1.126984126984127</v>
      </c>
      <c r="U40" s="419">
        <f t="shared" si="17"/>
        <v>1.126984126984127</v>
      </c>
      <c r="V40" s="7">
        <f t="shared" si="36"/>
        <v>1.126984126984127</v>
      </c>
    </row>
    <row r="41" spans="2:25" s="164" customFormat="1" ht="15" customHeight="1" outlineLevel="1" x14ac:dyDescent="0.3">
      <c r="B41" s="266" t="s">
        <v>145</v>
      </c>
      <c r="C41" s="588" t="s">
        <v>61</v>
      </c>
      <c r="D41" s="589"/>
      <c r="E41" s="275">
        <f ca="1">SUMIF(Таблица3[Столбец1],VLOOKUP($U$6,Таблица3[],1,1),Таблица3[Столбец4])</f>
        <v>0.5</v>
      </c>
      <c r="F41" s="268">
        <f ca="1">SUMIF(Таблица3[Столбец1],VLOOKUP($U$6,Таблица3[],1,1),Таблица3[Столбец4])</f>
        <v>0.5</v>
      </c>
      <c r="G41" s="269">
        <f ca="1">SUMIF(Таблица3[Столбец1],VLOOKUP($U$6,Таблица3[],1,1),Таблица3[Столбец4])</f>
        <v>0.5</v>
      </c>
      <c r="H41" s="269">
        <f ca="1">SUMIF(Таблица3[Столбец1],VLOOKUP($U$6,Таблица3[],1,1),Таблица3[Столбец4])</f>
        <v>0.5</v>
      </c>
      <c r="I41" s="269">
        <f ca="1">SUMIF(Таблица3[Столбец1],VLOOKUP($U$6,Таблица3[],1,1),Таблица3[Столбец4])</f>
        <v>0.5</v>
      </c>
      <c r="J41" s="276">
        <f ca="1">SUMIF(Таблица3[Столбец1],VLOOKUP($U$6,Таблица3[],1,1),Таблица3[Столбец4])</f>
        <v>0.5</v>
      </c>
      <c r="K41" s="272">
        <f ca="1">SUMIF(Таблица3[Столбец1],VLOOKUP($U$6,Таблица3[],1,1),Таблица3[Столбец4])</f>
        <v>0.5</v>
      </c>
      <c r="L41" s="272">
        <f ca="1">SUMIF(Таблица3[Столбец1],VLOOKUP($U$6,Таблица3[],1,1),Таблица3[Столбец4])</f>
        <v>0.5</v>
      </c>
      <c r="M41" s="272">
        <f ca="1">SUMIF(Таблица3[Столбец1],VLOOKUP($U$6,Таблица3[],1,1),Таблица3[Столбец4])</f>
        <v>0.5</v>
      </c>
      <c r="N41" s="272">
        <f ca="1">SUMIF(Таблица3[Столбец1],VLOOKUP($U$6,Таблица3[],1,1),Таблица3[Столбец4])</f>
        <v>0.5</v>
      </c>
      <c r="O41" s="272">
        <f ca="1">SUMIF(Таблица3[Столбец1],VLOOKUP($U$6,Таблица3[],1,1),Таблица3[Столбец4])</f>
        <v>0.5</v>
      </c>
      <c r="P41" s="272">
        <f ca="1">SUMIF(Таблица3[Столбец1],VLOOKUP($U$6,Таблица3[],1,1),Таблица3[Столбец4])</f>
        <v>0.5</v>
      </c>
      <c r="Q41" s="272">
        <f ca="1">SUMIF(Таблица3[Столбец1],VLOOKUP($U$6,Таблица3[],1,1),Таблица3[Столбец4])</f>
        <v>0.5</v>
      </c>
      <c r="R41" s="272">
        <f ca="1">SUMIF(Таблица3[Столбец1],VLOOKUP($U$6,Таблица3[],1,1),Таблица3[Столбец4])</f>
        <v>0.5</v>
      </c>
      <c r="S41" s="272">
        <f ca="1">SUMIF(Таблица3[Столбец1],VLOOKUP($U$6,Таблица3[],1,1),Таблица3[Столбец4])</f>
        <v>0.5</v>
      </c>
      <c r="T41" s="277">
        <f t="shared" ref="T41:V41" ca="1" si="37">S41</f>
        <v>0.5</v>
      </c>
      <c r="U41" s="419">
        <f t="shared" ca="1" si="17"/>
        <v>0.5</v>
      </c>
      <c r="V41" s="274">
        <f t="shared" ca="1" si="37"/>
        <v>0.5</v>
      </c>
    </row>
    <row r="42" spans="2:25" ht="14.4" thickBot="1" x14ac:dyDescent="0.35">
      <c r="B42" s="77" t="s">
        <v>21</v>
      </c>
      <c r="C42" s="584" t="s">
        <v>57</v>
      </c>
      <c r="D42" s="585"/>
      <c r="E42" s="42">
        <f ca="1">SUM(E43:E44)</f>
        <v>4.9305555555555554</v>
      </c>
      <c r="F42" s="33">
        <f ca="1">SUM(F43:F44)</f>
        <v>4.9305555555555554</v>
      </c>
      <c r="G42" s="10">
        <f t="shared" ref="G42:V42" ca="1" si="38">SUM(G43:G44)</f>
        <v>4.9305555555555554</v>
      </c>
      <c r="H42" s="10">
        <f t="shared" ref="H42:I42" ca="1" si="39">SUM(H43:H44)</f>
        <v>4.9305555555555554</v>
      </c>
      <c r="I42" s="10">
        <f t="shared" ca="1" si="39"/>
        <v>4.9305555555555554</v>
      </c>
      <c r="J42" s="29">
        <f t="shared" ca="1" si="38"/>
        <v>4.9305555555555554</v>
      </c>
      <c r="K42" s="13">
        <f t="shared" ca="1" si="38"/>
        <v>4.9305555555555554</v>
      </c>
      <c r="L42" s="13">
        <f t="shared" ca="1" si="38"/>
        <v>4.9305555555555554</v>
      </c>
      <c r="M42" s="13">
        <f t="shared" ref="M42" ca="1" si="40">SUM(M43:M44)</f>
        <v>4.9305555555555554</v>
      </c>
      <c r="N42" s="13">
        <f t="shared" ca="1" si="38"/>
        <v>4.9305555555555554</v>
      </c>
      <c r="O42" s="13">
        <f t="shared" ca="1" si="38"/>
        <v>4.9305555555555554</v>
      </c>
      <c r="P42" s="13">
        <f t="shared" ca="1" si="38"/>
        <v>4.9305555555555554</v>
      </c>
      <c r="Q42" s="13">
        <f ca="1">SUM(Q43:Q44)</f>
        <v>4.9305555555555554</v>
      </c>
      <c r="R42" s="13">
        <f t="shared" ca="1" si="38"/>
        <v>4.9305555555555554</v>
      </c>
      <c r="S42" s="13">
        <f t="shared" ca="1" si="38"/>
        <v>4.9305555555555554</v>
      </c>
      <c r="T42" s="56">
        <f t="shared" ca="1" si="38"/>
        <v>4.9305555555555554</v>
      </c>
      <c r="U42" s="419">
        <f ca="1">SUM(U43:U44)</f>
        <v>4.9305555555555554</v>
      </c>
      <c r="V42" s="8">
        <f t="shared" ca="1" si="38"/>
        <v>4.9305555555555554</v>
      </c>
    </row>
    <row r="43" spans="2:25" ht="13.8" hidden="1" outlineLevel="1" x14ac:dyDescent="0.3">
      <c r="B43" s="77" t="s">
        <v>146</v>
      </c>
      <c r="C43" s="83" t="s">
        <v>60</v>
      </c>
      <c r="D43" s="447"/>
      <c r="E43" s="4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F43" s="31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G43" s="9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H43" s="9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I43" s="3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J43" s="28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K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L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M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N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O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P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Q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R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S43" s="12">
        <f>SUMIF(Таблица5[Наименование операции],"Упаковка",Таблица5[К-во])*(SUMIFS(Таблица2[Всего],Таблица2[Подразделение],"ДУ",Таблица2[Должность],"Упаковщик")/SUMIFS(Таблица2[К-во],Таблица2[Подразделение],"ДУ",Таблица2[Должность],"Упаковщик")+SUMIFS(Таблица2[Всего],Таблица2[Подразделение],"ДУ",Таблица2[Должность],"Бригадир упаковщиков")/SUMIFS(Таблица2[К-во],Таблица2[Подразделение],"ДУ",Таблица2[Должность],"Бригадир упаковщиков"))/(ЗП!$J$3*ЗП!$J$4*60)</f>
        <v>4.9305555555555554</v>
      </c>
      <c r="T43" s="55">
        <f t="shared" ref="T43:V43" si="41">S43</f>
        <v>4.9305555555555554</v>
      </c>
      <c r="U43" s="419">
        <f t="shared" si="17"/>
        <v>4.9305555555555554</v>
      </c>
      <c r="V43" s="7">
        <f t="shared" si="41"/>
        <v>4.9305555555555554</v>
      </c>
    </row>
    <row r="44" spans="2:25" s="164" customFormat="1" ht="14.4" hidden="1" outlineLevel="1" thickBot="1" x14ac:dyDescent="0.35">
      <c r="B44" s="266" t="s">
        <v>147</v>
      </c>
      <c r="C44" s="278" t="s">
        <v>69</v>
      </c>
      <c r="D44" s="448"/>
      <c r="E44" s="279">
        <f ca="1">SUMIF(Таблица3[Столбец1],VLOOKUP($U$6,Таблица3[],1,1),Таблица3[Столбец5])</f>
        <v>0</v>
      </c>
      <c r="F44" s="280">
        <f ca="1">SUMIF(Таблица3[Столбец1],VLOOKUP($U$6,Таблица3[],1,1),Таблица3[Столбец5])</f>
        <v>0</v>
      </c>
      <c r="G44" s="281">
        <f ca="1">SUMIF(Таблица3[Столбец1],VLOOKUP($U$6,Таблица3[],1,1),Таблица3[Столбец5])</f>
        <v>0</v>
      </c>
      <c r="H44" s="281">
        <f ca="1">SUMIF(Таблица3[Столбец1],VLOOKUP($U$6,Таблица3[],1,1),Таблица3[Столбец5])</f>
        <v>0</v>
      </c>
      <c r="I44" s="282">
        <f ca="1">SUMIF(Таблица3[Столбец1],VLOOKUP($U$6,Таблица3[],1,1),Таблица3[Столбец5])</f>
        <v>0</v>
      </c>
      <c r="J44" s="283">
        <f ca="1">SUMIF(Таблица3[Столбец1],VLOOKUP($U$6,Таблица3[],1,1),Таблица3[Столбец5])</f>
        <v>0</v>
      </c>
      <c r="K44" s="284">
        <f ca="1">SUMIF(Таблица3[Столбец1],VLOOKUP($U$6,Таблица3[],1,1),Таблица3[Столбец5])</f>
        <v>0</v>
      </c>
      <c r="L44" s="284">
        <f ca="1">SUMIF(Таблица3[Столбец1],VLOOKUP($U$6,Таблица3[],1,1),Таблица3[Столбец5])</f>
        <v>0</v>
      </c>
      <c r="M44" s="284">
        <f ca="1">SUMIF(Таблица3[Столбец1],VLOOKUP($U$6,Таблица3[],1,1),Таблица3[Столбец5])</f>
        <v>0</v>
      </c>
      <c r="N44" s="284">
        <f ca="1">SUMIF(Таблица3[Столбец1],VLOOKUP($U$6,Таблица3[],1,1),Таблица3[Столбец5])</f>
        <v>0</v>
      </c>
      <c r="O44" s="284">
        <f ca="1">SUMIF(Таблица3[Столбец1],VLOOKUP($U$6,Таблица3[],1,1),Таблица3[Столбец5])</f>
        <v>0</v>
      </c>
      <c r="P44" s="284">
        <f ca="1">SUMIF(Таблица3[Столбец1],VLOOKUP($U$6,Таблица3[],1,1),Таблица3[Столбец5])</f>
        <v>0</v>
      </c>
      <c r="Q44" s="284">
        <f ca="1">SUMIF(Таблица3[Столбец1],VLOOKUP($U$6,Таблица3[],1,1),Таблица3[Столбец5])</f>
        <v>0</v>
      </c>
      <c r="R44" s="284">
        <f ca="1">SUMIF(Таблица3[Столбец1],VLOOKUP($U$6,Таблица3[],1,1),Таблица3[Столбец5])</f>
        <v>0</v>
      </c>
      <c r="S44" s="284">
        <f ca="1">SUMIF(Таблица3[Столбец1],VLOOKUP($U$6,Таблица3[],1,1),Таблица3[Столбец5])</f>
        <v>0</v>
      </c>
      <c r="T44" s="285">
        <f t="shared" ref="T44:V44" ca="1" si="42">S44</f>
        <v>0</v>
      </c>
      <c r="U44" s="419">
        <f t="shared" ca="1" si="17"/>
        <v>0</v>
      </c>
      <c r="V44" s="274">
        <f t="shared" ca="1" si="42"/>
        <v>0</v>
      </c>
    </row>
    <row r="45" spans="2:25" s="70" customFormat="1" ht="36.75" customHeight="1" collapsed="1" x14ac:dyDescent="0.3">
      <c r="B45" s="590" t="s">
        <v>501</v>
      </c>
      <c r="C45" s="591"/>
      <c r="D45" s="592"/>
      <c r="E45" s="548">
        <f t="shared" ref="E45:T45" ca="1" si="43">E12+E18+E38</f>
        <v>32.537666666666667</v>
      </c>
      <c r="F45" s="549">
        <f t="shared" ca="1" si="43"/>
        <v>34.735285714285716</v>
      </c>
      <c r="G45" s="550">
        <f t="shared" ca="1" si="43"/>
        <v>37.524571428571427</v>
      </c>
      <c r="H45" s="550">
        <f t="shared" ca="1" si="43"/>
        <v>44.624571428571429</v>
      </c>
      <c r="I45" s="551">
        <f t="shared" ca="1" si="43"/>
        <v>37.96409523809524</v>
      </c>
      <c r="J45" s="552">
        <f ca="1">J12+J18+J38</f>
        <v>41.142190476190478</v>
      </c>
      <c r="K45" s="553">
        <f t="shared" ca="1" si="43"/>
        <v>36.763857142857141</v>
      </c>
      <c r="L45" s="553">
        <f t="shared" ca="1" si="43"/>
        <v>35.276238095238092</v>
      </c>
      <c r="M45" s="553">
        <f t="shared" ca="1" si="43"/>
        <v>36.273619047619043</v>
      </c>
      <c r="N45" s="553">
        <f t="shared" ca="1" si="43"/>
        <v>34.786000000000001</v>
      </c>
      <c r="O45" s="553">
        <f t="shared" ca="1" si="43"/>
        <v>34.786000000000001</v>
      </c>
      <c r="P45" s="553">
        <f t="shared" ca="1" si="43"/>
        <v>34.786000000000001</v>
      </c>
      <c r="Q45" s="553">
        <f t="shared" ca="1" si="43"/>
        <v>35.918619047619046</v>
      </c>
      <c r="R45" s="553">
        <f t="shared" ca="1" si="43"/>
        <v>34.971952380952381</v>
      </c>
      <c r="S45" s="554">
        <f t="shared" ca="1" si="43"/>
        <v>34.904333333333334</v>
      </c>
      <c r="T45" s="555">
        <f t="shared" ca="1" si="43"/>
        <v>28.47457142857143</v>
      </c>
      <c r="U45" s="418">
        <f ca="1">U12+U18+U38</f>
        <v>72.78790476190477</v>
      </c>
      <c r="V45" s="69" t="e">
        <f ca="1">#REF!+V12+V18+V38</f>
        <v>#REF!</v>
      </c>
    </row>
    <row r="46" spans="2:25" s="286" customFormat="1" ht="17.25" customHeight="1" x14ac:dyDescent="0.3">
      <c r="B46" s="581" t="s">
        <v>376</v>
      </c>
      <c r="C46" s="582"/>
      <c r="D46" s="583"/>
      <c r="E46" s="287">
        <f>E13+E14+E15+E16+E19+E20+E21+E29+E30+E32+E34+E36+E37+E40+E43</f>
        <v>25.867666666666672</v>
      </c>
      <c r="F46" s="288">
        <f>F13+F14+F15+F16+F19+F20+F21+F22+F24+F29+F30+F32+F34+F36+F37+F40+F43</f>
        <v>28.065285714285714</v>
      </c>
      <c r="G46" s="289">
        <f t="shared" ref="G46:I46" si="44">G13+G14+G15+G16+G19+G20+G21+G22+G24+G29+G30+G32+G34+G36+G37+G40+G43</f>
        <v>30.854571428571433</v>
      </c>
      <c r="H46" s="289">
        <f t="shared" si="44"/>
        <v>37.954571428571427</v>
      </c>
      <c r="I46" s="290">
        <f t="shared" si="44"/>
        <v>31.294095238095238</v>
      </c>
      <c r="J46" s="291">
        <f>J13+J14+J15+J16+J19+J20+J21+J22+J27+J29+J30+J32+J34+J36+J37+J40+J43</f>
        <v>32.781714285714287</v>
      </c>
      <c r="K46" s="292">
        <f t="shared" ref="K46:S46" si="45">K13+K14+K15+K16+K19+K20+K21+K22+K27+K29+K30+K32+K34+K36+K37+K40+K43</f>
        <v>30.093857142857146</v>
      </c>
      <c r="L46" s="292">
        <f t="shared" si="45"/>
        <v>28.606238095238098</v>
      </c>
      <c r="M46" s="292">
        <f t="shared" si="45"/>
        <v>29.603619047619048</v>
      </c>
      <c r="N46" s="292">
        <f t="shared" si="45"/>
        <v>28.116</v>
      </c>
      <c r="O46" s="292">
        <f t="shared" si="45"/>
        <v>28.116</v>
      </c>
      <c r="P46" s="292">
        <f t="shared" si="45"/>
        <v>28.116</v>
      </c>
      <c r="Q46" s="292">
        <f t="shared" si="45"/>
        <v>29.248619047619052</v>
      </c>
      <c r="R46" s="292">
        <f t="shared" si="45"/>
        <v>28.301952380952386</v>
      </c>
      <c r="S46" s="293">
        <f t="shared" si="45"/>
        <v>28.234333333333339</v>
      </c>
      <c r="T46" s="294"/>
      <c r="U46" s="422">
        <f>U13+U14+U15+U16+U19+U20+U21+U22+U24+U27+U29+U30+U32+U34+U36+U37+U43+U40</f>
        <v>64.427428571428578</v>
      </c>
      <c r="V46" s="295"/>
    </row>
    <row r="47" spans="2:25" s="286" customFormat="1" ht="17.25" customHeight="1" x14ac:dyDescent="0.3">
      <c r="B47" s="581" t="s">
        <v>377</v>
      </c>
      <c r="C47" s="582"/>
      <c r="D47" s="583"/>
      <c r="E47" s="287">
        <f ca="1">E33+E41+E44</f>
        <v>1.17</v>
      </c>
      <c r="F47" s="288">
        <f ca="1">F25+F33+F41+F44</f>
        <v>1.17</v>
      </c>
      <c r="G47" s="289">
        <f t="shared" ref="G47:I47" ca="1" si="46">G25+G33+G41+G44</f>
        <v>1.17</v>
      </c>
      <c r="H47" s="289">
        <f t="shared" ca="1" si="46"/>
        <v>1.17</v>
      </c>
      <c r="I47" s="290">
        <f t="shared" ca="1" si="46"/>
        <v>1.17</v>
      </c>
      <c r="J47" s="291">
        <f ca="1">J28+J33+J41+J44</f>
        <v>1.17</v>
      </c>
      <c r="K47" s="292">
        <f t="shared" ref="K47:S47" ca="1" si="47">K28+K33+K41+K44</f>
        <v>1.17</v>
      </c>
      <c r="L47" s="292">
        <f t="shared" ca="1" si="47"/>
        <v>1.17</v>
      </c>
      <c r="M47" s="292">
        <f t="shared" ca="1" si="47"/>
        <v>1.17</v>
      </c>
      <c r="N47" s="292">
        <f t="shared" ca="1" si="47"/>
        <v>1.17</v>
      </c>
      <c r="O47" s="292">
        <f t="shared" ca="1" si="47"/>
        <v>1.17</v>
      </c>
      <c r="P47" s="292">
        <f t="shared" ca="1" si="47"/>
        <v>1.17</v>
      </c>
      <c r="Q47" s="292">
        <f t="shared" ca="1" si="47"/>
        <v>1.17</v>
      </c>
      <c r="R47" s="292">
        <f t="shared" ca="1" si="47"/>
        <v>1.17</v>
      </c>
      <c r="S47" s="293">
        <f t="shared" ca="1" si="47"/>
        <v>1.17</v>
      </c>
      <c r="T47" s="294"/>
      <c r="U47" s="422">
        <f ca="1">U25+U28+U33+U41+U44</f>
        <v>1.17</v>
      </c>
      <c r="V47" s="295"/>
    </row>
    <row r="48" spans="2:25" s="286" customFormat="1" ht="17.25" customHeight="1" thickBot="1" x14ac:dyDescent="0.35">
      <c r="B48" s="645" t="s">
        <v>378</v>
      </c>
      <c r="C48" s="646"/>
      <c r="D48" s="647"/>
      <c r="E48" s="296">
        <f>E17</f>
        <v>5.5</v>
      </c>
      <c r="F48" s="297">
        <f t="shared" ref="F48:U48" si="48">F17</f>
        <v>5.5</v>
      </c>
      <c r="G48" s="298">
        <f t="shared" si="48"/>
        <v>5.5</v>
      </c>
      <c r="H48" s="298">
        <f t="shared" si="48"/>
        <v>5.5</v>
      </c>
      <c r="I48" s="299">
        <f t="shared" si="48"/>
        <v>5.5</v>
      </c>
      <c r="J48" s="300">
        <f t="shared" si="48"/>
        <v>5.5</v>
      </c>
      <c r="K48" s="301">
        <f t="shared" si="48"/>
        <v>5.5</v>
      </c>
      <c r="L48" s="301">
        <f t="shared" si="48"/>
        <v>5.5</v>
      </c>
      <c r="M48" s="301">
        <f t="shared" si="48"/>
        <v>5.5</v>
      </c>
      <c r="N48" s="301">
        <f t="shared" si="48"/>
        <v>5.5</v>
      </c>
      <c r="O48" s="301">
        <f t="shared" si="48"/>
        <v>5.5</v>
      </c>
      <c r="P48" s="301">
        <f t="shared" si="48"/>
        <v>5.5</v>
      </c>
      <c r="Q48" s="301">
        <f t="shared" si="48"/>
        <v>5.5</v>
      </c>
      <c r="R48" s="301">
        <f t="shared" si="48"/>
        <v>5.5</v>
      </c>
      <c r="S48" s="302">
        <f t="shared" si="48"/>
        <v>5.5</v>
      </c>
      <c r="T48" s="294"/>
      <c r="U48" s="423">
        <f t="shared" si="48"/>
        <v>5.5</v>
      </c>
      <c r="V48" s="295"/>
    </row>
    <row r="49" spans="2:22" ht="24" customHeight="1" thickBot="1" x14ac:dyDescent="0.35">
      <c r="B49" s="636" t="s">
        <v>143</v>
      </c>
      <c r="C49" s="637"/>
      <c r="D49" s="637"/>
      <c r="E49" s="637"/>
      <c r="F49" s="637"/>
      <c r="G49" s="637"/>
      <c r="H49" s="637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8"/>
    </row>
    <row r="50" spans="2:22" ht="14.4" hidden="1" thickBot="1" x14ac:dyDescent="0.35">
      <c r="B50" s="122"/>
      <c r="C50" s="141"/>
      <c r="D50" s="449"/>
      <c r="E50" s="144"/>
      <c r="F50" s="150"/>
      <c r="G50" s="136"/>
      <c r="H50" s="136"/>
      <c r="I50" s="151"/>
      <c r="J50" s="147"/>
      <c r="K50" s="139"/>
      <c r="L50" s="139"/>
      <c r="M50" s="139"/>
      <c r="N50" s="139"/>
      <c r="O50" s="139"/>
      <c r="P50" s="139"/>
      <c r="Q50" s="139"/>
      <c r="R50" s="139"/>
      <c r="S50" s="139"/>
      <c r="T50" s="156"/>
      <c r="U50" s="85">
        <f>SUMIFS(F50:S50,$F$7:$S$7,1)+IF(SUM($F$7:$S$7)=0,E50,0)</f>
        <v>0</v>
      </c>
    </row>
    <row r="51" spans="2:22" ht="14.4" hidden="1" thickBot="1" x14ac:dyDescent="0.35">
      <c r="B51" s="123"/>
      <c r="C51" s="142"/>
      <c r="D51" s="450"/>
      <c r="E51" s="145"/>
      <c r="F51" s="152"/>
      <c r="G51" s="137"/>
      <c r="H51" s="137"/>
      <c r="I51" s="153"/>
      <c r="J51" s="148"/>
      <c r="K51" s="4"/>
      <c r="L51" s="4"/>
      <c r="M51" s="4"/>
      <c r="N51" s="4"/>
      <c r="O51" s="4"/>
      <c r="P51" s="4"/>
      <c r="Q51" s="4"/>
      <c r="R51" s="4"/>
      <c r="S51" s="4"/>
      <c r="T51" s="157"/>
      <c r="U51" s="85">
        <f t="shared" ref="U51:U55" si="49">SUMIFS(F51:S51,$F$7:$S$7,1)+IF(SUM($F$7:$S$7)=0,E51,0)</f>
        <v>0</v>
      </c>
    </row>
    <row r="52" spans="2:22" ht="14.4" hidden="1" thickBot="1" x14ac:dyDescent="0.35">
      <c r="B52" s="123"/>
      <c r="C52" s="142"/>
      <c r="D52" s="450"/>
      <c r="E52" s="145"/>
      <c r="F52" s="152"/>
      <c r="G52" s="137"/>
      <c r="H52" s="137"/>
      <c r="I52" s="153"/>
      <c r="J52" s="148"/>
      <c r="K52" s="4"/>
      <c r="L52" s="4"/>
      <c r="M52" s="4"/>
      <c r="N52" s="4"/>
      <c r="O52" s="4"/>
      <c r="P52" s="4"/>
      <c r="Q52" s="4"/>
      <c r="R52" s="4"/>
      <c r="S52" s="4"/>
      <c r="T52" s="157"/>
      <c r="U52" s="85">
        <f t="shared" si="49"/>
        <v>0</v>
      </c>
    </row>
    <row r="53" spans="2:22" ht="14.4" hidden="1" thickBot="1" x14ac:dyDescent="0.35">
      <c r="B53" s="123"/>
      <c r="C53" s="142"/>
      <c r="D53" s="450"/>
      <c r="E53" s="145"/>
      <c r="F53" s="152"/>
      <c r="G53" s="137"/>
      <c r="H53" s="137"/>
      <c r="I53" s="153"/>
      <c r="J53" s="148"/>
      <c r="K53" s="4"/>
      <c r="L53" s="4"/>
      <c r="M53" s="4"/>
      <c r="N53" s="4"/>
      <c r="O53" s="4"/>
      <c r="P53" s="4"/>
      <c r="Q53" s="4"/>
      <c r="R53" s="4"/>
      <c r="S53" s="4"/>
      <c r="T53" s="157"/>
      <c r="U53" s="85">
        <f t="shared" si="49"/>
        <v>0</v>
      </c>
    </row>
    <row r="54" spans="2:22" ht="14.4" hidden="1" thickBot="1" x14ac:dyDescent="0.35">
      <c r="B54" s="123"/>
      <c r="C54" s="142"/>
      <c r="D54" s="450"/>
      <c r="E54" s="145"/>
      <c r="F54" s="152"/>
      <c r="G54" s="137"/>
      <c r="H54" s="137"/>
      <c r="I54" s="153"/>
      <c r="J54" s="148"/>
      <c r="K54" s="4"/>
      <c r="L54" s="4"/>
      <c r="M54" s="4"/>
      <c r="N54" s="4"/>
      <c r="O54" s="4"/>
      <c r="P54" s="4"/>
      <c r="Q54" s="4"/>
      <c r="R54" s="4"/>
      <c r="S54" s="4"/>
      <c r="T54" s="157">
        <v>1</v>
      </c>
      <c r="U54" s="85">
        <f t="shared" si="49"/>
        <v>0</v>
      </c>
    </row>
    <row r="55" spans="2:22" ht="14.4" hidden="1" thickBot="1" x14ac:dyDescent="0.35">
      <c r="B55" s="124"/>
      <c r="C55" s="143"/>
      <c r="D55" s="451"/>
      <c r="E55" s="146"/>
      <c r="F55" s="154"/>
      <c r="G55" s="138"/>
      <c r="H55" s="138"/>
      <c r="I55" s="155"/>
      <c r="J55" s="185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86">
        <f t="shared" si="49"/>
        <v>0</v>
      </c>
    </row>
    <row r="56" spans="2:22" s="70" customFormat="1" ht="27" customHeight="1" collapsed="1" thickBot="1" x14ac:dyDescent="0.35">
      <c r="B56" s="632" t="s">
        <v>209</v>
      </c>
      <c r="C56" s="633"/>
      <c r="D56" s="452"/>
      <c r="E56" s="62">
        <f>E73</f>
        <v>0</v>
      </c>
      <c r="F56" s="63">
        <f t="shared" ref="F56:S56" si="50">F73</f>
        <v>206.6596045441101</v>
      </c>
      <c r="G56" s="64">
        <f t="shared" si="50"/>
        <v>257.9360477768592</v>
      </c>
      <c r="H56" s="64">
        <f t="shared" si="50"/>
        <v>388.4579032784024</v>
      </c>
      <c r="I56" s="65">
        <f t="shared" si="50"/>
        <v>266.01597216504996</v>
      </c>
      <c r="J56" s="66">
        <f t="shared" si="50"/>
        <v>192.67512002608763</v>
      </c>
      <c r="K56" s="67">
        <f t="shared" si="50"/>
        <v>192.67512002608763</v>
      </c>
      <c r="L56" s="67">
        <f t="shared" si="50"/>
        <v>192.67512002608763</v>
      </c>
      <c r="M56" s="67">
        <f t="shared" si="50"/>
        <v>192.67512002608763</v>
      </c>
      <c r="N56" s="67">
        <f t="shared" si="50"/>
        <v>192.67512002608763</v>
      </c>
      <c r="O56" s="67">
        <f t="shared" si="50"/>
        <v>192.67512002608763</v>
      </c>
      <c r="P56" s="67">
        <f t="shared" si="50"/>
        <v>192.67512002608763</v>
      </c>
      <c r="Q56" s="67">
        <f t="shared" si="50"/>
        <v>192.67512002608763</v>
      </c>
      <c r="R56" s="67">
        <f t="shared" si="50"/>
        <v>192.67512002608763</v>
      </c>
      <c r="S56" s="67">
        <f t="shared" si="50"/>
        <v>192.67512002608763</v>
      </c>
      <c r="T56" s="68">
        <f>T50+T51+T52+T53+T54+T55</f>
        <v>1</v>
      </c>
      <c r="U56" s="421">
        <f>U73</f>
        <v>388.4579032784024</v>
      </c>
      <c r="V56" s="69"/>
    </row>
    <row r="57" spans="2:22" ht="27.75" customHeight="1" thickBot="1" x14ac:dyDescent="0.35">
      <c r="B57" s="634" t="s">
        <v>68</v>
      </c>
      <c r="C57" s="635"/>
      <c r="D57" s="307"/>
      <c r="E57" s="159">
        <f ca="1">E45+E56</f>
        <v>32.537666666666667</v>
      </c>
      <c r="F57" s="159">
        <f ca="1">F45+F56</f>
        <v>241.3948902583958</v>
      </c>
      <c r="G57" s="159">
        <f t="shared" ref="G57:T57" ca="1" si="51">G45+G56</f>
        <v>295.46061920543065</v>
      </c>
      <c r="H57" s="159">
        <f t="shared" ca="1" si="51"/>
        <v>433.08247470697381</v>
      </c>
      <c r="I57" s="159">
        <f t="shared" ca="1" si="51"/>
        <v>303.9800674031452</v>
      </c>
      <c r="J57" s="159">
        <f t="shared" ca="1" si="51"/>
        <v>233.8173105022781</v>
      </c>
      <c r="K57" s="159">
        <f t="shared" ca="1" si="51"/>
        <v>229.43897716894477</v>
      </c>
      <c r="L57" s="159">
        <f t="shared" ca="1" si="51"/>
        <v>227.95135812132571</v>
      </c>
      <c r="M57" s="159">
        <f t="shared" ca="1" si="51"/>
        <v>228.94873907370666</v>
      </c>
      <c r="N57" s="159">
        <f t="shared" ca="1" si="51"/>
        <v>227.46112002608763</v>
      </c>
      <c r="O57" s="159">
        <f t="shared" ca="1" si="51"/>
        <v>227.46112002608763</v>
      </c>
      <c r="P57" s="159">
        <f t="shared" ca="1" si="51"/>
        <v>227.46112002608763</v>
      </c>
      <c r="Q57" s="159">
        <f t="shared" ca="1" si="51"/>
        <v>228.59373907370667</v>
      </c>
      <c r="R57" s="159">
        <f t="shared" ca="1" si="51"/>
        <v>227.64707240704001</v>
      </c>
      <c r="S57" s="159">
        <f t="shared" ca="1" si="51"/>
        <v>227.57945335942097</v>
      </c>
      <c r="T57" s="159">
        <f t="shared" ca="1" si="51"/>
        <v>29.47457142857143</v>
      </c>
      <c r="U57" s="160">
        <f ca="1">U45+U56</f>
        <v>461.24580804030717</v>
      </c>
    </row>
    <row r="58" spans="2:22" ht="3.75" customHeight="1" x14ac:dyDescent="0.3">
      <c r="B58" s="391"/>
      <c r="C58" s="392"/>
      <c r="D58" s="392"/>
      <c r="E58" s="392"/>
      <c r="F58" s="393"/>
      <c r="G58" s="392"/>
      <c r="H58" s="392"/>
      <c r="I58" s="392"/>
      <c r="J58" s="392"/>
      <c r="K58" s="392"/>
      <c r="L58" s="392"/>
      <c r="M58" s="392"/>
      <c r="N58" s="392"/>
      <c r="O58" s="392"/>
      <c r="P58" s="392"/>
      <c r="Q58" s="392"/>
      <c r="R58" s="392"/>
      <c r="S58" s="392"/>
      <c r="T58" s="392"/>
      <c r="U58" s="394"/>
    </row>
    <row r="61" spans="2:22" ht="15.75" customHeight="1" x14ac:dyDescent="0.3">
      <c r="B61" s="602" t="s">
        <v>379</v>
      </c>
      <c r="C61" s="602"/>
      <c r="D61" s="602"/>
      <c r="E61" s="602"/>
      <c r="F61" s="602"/>
      <c r="G61" s="602"/>
      <c r="H61" s="602"/>
      <c r="I61" s="602"/>
      <c r="J61" s="602"/>
      <c r="K61" s="602"/>
      <c r="L61" s="602"/>
      <c r="M61" s="602"/>
      <c r="N61" s="602"/>
      <c r="O61" s="602"/>
      <c r="P61" s="602"/>
      <c r="Q61" s="602"/>
      <c r="R61" s="602"/>
      <c r="S61" s="602"/>
      <c r="T61" s="602"/>
      <c r="U61" s="602"/>
    </row>
    <row r="62" spans="2:22" s="389" customFormat="1" ht="16.5" customHeight="1" x14ac:dyDescent="0.3">
      <c r="B62" s="603" t="s">
        <v>522</v>
      </c>
      <c r="C62" s="603"/>
      <c r="D62" s="603"/>
      <c r="E62" s="603"/>
      <c r="F62" s="603"/>
      <c r="G62" s="603"/>
      <c r="H62" s="603"/>
      <c r="I62" s="603"/>
      <c r="J62" s="603"/>
      <c r="K62" s="603"/>
      <c r="L62" s="603"/>
      <c r="M62" s="603"/>
      <c r="N62" s="603"/>
      <c r="O62" s="603"/>
      <c r="P62" s="603"/>
      <c r="Q62" s="603"/>
      <c r="R62" s="603"/>
      <c r="S62" s="603"/>
      <c r="T62" s="603"/>
      <c r="U62" s="603"/>
    </row>
    <row r="63" spans="2:22" s="389" customFormat="1" ht="16.5" customHeight="1" thickBot="1" x14ac:dyDescent="0.35"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</row>
    <row r="64" spans="2:22" s="395" customFormat="1" ht="36.6" thickBot="1" x14ac:dyDescent="0.35">
      <c r="B64" s="597" t="s">
        <v>491</v>
      </c>
      <c r="C64" s="598"/>
      <c r="D64" s="453" t="s">
        <v>502</v>
      </c>
      <c r="E64" s="599" t="s">
        <v>492</v>
      </c>
      <c r="F64" s="600"/>
      <c r="G64" s="600"/>
      <c r="H64" s="600"/>
      <c r="I64" s="600"/>
      <c r="J64" s="600"/>
      <c r="K64" s="600"/>
      <c r="L64" s="600"/>
      <c r="M64" s="600"/>
      <c r="N64" s="600"/>
      <c r="O64" s="600"/>
      <c r="P64" s="600"/>
      <c r="Q64" s="600"/>
      <c r="R64" s="600"/>
      <c r="S64" s="601"/>
      <c r="T64" s="415"/>
      <c r="U64" s="424" t="s">
        <v>12</v>
      </c>
    </row>
    <row r="65" spans="2:25" x14ac:dyDescent="0.3">
      <c r="B65" s="652" t="s">
        <v>486</v>
      </c>
      <c r="C65" s="653"/>
      <c r="D65" s="454" t="s">
        <v>503</v>
      </c>
      <c r="E65" s="399">
        <f>IF(AND(E7=1,F7+G7+H7+I7+J7+K7+L7+M7+N7+O7+P7+Q7+R7+S7=0),MIN(E66,E70,E71),0)</f>
        <v>0</v>
      </c>
      <c r="F65" s="402">
        <f>IF(F7=1,MIN(F66,F70,F71),0)</f>
        <v>4547.3684210526308</v>
      </c>
      <c r="G65" s="403">
        <f t="shared" ref="G65:S65" si="52">IF(G7=1,MIN(G66,G70,G71),0)</f>
        <v>3643.3734939759033</v>
      </c>
      <c r="H65" s="403">
        <f t="shared" si="52"/>
        <v>2419.1999999999998</v>
      </c>
      <c r="I65" s="404">
        <f t="shared" si="52"/>
        <v>3532.7102803738317</v>
      </c>
      <c r="J65" s="526">
        <f t="shared" si="52"/>
        <v>4877.4193548387084</v>
      </c>
      <c r="K65" s="527">
        <f t="shared" si="52"/>
        <v>4877.4193548387084</v>
      </c>
      <c r="L65" s="527">
        <f t="shared" si="52"/>
        <v>4877.4193548387084</v>
      </c>
      <c r="M65" s="527">
        <f t="shared" si="52"/>
        <v>4877.4193548387084</v>
      </c>
      <c r="N65" s="527">
        <f t="shared" si="52"/>
        <v>4877.4193548387084</v>
      </c>
      <c r="O65" s="527">
        <f t="shared" si="52"/>
        <v>4877.4193548387084</v>
      </c>
      <c r="P65" s="527">
        <f t="shared" si="52"/>
        <v>4877.4193548387084</v>
      </c>
      <c r="Q65" s="527">
        <f t="shared" si="52"/>
        <v>4877.4193548387084</v>
      </c>
      <c r="R65" s="527">
        <f t="shared" si="52"/>
        <v>4877.4193548387084</v>
      </c>
      <c r="S65" s="528">
        <f t="shared" si="52"/>
        <v>4877.4193548387084</v>
      </c>
      <c r="T65" s="412"/>
      <c r="U65" s="425">
        <f>IF(AND($E$7=1,$F$7+$G$7+$H$7+$I$7+$J$7+$K$7+$L$7+$M$7+$N$7+$O$7+$P$7+$Q$7+$R$7+$S$7=0),E65,_xlfn.MINIFS(F65:S65,$F$7:$S$7,1))</f>
        <v>2419.1999999999998</v>
      </c>
    </row>
    <row r="66" spans="2:25" s="213" customFormat="1" x14ac:dyDescent="0.3">
      <c r="B66" s="648" t="s">
        <v>483</v>
      </c>
      <c r="C66" s="649"/>
      <c r="D66" s="454" t="s">
        <v>503</v>
      </c>
      <c r="E66" s="400">
        <f>IF(AND(E7=1,F7+G7+H7+I7+J7+K7+L7+M7+N7+O7+P7+Q7+R7+S7=0),MINA(E67:E69),0)</f>
        <v>0</v>
      </c>
      <c r="F66" s="405">
        <f t="shared" ref="F66:S66" si="53">IF(F7=1,MINA(F67:F69),0)</f>
        <v>4547.3684210526308</v>
      </c>
      <c r="G66" s="397">
        <f t="shared" si="53"/>
        <v>3643.3734939759033</v>
      </c>
      <c r="H66" s="397">
        <f t="shared" si="53"/>
        <v>2419.1999999999998</v>
      </c>
      <c r="I66" s="406">
        <f t="shared" si="53"/>
        <v>3532.7102803738317</v>
      </c>
      <c r="J66" s="529">
        <f t="shared" si="53"/>
        <v>4877.4193548387084</v>
      </c>
      <c r="K66" s="530">
        <f t="shared" si="53"/>
        <v>4877.4193548387084</v>
      </c>
      <c r="L66" s="530">
        <f t="shared" si="53"/>
        <v>4877.4193548387084</v>
      </c>
      <c r="M66" s="530">
        <f t="shared" si="53"/>
        <v>4877.4193548387084</v>
      </c>
      <c r="N66" s="530">
        <f t="shared" si="53"/>
        <v>4877.4193548387084</v>
      </c>
      <c r="O66" s="530">
        <f t="shared" si="53"/>
        <v>4877.4193548387084</v>
      </c>
      <c r="P66" s="530">
        <f t="shared" si="53"/>
        <v>4877.4193548387084</v>
      </c>
      <c r="Q66" s="530">
        <f t="shared" si="53"/>
        <v>4877.4193548387084</v>
      </c>
      <c r="R66" s="530">
        <f t="shared" si="53"/>
        <v>4877.4193548387084</v>
      </c>
      <c r="S66" s="531">
        <f t="shared" si="53"/>
        <v>4877.4193548387084</v>
      </c>
      <c r="T66" s="413"/>
      <c r="U66" s="425">
        <f>IF(AND($E$7=1,$F$7+$G$7+$H$7+$I$7+$J$7+$K$7+$L$7+$M$7+$N$7+$O$7+$P$7+$Q$7+$R$7+$S$7=0),E66,_xlfn.MINIFS(F66:S66,$F$7:$S$7,1))</f>
        <v>2419.1999999999998</v>
      </c>
      <c r="Y66" s="311"/>
    </row>
    <row r="67" spans="2:25" s="416" customFormat="1" x14ac:dyDescent="0.3">
      <c r="B67" s="654" t="s">
        <v>482</v>
      </c>
      <c r="C67" s="655"/>
      <c r="D67" s="454" t="s">
        <v>503</v>
      </c>
      <c r="E67" s="535">
        <f>IF(AND(E7=1,F7+G7+H7+I7+J7+K7+L7+M7+N7+O7+P7+Q7+R7+S7=0),SUMIFS(Таблица2[Трудозатраты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0</v>
      </c>
      <c r="F67" s="514">
        <f>IF(F7=1,SUMIFS(Таблица2[Трудозатраты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G67" s="515">
        <f>IF(G7=1,SUMIFS(Таблица2[Трудозатраты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H67" s="515">
        <f>IF(H7=1,SUMIFS(Таблица2[Трудозатраты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I67" s="516">
        <f>IF(I7=1,SUMIFS(Таблица2[Трудозатраты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J67" s="532">
        <f>IF(J7=1,SUMIFS(Таблица2[Трудозатраты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K67" s="533">
        <f>IF(K7=1,SUMIFS(Таблица2[Трудозатраты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L67" s="533">
        <f>IF(L7=1,SUMIFS(Таблица2[Трудозатраты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M67" s="533">
        <f>IF(M7=1,SUMIFS(Таблица2[Трудозатраты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N67" s="533">
        <f>IF(N7=1,SUMIFS(Таблица2[Трудозатраты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O67" s="533">
        <f>IF(O7=1,SUMIFS(Таблица2[Трудозатраты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P67" s="533">
        <f>IF(P7=1,SUMIFS(Таблица2[Трудозатраты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Q67" s="533">
        <f>IF(Q7=1,SUMIFS(Таблица2[Трудозатраты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R67" s="533">
        <f>IF(R7=1,SUMIFS(Таблица2[Трудозатраты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S67" s="534">
        <f>IF(S7=1,SUMIFS(Таблица2[Трудозатраты    (чел/час)],Таблица2[Подразделение],"СЦ",Таблица2[Должность],"приемщица")*60/(SUMIF(Таблица5[Наименование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операции],"Отгрузка",Таблица5[К-во])),0)</f>
        <v>29647.058823529416</v>
      </c>
      <c r="T67" s="417"/>
      <c r="U67" s="426">
        <f t="shared" ref="U67:U71" si="54">IF(AND($E$7=1,$F$7+$G$7+$H$7+$I$7+$J$7+$K$7+$L$7+$M$7+$N$7+$O$7+$P$7+$Q$7+$R$7+$S$7=0),E67,_xlfn.MINIFS(F67:S67,$F$7:$S$7,1))</f>
        <v>29647.058823529416</v>
      </c>
    </row>
    <row r="68" spans="2:25" s="416" customFormat="1" x14ac:dyDescent="0.3">
      <c r="B68" s="654" t="s">
        <v>480</v>
      </c>
      <c r="C68" s="655"/>
      <c r="D68" s="454" t="s">
        <v>503</v>
      </c>
      <c r="E68" s="535">
        <f>IF(AND(E7=1,F7+G7+H7+I7+J7+K7+L7+M7+N7+O7+P7+Q7+R7+S7=0),SUMIFS(Таблица2[Трудозатраты    (чел/час)],Таблица2[Подразделение],"СЦ",Таблица2[Должность],"слесарь")*60/(SUMIF(Таблица5[Наименование операции],"Очистка",Таблица5[К-во])+SUMIF(Таблица5[Наименование операции],"Вязка пломб",Таблица5[К-во])),0)</f>
        <v>0</v>
      </c>
      <c r="F68" s="514">
        <f>IF(F7=1,SUMIFS(Таблица2[Трудозатраты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кожух",Таблица5[К-во])),0)</f>
        <v>4547.3684210526308</v>
      </c>
      <c r="G68" s="515">
        <f>IF(G7=1,SUMIFS(Таблица2[Трудозатраты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цоколь",Таблица5[К-во])),0)</f>
        <v>3643.3734939759033</v>
      </c>
      <c r="H68" s="515">
        <f>IF(H7=1,SUMIFS(Таблица2[Трудозатраты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клемная колодка",Таблица5[К-во])),0)</f>
        <v>2419.1999999999998</v>
      </c>
      <c r="I68" s="516">
        <f>IF(I7=1,SUMIFS(Таблица2[Трудозатраты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замена терминала",Таблица5[К-во])*I8),0)</f>
        <v>3532.7102803738317</v>
      </c>
      <c r="J68" s="532">
        <f>IF(J7=1,SUMIFS(Таблица2[Трудозатраты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K68" s="533">
        <f>IF(K7=1,SUMIFS(Таблица2[Трудозатраты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L68" s="533">
        <f>IF(L7=1,SUMIFS(Таблица2[Трудозатраты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M68" s="533">
        <f>IF(M7=1,SUMIFS(Таблица2[Трудозатраты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N68" s="533">
        <f>IF(N7=1,SUMIFS(Таблица2[Трудозатраты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O68" s="533">
        <f>IF(O7=1,SUMIFS(Таблица2[Трудозатраты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P68" s="533">
        <f>IF(P7=1,SUMIFS(Таблица2[Трудозатраты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Q68" s="533">
        <f>IF(Q7=1,SUMIFS(Таблица2[Трудозатраты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R68" s="533">
        <f>IF(R7=1,SUMIFS(Таблица2[Трудозатраты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S68" s="534">
        <f>IF(S7=1,SUMIFS(Таблица2[Трудозатраты    (чел/час)],Таблица2[Подразделение],"СЦ",Таблица2[Должность],"слесарь")*60/(SUMIF(Таблица5[Наименование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пломб",Таблица5[К-во])),0)</f>
        <v>4877.4193548387084</v>
      </c>
      <c r="T68" s="417"/>
      <c r="U68" s="426">
        <f t="shared" si="54"/>
        <v>2419.1999999999998</v>
      </c>
      <c r="X68" s="497"/>
    </row>
    <row r="69" spans="2:25" s="416" customFormat="1" x14ac:dyDescent="0.3">
      <c r="B69" s="654" t="s">
        <v>481</v>
      </c>
      <c r="C69" s="655"/>
      <c r="D69" s="454" t="s">
        <v>503</v>
      </c>
      <c r="E69" s="535">
        <f>IF(AND(E7=1,F7+G7+H7+I7+J7+K7+L7+M7+N7+O7+P7+Q7+R7+S7=0),SUMIFS(Таблица2[Трудозатраты    (чел/час)],Таблица2[Подразделение],"СЦ",Таблица2[Должность],"ремонтник")*60/SUMIF(Таблица5[Наименование операции],"Юстировка",Таблица5[К-во]),0)</f>
        <v>0</v>
      </c>
      <c r="F69" s="514">
        <f>IF(F7=1,SUMIFS(Таблица2[Трудозатраты    (чел/час)],Таблица2[Подразделение],"СЦ",Таблица2[Должность],"ремонтник")*60/(SUMIF(Таблица5[Наименование операции],"Юстировка",Таблица5[К-во])),0)</f>
        <v>99801.980198019795</v>
      </c>
      <c r="G69" s="515">
        <f>IF(G7=1,SUMIFS(Таблица2[Трудозатраты    (чел/час)],Таблица2[Подразделение],"СЦ",Таблица2[Должность],"ремонтник")*60/(SUMIF(Таблица5[Наименование операции],"Юстировка",Таблица5[К-во])),0)</f>
        <v>99801.980198019795</v>
      </c>
      <c r="H69" s="515">
        <f>IF(H7=1,SUMIFS(Таблица2[Трудозатраты    (чел/час)],Таблица2[Подразделение],"СЦ",Таблица2[Должность],"ремонтник")*60/(SUMIF(Таблица5[Наименование операции],"Юстировка",Таблица5[К-во])),0)</f>
        <v>99801.980198019795</v>
      </c>
      <c r="I69" s="516">
        <f>IF(I7=1,SUMIFS(Таблица2[Трудозатраты    (чел/час)],Таблица2[Подразделение],"СЦ",Таблица2[Должность],"ремонтник")*60/(SUMIF(Таблица5[Наименование операции],"Юстировка",Таблица5[К-во])),0)</f>
        <v>99801.980198019795</v>
      </c>
      <c r="J69" s="532">
        <f>IF(J7=1,SUMIFS(Таблица2[Трудозатраты    (чел/час)],Таблица2[Подразделение],"СЦ",Таблица2[Должность],"ремонтник")*60/(SUMIF(Таблица5[Наименование операции]," - замена платы",Таблица5[К-во])+SUMIF(Таблица5[Наименование операции],"Юстировка",Таблица5[К-во])),0)</f>
        <v>23717.647058823528</v>
      </c>
      <c r="K69" s="533">
        <f>IF(K7=1,SUMIFS(Таблица2[Трудозатраты    (чел/час)],Таблица2[Подразделение],"СЦ",Таблица2[Должность],"ремонтник")*60/(SUMIF(Таблица5[Наименование операции]," - замена DA1",Таблица5[К-во])+SUMIF(Таблица5[Наименование операции],"Юстировка",Таблица5[К-во])),0)</f>
        <v>37894.73684210526</v>
      </c>
      <c r="L69" s="533">
        <f>IF(L7=1,SUMIFS(Таблица2[Трудозатраты    (чел/час)],Таблица2[Подразделение],"СЦ",Таблица2[Должность],"ремонтник")*60/(SUMIF(Таблица5[Наименование операции]," - замена C19",Таблица5[К-во])+SUMIF(Таблица5[Наименование операции],"Юстировка",Таблица5[К-во])),0)</f>
        <v>56629.213483146064</v>
      </c>
      <c r="M69" s="533">
        <f>IF(M7=1,SUMIFS(Таблица2[Трудозатраты    (чел/час)],Таблица2[Подразделение],"СЦ",Таблица2[Должность],"ремонтник")*60/(SUMIF(Таблица5[Наименование операции]," - замена CM",Таблица5[К-во])+SUMIF(Таблица5[Наименование операции],"Юстировка",Таблица5[К-во])),0)</f>
        <v>42531.645569620254</v>
      </c>
      <c r="N69" s="533">
        <f>IF(N7=1,SUMIFS(Таблица2[Трудозатраты    (чел/час)],Таблица2[Подразделение],"СЦ",Таблица2[Должность],"ремонтник")*60/(SUMIF(Таблица5[Наименование операции]," - замена HL1",Таблица5[К-во])+SUMIF(Таблица5[Наименование операции],"Юстировка",Таблица5[К-во])),0)</f>
        <v>67651.006711409398</v>
      </c>
      <c r="O69" s="533">
        <f>IF(O7=1,SUMIFS(Таблица2[Трудозатраты    (чел/час)],Таблица2[Подразделение],"СЦ",Таблица2[Должность],"ремонтник")*60/(SUMIF(Таблица5[Наименование операции]," - замена HL2",Таблица5[К-во])+SUMIF(Таблица5[Наименование операции],"Юстировка",Таблица5[К-во])),0)</f>
        <v>67651.006711409398</v>
      </c>
      <c r="P69" s="533">
        <f>IF(P7=1,SUMIFS(Таблица2[Трудозатраты    (чел/час)],Таблица2[Подразделение],"СЦ",Таблица2[Должность],"ремонтник")*60/(SUMIF(Таблица5[Наименование операции]," - замена HL3",Таблица5[К-во])+SUMIF(Таблица5[Наименование операции],"Юстировка",Таблица5[К-во])),0)</f>
        <v>67651.006711409398</v>
      </c>
      <c r="Q69" s="533">
        <f>IF(Q7=1,SUMIFS(Таблица2[Трудозатраты    (чел/час)],Таблица2[Подразделение],"СЦ",Таблица2[Должность],"ремонтник")*60/(SUMIF(Таблица5[Наименование операции]," - замена VD5",Таблица5[К-во])+SUMIF(Таблица5[Наименование операции],"Юстировка",Таблица5[К-во])),0)</f>
        <v>46666.666666666664</v>
      </c>
      <c r="R69" s="533">
        <f>IF(R7=1,SUMIFS(Таблица2[Трудозатраты    (чел/час)],Таблица2[Подразделение],"СЦ",Таблица2[Должность],"ремонтник")*60/(SUMIF(Таблица5[Наименование операции]," - замена VT1",Таблица5[К-во])+SUMIF(Таблица5[Наименование операции],"Юстировка",Таблица5[К-во])),0)</f>
        <v>63000</v>
      </c>
      <c r="S69" s="534">
        <f>IF(S7=1,SUMIFS(Таблица2[Трудозатраты    (чел/час)],Таблица2[Подразделение],"СЦ",Таблица2[Должность],"ремонтник")*60/(SUMIF(Таблица5[Наименование операции]," - замена L1",Таблица5[К-во])+SUMIF(Таблица5[Наименование операции],"Юстировка",Таблица5[К-во])),0)</f>
        <v>64615.38461538461</v>
      </c>
      <c r="T69" s="417"/>
      <c r="U69" s="426">
        <f t="shared" si="54"/>
        <v>23717.647058823528</v>
      </c>
    </row>
    <row r="70" spans="2:25" s="213" customFormat="1" x14ac:dyDescent="0.3">
      <c r="B70" s="648" t="s">
        <v>36</v>
      </c>
      <c r="C70" s="649"/>
      <c r="D70" s="454" t="s">
        <v>503</v>
      </c>
      <c r="E70" s="536">
        <f>IF(AND(E7=1,F7+G7+H7+I7+J7+K7+L7+M7+N7+O7+P7+Q7+R7+S7=0),SUMIFS(Таблица2[Трудозатраты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0</v>
      </c>
      <c r="F70" s="517">
        <f>IF(F7=1,SUMIFS(Таблица2[Трудозатраты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G70" s="518">
        <f>IF(G7=1,SUMIFS(Таблица2[Трудозатраты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H70" s="518">
        <f>IF(H7=1,SUMIFS(Таблица2[Трудозатраты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I70" s="519">
        <f>IF(I7=1,SUMIFS(Таблица2[Трудозатраты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J70" s="529">
        <f>IF(J7=1,SUMIFS(Таблица2[Трудозатраты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K70" s="530">
        <f>IF(K7=1,SUMIFS(Таблица2[Трудозатраты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L70" s="530">
        <f>IF(L7=1,SUMIFS(Таблица2[Трудозатраты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M70" s="530">
        <f>IF(M7=1,SUMIFS(Таблица2[Трудозатраты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N70" s="530">
        <f>IF(N7=1,SUMIFS(Таблица2[Трудозатраты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O70" s="530">
        <f>IF(O7=1,SUMIFS(Таблица2[Трудозатраты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P70" s="530">
        <f>IF(P7=1,SUMIFS(Таблица2[Трудозатраты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Q70" s="530">
        <f>IF(Q7=1,SUMIFS(Таблица2[Трудозатраты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R70" s="530">
        <f>IF(R7=1,SUMIFS(Таблица2[Трудозатраты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S70" s="531">
        <f>IF(S7=1,SUMIFS(Таблица2[Трудозатраты    (чел/час)],Таблица2[Подразделение],"ЦОВ",Таблица2[Вид затрат],"Сст")*60/(SUMIF(Таблица5[Наименование операции],"Диагностика функциональности",Таблица5[К-во])*2+SUMIF(Таблица5[Наименование операции],"Поверка",Таблица5[К-во])+SUMIF(Таблица5[Наименование операции],"Пломбировка",Таблица5[К-во])),0)</f>
        <v>7425.4143646408847</v>
      </c>
      <c r="T70" s="413"/>
      <c r="U70" s="425">
        <f t="shared" si="54"/>
        <v>7425.4143646408847</v>
      </c>
      <c r="Y70" s="498"/>
    </row>
    <row r="71" spans="2:25" s="213" customFormat="1" x14ac:dyDescent="0.3">
      <c r="B71" s="648" t="s">
        <v>52</v>
      </c>
      <c r="C71" s="649"/>
      <c r="D71" s="454" t="s">
        <v>503</v>
      </c>
      <c r="E71" s="536">
        <f>IF(AND(E7=1,F7+G7+H7+I7+J7+K7+L7+M7+N7+O7+P7+Q7+R7+S7=0),SUMIFS(Таблица2[Трудозатраты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0</v>
      </c>
      <c r="F71" s="517">
        <f>IF(F7=1,SUMIFS(Таблица2[Трудозатраты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G71" s="518">
        <f>IF(G7=1,SUMIFS(Таблица2[Трудозатраты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H71" s="518">
        <f>IF(H7=1,SUMIFS(Таблица2[Трудозатраты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I71" s="519">
        <f>IF(I7=1,SUMIFS(Таблица2[Трудозатраты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J71" s="529">
        <f>IF(J7=1,SUMIFS(Таблица2[Трудозатраты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K71" s="530">
        <f>IF(K7=1,SUMIFS(Таблица2[Трудозатраты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L71" s="530">
        <f>IF(L7=1,SUMIFS(Таблица2[Трудозатраты    (чел/час)],Таблица2[Подразделение],"ДУ")*60/(Хронометраж!$J$32+Хронометраж!$J$33),0)</f>
        <v>17581.39534883721</v>
      </c>
      <c r="M71" s="530">
        <f>IF(M7=1,SUMIFS(Таблица2[Трудозатраты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N71" s="530">
        <f>IF(N7=1,SUMIFS(Таблица2[Трудозатраты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O71" s="530">
        <f>IF(O7=1,SUMIFS(Таблица2[Трудозатраты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P71" s="530">
        <f>IF(P7=1,SUMIFS(Таблица2[Трудозатраты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Q71" s="530">
        <f>IF(Q7=1,SUMIFS(Таблица2[Трудозатраты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R71" s="530">
        <f>IF(R7=1,SUMIFS(Таблица2[Трудозатраты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S71" s="531">
        <f>IF(S7=1,SUMIFS(Таблица2[Трудозатраты    (чел/час)],Таблица2[Подразделение],"ДУ")*60/(SUMIF(Таблица5[Наименование операции],"Установка клемной крышки",Таблица5[К-во])+SUMIF(Таблица5[Наименование операции],"Упаковка",Таблица5[К-во])),0)</f>
        <v>17581.39534883721</v>
      </c>
      <c r="T71" s="413"/>
      <c r="U71" s="425">
        <f t="shared" si="54"/>
        <v>17581.39534883721</v>
      </c>
    </row>
    <row r="72" spans="2:25" s="213" customFormat="1" ht="13.8" x14ac:dyDescent="0.3">
      <c r="B72" s="648" t="s">
        <v>484</v>
      </c>
      <c r="C72" s="649"/>
      <c r="D72" s="455" t="s">
        <v>504</v>
      </c>
      <c r="E72" s="400">
        <f>IF(AND(E7=1,F7+G7+H7+I7+J7+K7+L7+M7+N7+O7+P7+Q7+R7+S7=0),'ОПР распределение'!$F$24,0)</f>
        <v>0</v>
      </c>
      <c r="F72" s="407">
        <f>IF(F7=1,'ОПР распределение'!$F$24,0)</f>
        <v>939757.35961111099</v>
      </c>
      <c r="G72" s="398">
        <f>IF(G7=1,'ОПР распределение'!$F$24,0)</f>
        <v>939757.35961111099</v>
      </c>
      <c r="H72" s="398">
        <f>IF(H7=1,'ОПР распределение'!$F$24,0)</f>
        <v>939757.35961111099</v>
      </c>
      <c r="I72" s="408">
        <f>IF(I7=1,'ОПР распределение'!$F$24,0)</f>
        <v>939757.35961111099</v>
      </c>
      <c r="J72" s="520">
        <f>IF(J7=1,'ОПР распределение'!$F$24,0)</f>
        <v>939757.35961111099</v>
      </c>
      <c r="K72" s="521">
        <f>IF(K7=1,'ОПР распределение'!$F$24,0)</f>
        <v>939757.35961111099</v>
      </c>
      <c r="L72" s="521">
        <f>IF(L7=1,'ОПР распределение'!$F$24,0)</f>
        <v>939757.35961111099</v>
      </c>
      <c r="M72" s="521">
        <f>IF(M7=1,'ОПР распределение'!$F$24,0)</f>
        <v>939757.35961111099</v>
      </c>
      <c r="N72" s="521">
        <f>IF(N7=1,'ОПР распределение'!$F$24,0)</f>
        <v>939757.35961111099</v>
      </c>
      <c r="O72" s="521">
        <f>IF(O7=1,'ОПР распределение'!$F$24,0)</f>
        <v>939757.35961111099</v>
      </c>
      <c r="P72" s="521">
        <f>IF(P7=1,'ОПР распределение'!$F$24,0)</f>
        <v>939757.35961111099</v>
      </c>
      <c r="Q72" s="521">
        <f>IF(Q7=1,'ОПР распределение'!$F$24,0)</f>
        <v>939757.35961111099</v>
      </c>
      <c r="R72" s="521">
        <f>IF(R7=1,'ОПР распределение'!$F$24,0)</f>
        <v>939757.35961111099</v>
      </c>
      <c r="S72" s="522">
        <f>IF(S7=1,'ОПР распределение'!$F$24,0)</f>
        <v>939757.35961111099</v>
      </c>
      <c r="T72" s="414">
        <f>IF(T7=1,'ОПР распределение'!$F$24,0)</f>
        <v>939757.35961111099</v>
      </c>
      <c r="U72" s="427">
        <f>IF(U65&gt;0,'ОПР распределение'!F24,0)</f>
        <v>939757.35961111099</v>
      </c>
    </row>
    <row r="73" spans="2:25" ht="14.4" thickBot="1" x14ac:dyDescent="0.35">
      <c r="B73" s="650" t="s">
        <v>485</v>
      </c>
      <c r="C73" s="651"/>
      <c r="D73" s="456" t="s">
        <v>505</v>
      </c>
      <c r="E73" s="401">
        <f>IF(AND(E7=1,F7+G7+H7+I7+J7+K7+L7+M7+N7+O7+P7+Q7+R7+S7=0),E72/E65,0)</f>
        <v>0</v>
      </c>
      <c r="F73" s="409">
        <f t="shared" ref="F73:S73" si="55">IF(F7=1,F72/F65,0)</f>
        <v>206.6596045441101</v>
      </c>
      <c r="G73" s="410">
        <f t="shared" si="55"/>
        <v>257.9360477768592</v>
      </c>
      <c r="H73" s="410">
        <f t="shared" si="55"/>
        <v>388.4579032784024</v>
      </c>
      <c r="I73" s="411">
        <f t="shared" si="55"/>
        <v>266.01597216504996</v>
      </c>
      <c r="J73" s="523">
        <f t="shared" si="55"/>
        <v>192.67512002608763</v>
      </c>
      <c r="K73" s="524">
        <f t="shared" si="55"/>
        <v>192.67512002608763</v>
      </c>
      <c r="L73" s="524">
        <f t="shared" si="55"/>
        <v>192.67512002608763</v>
      </c>
      <c r="M73" s="524">
        <f t="shared" si="55"/>
        <v>192.67512002608763</v>
      </c>
      <c r="N73" s="524">
        <f t="shared" si="55"/>
        <v>192.67512002608763</v>
      </c>
      <c r="O73" s="524">
        <f t="shared" si="55"/>
        <v>192.67512002608763</v>
      </c>
      <c r="P73" s="524">
        <f t="shared" si="55"/>
        <v>192.67512002608763</v>
      </c>
      <c r="Q73" s="524">
        <f t="shared" si="55"/>
        <v>192.67512002608763</v>
      </c>
      <c r="R73" s="524">
        <f t="shared" si="55"/>
        <v>192.67512002608763</v>
      </c>
      <c r="S73" s="525">
        <f t="shared" si="55"/>
        <v>192.67512002608763</v>
      </c>
      <c r="T73" s="412"/>
      <c r="U73" s="428">
        <f>IF(U65&gt;0,U72/U65,0)</f>
        <v>388.4579032784024</v>
      </c>
    </row>
  </sheetData>
  <mergeCells count="64">
    <mergeCell ref="B70:C70"/>
    <mergeCell ref="B71:C71"/>
    <mergeCell ref="B72:C72"/>
    <mergeCell ref="B73:C73"/>
    <mergeCell ref="B65:C65"/>
    <mergeCell ref="B66:C66"/>
    <mergeCell ref="B67:C67"/>
    <mergeCell ref="B68:C68"/>
    <mergeCell ref="B69:C69"/>
    <mergeCell ref="B56:C56"/>
    <mergeCell ref="B57:C57"/>
    <mergeCell ref="B49:U49"/>
    <mergeCell ref="B6:C6"/>
    <mergeCell ref="Q6:S6"/>
    <mergeCell ref="C29:D29"/>
    <mergeCell ref="C30:D30"/>
    <mergeCell ref="C31:D31"/>
    <mergeCell ref="C32:D32"/>
    <mergeCell ref="C33:D33"/>
    <mergeCell ref="B48:D48"/>
    <mergeCell ref="C25:D25"/>
    <mergeCell ref="C26:D26"/>
    <mergeCell ref="C27:D27"/>
    <mergeCell ref="C28:D28"/>
    <mergeCell ref="C23:D23"/>
    <mergeCell ref="B4:U4"/>
    <mergeCell ref="B5:U5"/>
    <mergeCell ref="B11:U11"/>
    <mergeCell ref="C21:D21"/>
    <mergeCell ref="C22:D22"/>
    <mergeCell ref="C24:D24"/>
    <mergeCell ref="V9:V10"/>
    <mergeCell ref="B9:B10"/>
    <mergeCell ref="E9:E10"/>
    <mergeCell ref="F9:I9"/>
    <mergeCell ref="J9:U9"/>
    <mergeCell ref="B64:C64"/>
    <mergeCell ref="E64:S64"/>
    <mergeCell ref="B61:U61"/>
    <mergeCell ref="B62:U62"/>
    <mergeCell ref="B7:D7"/>
    <mergeCell ref="B8:D8"/>
    <mergeCell ref="C9:D1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34:D34"/>
    <mergeCell ref="C35:D35"/>
    <mergeCell ref="C36:D36"/>
    <mergeCell ref="C37:D37"/>
    <mergeCell ref="C38:D38"/>
    <mergeCell ref="B46:D46"/>
    <mergeCell ref="B47:D47"/>
    <mergeCell ref="C39:D39"/>
    <mergeCell ref="C40:D40"/>
    <mergeCell ref="C41:D41"/>
    <mergeCell ref="C42:D42"/>
    <mergeCell ref="B45:D45"/>
  </mergeCells>
  <conditionalFormatting sqref="F10:T10">
    <cfRule type="expression" dxfId="98" priority="43">
      <formula>F$7=1</formula>
    </cfRule>
  </conditionalFormatting>
  <conditionalFormatting sqref="F50:I56 F12:I47">
    <cfRule type="expression" dxfId="97" priority="42">
      <formula>F$7=0</formula>
    </cfRule>
  </conditionalFormatting>
  <conditionalFormatting sqref="J50:T56 J12:T47">
    <cfRule type="expression" dxfId="96" priority="41">
      <formula>J$7=0</formula>
    </cfRule>
  </conditionalFormatting>
  <conditionalFormatting sqref="E12:E47 E50:E56">
    <cfRule type="expression" dxfId="95" priority="40">
      <formula>OR($E$7=0,$F$7=1,$G$7=1,$I$7=1,$J$7=1,$K$7=1,$L$7=1,$N$7=1,$O$7=1,$P$7=1,$Q$7=1,$R$7=1,$S$7=1,$T$7=1)</formula>
    </cfRule>
  </conditionalFormatting>
  <conditionalFormatting sqref="U12:U47">
    <cfRule type="expression" dxfId="94" priority="38">
      <formula>AND($E$7=0,$F$7=0,$G$7=0,$I$7=0,$J$7=0,$K$7=0,$L$7=0,$N$7=0,$O$7=0,$P$7=0,$Q$7=0,$R$7=0,$S$7=0,$T$7=0,$H$7=0,$M$7=0)</formula>
    </cfRule>
  </conditionalFormatting>
  <conditionalFormatting sqref="B23:C23 U23">
    <cfRule type="expression" dxfId="93" priority="14">
      <formula>OR($F$7=1,$G$7=1,$I$7=1,$H$7=1)</formula>
    </cfRule>
  </conditionalFormatting>
  <conditionalFormatting sqref="B26:C26 U26">
    <cfRule type="expression" dxfId="92" priority="37">
      <formula>$U$26&gt;0</formula>
    </cfRule>
  </conditionalFormatting>
  <conditionalFormatting sqref="J26:S26">
    <cfRule type="expression" dxfId="91" priority="35">
      <formula>J$7=1</formula>
    </cfRule>
  </conditionalFormatting>
  <conditionalFormatting sqref="F23:I23">
    <cfRule type="expression" dxfId="90" priority="24">
      <formula>F$7=1</formula>
    </cfRule>
  </conditionalFormatting>
  <conditionalFormatting sqref="F56:I56">
    <cfRule type="expression" dxfId="89" priority="23">
      <formula>F$7=0</formula>
    </cfRule>
  </conditionalFormatting>
  <conditionalFormatting sqref="J56:T56">
    <cfRule type="expression" dxfId="88" priority="22">
      <formula>J$7=0</formula>
    </cfRule>
  </conditionalFormatting>
  <conditionalFormatting sqref="E56">
    <cfRule type="expression" dxfId="87" priority="21">
      <formula>OR($E$7=0,$F$7=1,$G$7=1,$I$7=1,$J$7=1,$K$7=1,$L$7=1,$N$7=1,$O$7=1,$P$7=1,$Q$7=1,$R$7=1,$S$7=1,$T$7=1)</formula>
    </cfRule>
  </conditionalFormatting>
  <conditionalFormatting sqref="E57">
    <cfRule type="expression" dxfId="86" priority="13">
      <formula>OR($E$7=0,$F$7=1,$G$7=1,$I$7=1,$J$7=1,$K$7=1,$L$7=1,$N$7=1,$O$7=1,$P$7=1,$Q$7=1,$R$7=1,$S$7=1,$T$7=1)</formula>
    </cfRule>
    <cfRule type="expression" dxfId="85" priority="19">
      <formula>E$7&gt;0</formula>
    </cfRule>
  </conditionalFormatting>
  <conditionalFormatting sqref="F57">
    <cfRule type="expression" dxfId="84" priority="16">
      <formula>F$7&gt;0</formula>
    </cfRule>
  </conditionalFormatting>
  <conditionalFormatting sqref="G57:T57">
    <cfRule type="expression" dxfId="83" priority="15">
      <formula>G$7&gt;0</formula>
    </cfRule>
  </conditionalFormatting>
  <conditionalFormatting sqref="U50:U55">
    <cfRule type="expression" dxfId="82" priority="39">
      <formula>AND($E$7=0,$F$7=0,$G$7=0,$I$7=0,$J$7=0,$K$7=0,$L$7=0,$N$7=0,$O$7=0,$P$7=0,$Q$7=0,$R$7=0,$S$7=0,$T$7=0,$H$7=0,$M$7=0)</formula>
    </cfRule>
  </conditionalFormatting>
  <conditionalFormatting sqref="F65:S65">
    <cfRule type="cellIs" dxfId="81" priority="6" operator="equal">
      <formula>$U65</formula>
    </cfRule>
  </conditionalFormatting>
  <conditionalFormatting sqref="U56">
    <cfRule type="expression" dxfId="80" priority="5">
      <formula>AND($E$7=0,$F$7=0,$G$7=0,$I$7=0,$J$7=0,$K$7=0,$L$7=0,$N$7=0,$O$7=0,$P$7=0,$Q$7=0,$R$7=0,$S$7=0,$T$7=0,$H$7=0,$M$7=0)</formula>
    </cfRule>
  </conditionalFormatting>
  <conditionalFormatting sqref="F48:I48">
    <cfRule type="expression" dxfId="79" priority="4">
      <formula>F$7=0</formula>
    </cfRule>
  </conditionalFormatting>
  <conditionalFormatting sqref="J48:T48">
    <cfRule type="expression" dxfId="78" priority="3">
      <formula>J$7=0</formula>
    </cfRule>
  </conditionalFormatting>
  <conditionalFormatting sqref="E48">
    <cfRule type="expression" dxfId="77" priority="2">
      <formula>OR($E$7=0,$F$7=1,$G$7=1,$I$7=1,$J$7=1,$K$7=1,$L$7=1,$N$7=1,$O$7=1,$P$7=1,$Q$7=1,$R$7=1,$S$7=1,$T$7=1)</formula>
    </cfRule>
  </conditionalFormatting>
  <conditionalFormatting sqref="U48">
    <cfRule type="expression" dxfId="76" priority="1">
      <formula>AND($E$7=0,$F$7=0,$G$7=0,$I$7=0,$J$7=0,$K$7=0,$L$7=0,$N$7=0,$O$7=0,$P$7=0,$Q$7=0,$R$7=0,$S$7=0,$T$7=0,$H$7=0,$M$7=0)</formula>
    </cfRule>
  </conditionalFormatting>
  <dataValidations count="3">
    <dataValidation type="list" allowBlank="1" showInputMessage="1" showErrorMessage="1" sqref="T8 F7:T7 E7" xr:uid="{00000000-0002-0000-0000-000000000000}">
      <formula1>"1,0"</formula1>
    </dataValidation>
    <dataValidation type="list" allowBlank="1" showInputMessage="1" showErrorMessage="1" sqref="Z18" xr:uid="{00000000-0002-0000-0000-000001000000}">
      <formula1>"↓"</formula1>
    </dataValidation>
    <dataValidation type="list" allowBlank="1" showInputMessage="1" showErrorMessage="1" sqref="I8" xr:uid="{00000000-0002-0000-0000-000002000000}">
      <formula1>"1,2,3,4,5,6,7,8"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Спецификация!$C$4:$H$4</xm:f>
          </x14:formula1>
          <xm:sqref>E6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2"/>
  <sheetViews>
    <sheetView workbookViewId="0">
      <selection activeCell="F3" sqref="F1:F1048576"/>
    </sheetView>
  </sheetViews>
  <sheetFormatPr defaultColWidth="9.109375" defaultRowHeight="13.8" x14ac:dyDescent="0.3"/>
  <cols>
    <col min="1" max="1" width="7.44140625" style="3" customWidth="1"/>
    <col min="2" max="2" width="16.109375" style="3" customWidth="1"/>
    <col min="3" max="3" width="27.5546875" style="3" customWidth="1"/>
    <col min="4" max="5" width="11.6640625" style="2" customWidth="1"/>
    <col min="6" max="6" width="11.6640625" style="255" hidden="1" customWidth="1"/>
    <col min="7" max="7" width="11.6640625" style="255" customWidth="1"/>
    <col min="8" max="8" width="11.6640625" style="311" customWidth="1"/>
    <col min="9" max="9" width="11.6640625" style="255" customWidth="1"/>
    <col min="10" max="10" width="11.6640625" style="311" customWidth="1"/>
    <col min="11" max="11" width="13.88671875" style="3" customWidth="1"/>
    <col min="12" max="12" width="14" style="304" customWidth="1"/>
    <col min="13" max="13" width="9.109375" style="3"/>
    <col min="14" max="17" width="0" style="3" hidden="1" customWidth="1"/>
    <col min="18" max="16384" width="9.109375" style="3"/>
  </cols>
  <sheetData>
    <row r="1" spans="1:15" ht="36" customHeight="1" x14ac:dyDescent="0.3">
      <c r="A1" s="712" t="s">
        <v>379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5" ht="22.5" customHeight="1" x14ac:dyDescent="0.3">
      <c r="A2" s="713" t="s">
        <v>380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5" x14ac:dyDescent="0.3">
      <c r="B3" s="3" t="s">
        <v>348</v>
      </c>
      <c r="C3" s="254">
        <v>0.18</v>
      </c>
      <c r="G3" s="711" t="s">
        <v>360</v>
      </c>
      <c r="H3" s="711"/>
      <c r="I3" s="711"/>
      <c r="J3" s="311">
        <v>21</v>
      </c>
    </row>
    <row r="4" spans="1:15" x14ac:dyDescent="0.3">
      <c r="B4" s="3" t="s">
        <v>349</v>
      </c>
      <c r="C4" s="254">
        <v>0.22</v>
      </c>
      <c r="G4" s="711" t="s">
        <v>361</v>
      </c>
      <c r="H4" s="711"/>
      <c r="I4" s="711"/>
      <c r="J4" s="311">
        <v>8</v>
      </c>
    </row>
    <row r="5" spans="1:15" x14ac:dyDescent="0.3">
      <c r="B5" s="3" t="s">
        <v>350</v>
      </c>
      <c r="C5" s="254">
        <v>0.02</v>
      </c>
    </row>
    <row r="6" spans="1:15" ht="14.4" thickBot="1" x14ac:dyDescent="0.35">
      <c r="B6" s="3" t="s">
        <v>343</v>
      </c>
      <c r="C6" s="255">
        <v>4500</v>
      </c>
    </row>
    <row r="7" spans="1:15" s="235" customFormat="1" ht="42" thickBot="1" x14ac:dyDescent="0.35">
      <c r="A7" s="313" t="s">
        <v>31</v>
      </c>
      <c r="B7" s="313" t="s">
        <v>340</v>
      </c>
      <c r="C7" s="313" t="s">
        <v>341</v>
      </c>
      <c r="D7" s="313" t="s">
        <v>342</v>
      </c>
      <c r="E7" s="313" t="s">
        <v>381</v>
      </c>
      <c r="F7" s="314" t="s">
        <v>382</v>
      </c>
      <c r="G7" s="314" t="s">
        <v>383</v>
      </c>
      <c r="H7" s="315" t="s">
        <v>384</v>
      </c>
      <c r="I7" s="314" t="s">
        <v>385</v>
      </c>
      <c r="J7" s="315" t="s">
        <v>386</v>
      </c>
      <c r="K7" s="314" t="s">
        <v>362</v>
      </c>
      <c r="L7" s="314" t="s">
        <v>468</v>
      </c>
    </row>
    <row r="8" spans="1:15" s="256" customFormat="1" x14ac:dyDescent="0.3">
      <c r="A8" s="256" t="s">
        <v>31</v>
      </c>
      <c r="B8" s="257" t="s">
        <v>340</v>
      </c>
      <c r="C8" s="256" t="s">
        <v>341</v>
      </c>
      <c r="D8" s="257" t="s">
        <v>342</v>
      </c>
      <c r="E8" s="257" t="s">
        <v>11</v>
      </c>
      <c r="F8" s="258" t="s">
        <v>343</v>
      </c>
      <c r="G8" s="258" t="s">
        <v>344</v>
      </c>
      <c r="H8" s="312" t="s">
        <v>345</v>
      </c>
      <c r="I8" s="258" t="s">
        <v>346</v>
      </c>
      <c r="J8" s="312" t="s">
        <v>347</v>
      </c>
      <c r="K8" s="258" t="s">
        <v>362</v>
      </c>
      <c r="L8" s="258" t="s">
        <v>468</v>
      </c>
    </row>
    <row r="9" spans="1:15" x14ac:dyDescent="0.3">
      <c r="B9" s="2" t="s">
        <v>351</v>
      </c>
      <c r="C9" s="3" t="s">
        <v>352</v>
      </c>
      <c r="D9" s="2" t="s">
        <v>356</v>
      </c>
      <c r="E9" s="2">
        <v>1</v>
      </c>
      <c r="F9" s="255">
        <f t="shared" ref="F9:F18" si="0">$C$6</f>
        <v>4500</v>
      </c>
      <c r="G9" s="255">
        <f>15000-F9</f>
        <v>10500</v>
      </c>
      <c r="H9" s="311">
        <f t="shared" ref="H9:H33" si="1">SUM(F9:G9)</f>
        <v>15000</v>
      </c>
      <c r="I9" s="255">
        <f>H9*($C$3+$C$4+$C$5)</f>
        <v>6300.0000000000009</v>
      </c>
      <c r="J9" s="311">
        <f>(H9+I9)*Таблица2[[#This Row],[К-во]]</f>
        <v>21300</v>
      </c>
      <c r="K9" s="259">
        <f>IF(Таблица2[[#This Row],[К-во]]&gt;0,(Таблица2[[#This Row],[Всего]]/($J$3*$J$4*60)),0)</f>
        <v>2.1130952380952381</v>
      </c>
      <c r="L9" s="304">
        <f>Таблица2[[#This Row],[К-во]]*$J$3*$J$4</f>
        <v>168</v>
      </c>
      <c r="N9" s="580">
        <f>Таблица2[[#This Row],[Всего]]/$J$3/$J$4/60</f>
        <v>2.1130952380952381</v>
      </c>
      <c r="O9" s="580">
        <f>Таблица2[[#This Row],[Всего]]/$J$3</f>
        <v>1014.2857142857143</v>
      </c>
    </row>
    <row r="10" spans="1:15" x14ac:dyDescent="0.3">
      <c r="B10" s="2" t="s">
        <v>351</v>
      </c>
      <c r="C10" s="3" t="s">
        <v>353</v>
      </c>
      <c r="D10" s="2" t="s">
        <v>358</v>
      </c>
      <c r="E10" s="2">
        <v>1</v>
      </c>
      <c r="F10" s="255">
        <f t="shared" si="0"/>
        <v>4500</v>
      </c>
      <c r="G10" s="255">
        <f>11000-F10</f>
        <v>6500</v>
      </c>
      <c r="H10" s="311">
        <f t="shared" si="1"/>
        <v>11000</v>
      </c>
      <c r="I10" s="578">
        <f t="shared" ref="I10:I33" si="2">H10*($C$3+$C$4+$C$5)</f>
        <v>4620</v>
      </c>
      <c r="J10" s="311">
        <f>(H10+I10)*Таблица2[[#This Row],[К-во]]</f>
        <v>15620</v>
      </c>
      <c r="K10" s="259">
        <f>IF(Таблица2[[#This Row],[К-во]]&gt;0,(Таблица2[[#This Row],[Всего]]/($J$3*$J$4*60)),0)</f>
        <v>1.5496031746031746</v>
      </c>
      <c r="L10" s="304">
        <f>Таблица2[[#This Row],[К-во]]*$J$3*$J$4</f>
        <v>168</v>
      </c>
      <c r="N10" s="580">
        <f>Таблица2[[#This Row],[Всего]]/$J$3/$J$4/60</f>
        <v>1.5496031746031746</v>
      </c>
      <c r="O10" s="580">
        <f>Таблица2[[#This Row],[Всего]]/$J$3</f>
        <v>743.80952380952385</v>
      </c>
    </row>
    <row r="11" spans="1:15" x14ac:dyDescent="0.3">
      <c r="B11" s="2" t="s">
        <v>351</v>
      </c>
      <c r="C11" s="3" t="s">
        <v>354</v>
      </c>
      <c r="D11" s="2" t="s">
        <v>358</v>
      </c>
      <c r="E11" s="2">
        <v>1</v>
      </c>
      <c r="F11" s="255">
        <f t="shared" si="0"/>
        <v>4500</v>
      </c>
      <c r="G11" s="255">
        <f>11000-F11</f>
        <v>6500</v>
      </c>
      <c r="H11" s="311">
        <f t="shared" si="1"/>
        <v>11000</v>
      </c>
      <c r="I11" s="578">
        <f t="shared" si="2"/>
        <v>4620</v>
      </c>
      <c r="J11" s="311">
        <f>(H11+I11)*Таблица2[[#This Row],[К-во]]</f>
        <v>15620</v>
      </c>
      <c r="K11" s="259">
        <f>IF(Таблица2[[#This Row],[К-во]]&gt;0,(Таблица2[[#This Row],[Всего]]/($J$3*$J$4*60)),0)</f>
        <v>1.5496031746031746</v>
      </c>
      <c r="L11" s="304">
        <f>Таблица2[[#This Row],[К-во]]*$J$3*$J$4</f>
        <v>168</v>
      </c>
      <c r="N11" s="580">
        <f>Таблица2[[#This Row],[Всего]]/$J$3/$J$4/60</f>
        <v>1.5496031746031746</v>
      </c>
      <c r="O11" s="580">
        <f>Таблица2[[#This Row],[Всего]]/$J$3</f>
        <v>743.80952380952385</v>
      </c>
    </row>
    <row r="12" spans="1:15" x14ac:dyDescent="0.3">
      <c r="B12" s="2" t="s">
        <v>351</v>
      </c>
      <c r="C12" s="3" t="s">
        <v>355</v>
      </c>
      <c r="D12" s="2" t="s">
        <v>358</v>
      </c>
      <c r="E12" s="2">
        <v>1</v>
      </c>
      <c r="F12" s="255">
        <f t="shared" si="0"/>
        <v>4500</v>
      </c>
      <c r="G12" s="255">
        <f>15000-F12</f>
        <v>10500</v>
      </c>
      <c r="H12" s="311">
        <f t="shared" si="1"/>
        <v>15000</v>
      </c>
      <c r="I12" s="578">
        <f t="shared" si="2"/>
        <v>6300.0000000000009</v>
      </c>
      <c r="J12" s="311">
        <f>(H12+I12)*Таблица2[[#This Row],[К-во]]</f>
        <v>21300</v>
      </c>
      <c r="K12" s="259">
        <f>IF(Таблица2[[#This Row],[К-во]]&gt;0,(Таблица2[[#This Row],[Всего]]/($J$3*$J$4*60)),0)</f>
        <v>2.1130952380952381</v>
      </c>
      <c r="L12" s="304">
        <f>Таблица2[[#This Row],[К-во]]*$J$3*$J$4</f>
        <v>168</v>
      </c>
      <c r="N12" s="580">
        <f>Таблица2[[#This Row],[Всего]]/$J$3/$J$4/60</f>
        <v>2.1130952380952381</v>
      </c>
      <c r="O12" s="580">
        <f>Таблица2[[#This Row],[Всего]]/$J$3</f>
        <v>1014.2857142857143</v>
      </c>
    </row>
    <row r="13" spans="1:15" x14ac:dyDescent="0.3">
      <c r="B13" s="2" t="s">
        <v>351</v>
      </c>
      <c r="C13" s="3" t="s">
        <v>357</v>
      </c>
      <c r="D13" s="2" t="s">
        <v>358</v>
      </c>
      <c r="E13" s="2">
        <v>1</v>
      </c>
      <c r="F13" s="255">
        <f t="shared" si="0"/>
        <v>4500</v>
      </c>
      <c r="G13" s="255">
        <f>12000-F13</f>
        <v>7500</v>
      </c>
      <c r="H13" s="311">
        <f t="shared" si="1"/>
        <v>12000</v>
      </c>
      <c r="I13" s="578">
        <f t="shared" si="2"/>
        <v>5040.0000000000009</v>
      </c>
      <c r="J13" s="311">
        <f>(H13+I13)*Таблица2[[#This Row],[К-во]]</f>
        <v>17040</v>
      </c>
      <c r="K13" s="259">
        <f>IF(Таблица2[[#This Row],[К-во]]&gt;0,(Таблица2[[#This Row],[Всего]]/($J$3*$J$4*60)),0)</f>
        <v>1.6904761904761905</v>
      </c>
      <c r="L13" s="304">
        <f>Таблица2[[#This Row],[К-во]]*$J$3*$J$4</f>
        <v>168</v>
      </c>
      <c r="N13" s="580">
        <f>Таблица2[[#This Row],[Всего]]/$J$3/$J$4/60</f>
        <v>1.6904761904761905</v>
      </c>
      <c r="O13" s="580">
        <f>Таблица2[[#This Row],[Всего]]/$J$3</f>
        <v>811.42857142857144</v>
      </c>
    </row>
    <row r="14" spans="1:15" x14ac:dyDescent="0.3">
      <c r="B14" s="2" t="s">
        <v>363</v>
      </c>
      <c r="C14" s="3" t="s">
        <v>352</v>
      </c>
      <c r="D14" s="2" t="s">
        <v>356</v>
      </c>
      <c r="E14" s="2">
        <v>1</v>
      </c>
      <c r="F14" s="255">
        <f t="shared" si="0"/>
        <v>4500</v>
      </c>
      <c r="G14" s="255">
        <f>15000-F14</f>
        <v>10500</v>
      </c>
      <c r="H14" s="311">
        <f t="shared" si="1"/>
        <v>15000</v>
      </c>
      <c r="I14" s="578">
        <f t="shared" si="2"/>
        <v>6300.0000000000009</v>
      </c>
      <c r="J14" s="311">
        <f>(H14+I14)*Таблица2[[#This Row],[К-во]]</f>
        <v>21300</v>
      </c>
      <c r="K14" s="259">
        <f>IF(Таблица2[[#This Row],[К-во]]&gt;0,(Таблица2[[#This Row],[Всего]]/($J$3*$J$4*60)),0)</f>
        <v>2.1130952380952381</v>
      </c>
      <c r="L14" s="304">
        <f>Таблица2[[#This Row],[К-во]]*$J$3*$J$4</f>
        <v>168</v>
      </c>
      <c r="N14" s="580">
        <f>Таблица2[[#This Row],[Всего]]/$J$3/$J$4/60</f>
        <v>2.1130952380952381</v>
      </c>
      <c r="O14" s="580">
        <f>Таблица2[[#This Row],[Всего]]/$J$3</f>
        <v>1014.2857142857143</v>
      </c>
    </row>
    <row r="15" spans="1:15" x14ac:dyDescent="0.3">
      <c r="B15" s="2" t="s">
        <v>363</v>
      </c>
      <c r="C15" s="3" t="s">
        <v>364</v>
      </c>
      <c r="D15" s="2" t="s">
        <v>358</v>
      </c>
      <c r="E15" s="2">
        <v>2</v>
      </c>
      <c r="F15" s="255">
        <f t="shared" si="0"/>
        <v>4500</v>
      </c>
      <c r="G15" s="255">
        <f>10000-F15</f>
        <v>5500</v>
      </c>
      <c r="H15" s="311">
        <f t="shared" si="1"/>
        <v>10000</v>
      </c>
      <c r="I15" s="578">
        <f t="shared" si="2"/>
        <v>4200</v>
      </c>
      <c r="J15" s="311">
        <f>(H15+I15)*Таблица2[[#This Row],[К-во]]</f>
        <v>28400</v>
      </c>
      <c r="K15" s="259">
        <f>IF(Таблица2[[#This Row],[К-во]]&gt;0,(Таблица2[[#This Row],[Всего]]/($J$3*$J$4*60)),0)</f>
        <v>2.8174603174603177</v>
      </c>
      <c r="L15" s="304">
        <f>Таблица2[[#This Row],[К-во]]*$J$3*$J$4</f>
        <v>336</v>
      </c>
      <c r="N15" s="580">
        <f>Таблица2[[#This Row],[Всего]]/$J$3/$J$4/60</f>
        <v>2.8174603174603172</v>
      </c>
      <c r="O15" s="580">
        <f>Таблица2[[#This Row],[Всего]]/$J$3</f>
        <v>1352.3809523809523</v>
      </c>
    </row>
    <row r="16" spans="1:15" x14ac:dyDescent="0.3">
      <c r="B16" s="2" t="s">
        <v>363</v>
      </c>
      <c r="C16" s="3" t="s">
        <v>365</v>
      </c>
      <c r="D16" s="2" t="s">
        <v>358</v>
      </c>
      <c r="E16" s="2">
        <v>3</v>
      </c>
      <c r="F16" s="255">
        <f t="shared" si="0"/>
        <v>4500</v>
      </c>
      <c r="G16" s="255">
        <f>12000-F16</f>
        <v>7500</v>
      </c>
      <c r="H16" s="311">
        <f t="shared" si="1"/>
        <v>12000</v>
      </c>
      <c r="I16" s="578">
        <f t="shared" si="2"/>
        <v>5040.0000000000009</v>
      </c>
      <c r="J16" s="311">
        <f>(H16+I16)*Таблица2[[#This Row],[К-во]]</f>
        <v>51120</v>
      </c>
      <c r="K16" s="259">
        <f>IF(Таблица2[[#This Row],[К-во]]&gt;0,(Таблица2[[#This Row],[Всего]]/($J$3*$J$4*60)),0)</f>
        <v>5.0714285714285712</v>
      </c>
      <c r="L16" s="304">
        <f>Таблица2[[#This Row],[К-во]]*$J$3*$J$4</f>
        <v>504</v>
      </c>
      <c r="N16" s="580">
        <f>Таблица2[[#This Row],[Всего]]/$J$3/$J$4/60</f>
        <v>5.0714285714285712</v>
      </c>
      <c r="O16" s="580">
        <f>Таблица2[[#This Row],[Всего]]/$J$3</f>
        <v>2434.2857142857142</v>
      </c>
    </row>
    <row r="17" spans="2:15" x14ac:dyDescent="0.3">
      <c r="B17" s="2" t="s">
        <v>363</v>
      </c>
      <c r="C17" s="3" t="s">
        <v>366</v>
      </c>
      <c r="D17" s="2" t="s">
        <v>358</v>
      </c>
      <c r="E17" s="2">
        <v>10</v>
      </c>
      <c r="F17" s="255">
        <f t="shared" si="0"/>
        <v>4500</v>
      </c>
      <c r="G17" s="255">
        <f>12000-F17</f>
        <v>7500</v>
      </c>
      <c r="H17" s="311">
        <f t="shared" si="1"/>
        <v>12000</v>
      </c>
      <c r="I17" s="578">
        <f t="shared" si="2"/>
        <v>5040.0000000000009</v>
      </c>
      <c r="J17" s="311">
        <f>(H17+I17)*Таблица2[[#This Row],[К-во]]</f>
        <v>170400</v>
      </c>
      <c r="K17" s="259">
        <f>IF(Таблица2[[#This Row],[К-во]]&gt;0,(Таблица2[[#This Row],[Всего]]/($J$3*$J$4*60)),0)</f>
        <v>16.904761904761905</v>
      </c>
      <c r="L17" s="304">
        <f>Таблица2[[#This Row],[К-во]]*$J$3*$J$4</f>
        <v>1680</v>
      </c>
      <c r="N17" s="580">
        <f>Таблица2[[#This Row],[Всего]]/$J$3/$J$4/60</f>
        <v>16.904761904761905</v>
      </c>
      <c r="O17" s="580">
        <f>Таблица2[[#This Row],[Всего]]/$J$3</f>
        <v>8114.2857142857147</v>
      </c>
    </row>
    <row r="18" spans="2:15" x14ac:dyDescent="0.3">
      <c r="B18" s="2" t="s">
        <v>363</v>
      </c>
      <c r="C18" s="3" t="s">
        <v>367</v>
      </c>
      <c r="D18" s="2" t="s">
        <v>356</v>
      </c>
      <c r="E18" s="2">
        <v>1</v>
      </c>
      <c r="F18" s="255">
        <f t="shared" si="0"/>
        <v>4500</v>
      </c>
      <c r="G18" s="255">
        <f>10000-F18</f>
        <v>5500</v>
      </c>
      <c r="H18" s="311">
        <f t="shared" si="1"/>
        <v>10000</v>
      </c>
      <c r="I18" s="578">
        <f t="shared" si="2"/>
        <v>4200</v>
      </c>
      <c r="J18" s="311">
        <f>(H18+I18)*Таблица2[[#This Row],[К-во]]</f>
        <v>14200</v>
      </c>
      <c r="K18" s="259">
        <f>IF(Таблица2[[#This Row],[К-во]]&gt;0,(Таблица2[[#This Row],[Всего]]/($J$3*$J$4*60)),0)</f>
        <v>1.4087301587301588</v>
      </c>
      <c r="L18" s="304">
        <f>Таблица2[[#This Row],[К-во]]*$J$3*$J$4</f>
        <v>168</v>
      </c>
    </row>
    <row r="19" spans="2:15" x14ac:dyDescent="0.3">
      <c r="B19" s="2" t="s">
        <v>371</v>
      </c>
      <c r="C19" s="3" t="s">
        <v>369</v>
      </c>
      <c r="D19" s="2" t="s">
        <v>358</v>
      </c>
      <c r="E19" s="2">
        <v>1</v>
      </c>
      <c r="F19" s="255">
        <f t="shared" ref="F19:F20" si="3">$C$6</f>
        <v>4500</v>
      </c>
      <c r="G19" s="255">
        <f>13000-F19</f>
        <v>8500</v>
      </c>
      <c r="H19" s="311">
        <f t="shared" si="1"/>
        <v>13000</v>
      </c>
      <c r="I19" s="578">
        <f t="shared" si="2"/>
        <v>5460.0000000000009</v>
      </c>
      <c r="J19" s="311">
        <f>(H19+I19)*Таблица2[[#This Row],[К-во]]</f>
        <v>18460</v>
      </c>
      <c r="K19" s="259">
        <f>IF(Таблица2[[#This Row],[К-во]]&gt;0,(Таблица2[[#This Row],[Всего]]/($J$3*$J$4*60)),0)</f>
        <v>1.8313492063492063</v>
      </c>
      <c r="L19" s="304">
        <f>Таблица2[[#This Row],[К-во]]*$J$3*$J$4</f>
        <v>168</v>
      </c>
    </row>
    <row r="20" spans="2:15" x14ac:dyDescent="0.3">
      <c r="B20" s="2" t="s">
        <v>371</v>
      </c>
      <c r="C20" s="3" t="s">
        <v>370</v>
      </c>
      <c r="D20" s="2" t="s">
        <v>358</v>
      </c>
      <c r="E20" s="2">
        <v>2</v>
      </c>
      <c r="F20" s="255">
        <f t="shared" si="3"/>
        <v>4500</v>
      </c>
      <c r="G20" s="255">
        <f>12000-F20</f>
        <v>7500</v>
      </c>
      <c r="H20" s="311">
        <f t="shared" si="1"/>
        <v>12000</v>
      </c>
      <c r="I20" s="578">
        <f t="shared" si="2"/>
        <v>5040.0000000000009</v>
      </c>
      <c r="J20" s="311">
        <f>(H20+I20)*Таблица2[[#This Row],[К-во]]</f>
        <v>34080</v>
      </c>
      <c r="K20" s="259">
        <f>IF(Таблица2[[#This Row],[К-во]]&gt;0,(Таблица2[[#This Row],[Всего]]/($J$3*$J$4*60)),0)</f>
        <v>3.3809523809523809</v>
      </c>
      <c r="L20" s="304">
        <f>Таблица2[[#This Row],[К-во]]*$J$3*$J$4</f>
        <v>336</v>
      </c>
    </row>
    <row r="21" spans="2:15" x14ac:dyDescent="0.3">
      <c r="B21" s="2" t="s">
        <v>363</v>
      </c>
      <c r="H21" s="311">
        <f t="shared" si="1"/>
        <v>0</v>
      </c>
      <c r="I21" s="578">
        <f t="shared" si="2"/>
        <v>0</v>
      </c>
      <c r="J21" s="311">
        <f>(H21+I21)*Таблица2[[#This Row],[К-во]]</f>
        <v>0</v>
      </c>
      <c r="K21" s="259">
        <f>IF(Таблица2[[#This Row],[К-во]]&gt;0,(Таблица2[[#This Row],[Всего]]/($J$3*$J$4*60)),0)</f>
        <v>0</v>
      </c>
      <c r="L21" s="304">
        <f>Таблица2[[#This Row],[К-во]]*$J$3*$J$4</f>
        <v>0</v>
      </c>
    </row>
    <row r="22" spans="2:15" x14ac:dyDescent="0.3">
      <c r="B22" s="2" t="s">
        <v>470</v>
      </c>
      <c r="H22" s="311">
        <f t="shared" si="1"/>
        <v>0</v>
      </c>
      <c r="I22" s="578">
        <f t="shared" si="2"/>
        <v>0</v>
      </c>
      <c r="J22" s="311">
        <f>(H22+I22)*Таблица2[[#This Row],[К-во]]</f>
        <v>0</v>
      </c>
      <c r="K22" s="259">
        <f>IF(Таблица2[[#This Row],[К-во]]&gt;0,(Таблица2[[#This Row],[Всего]]/($J$3*$J$4*60)),0)</f>
        <v>0</v>
      </c>
      <c r="L22" s="304">
        <f>Таблица2[[#This Row],[К-во]]*$J$3*$J$4</f>
        <v>0</v>
      </c>
    </row>
    <row r="23" spans="2:15" x14ac:dyDescent="0.3">
      <c r="B23" s="2"/>
      <c r="H23" s="311">
        <f t="shared" si="1"/>
        <v>0</v>
      </c>
      <c r="I23" s="578">
        <f t="shared" si="2"/>
        <v>0</v>
      </c>
      <c r="J23" s="311">
        <f>(H23+I23)*Таблица2[[#This Row],[К-во]]</f>
        <v>0</v>
      </c>
      <c r="K23" s="259">
        <f>IF(Таблица2[[#This Row],[К-во]]&gt;0,(Таблица2[[#This Row],[Всего]]/($J$3*$J$4*60)),0)</f>
        <v>0</v>
      </c>
      <c r="L23" s="304">
        <f>Таблица2[[#This Row],[К-во]]*$J$3*$J$4</f>
        <v>0</v>
      </c>
    </row>
    <row r="24" spans="2:15" x14ac:dyDescent="0.3">
      <c r="B24" s="2"/>
      <c r="H24" s="311">
        <f t="shared" si="1"/>
        <v>0</v>
      </c>
      <c r="I24" s="578">
        <f t="shared" si="2"/>
        <v>0</v>
      </c>
      <c r="J24" s="311">
        <f>(H24+I24)*Таблица2[[#This Row],[К-во]]</f>
        <v>0</v>
      </c>
      <c r="K24" s="259">
        <f>IF(Таблица2[[#This Row],[К-во]]&gt;0,(Таблица2[[#This Row],[Всего]]/($J$3*$J$4*60)),0)</f>
        <v>0</v>
      </c>
      <c r="L24" s="304">
        <f>Таблица2[[#This Row],[К-во]]*$J$3*$J$4</f>
        <v>0</v>
      </c>
    </row>
    <row r="25" spans="2:15" x14ac:dyDescent="0.3">
      <c r="B25" s="2"/>
      <c r="H25" s="311">
        <f t="shared" si="1"/>
        <v>0</v>
      </c>
      <c r="I25" s="578">
        <f t="shared" si="2"/>
        <v>0</v>
      </c>
      <c r="J25" s="311">
        <f>(H25+I25)*Таблица2[[#This Row],[К-во]]</f>
        <v>0</v>
      </c>
      <c r="K25" s="259">
        <f>IF(Таблица2[[#This Row],[К-во]]&gt;0,(Таблица2[[#This Row],[Всего]]/($J$3*$J$4*60)),0)</f>
        <v>0</v>
      </c>
      <c r="L25" s="304">
        <f>Таблица2[[#This Row],[К-во]]*$J$3*$J$4</f>
        <v>0</v>
      </c>
    </row>
    <row r="26" spans="2:15" x14ac:dyDescent="0.3">
      <c r="B26" s="2"/>
      <c r="H26" s="311">
        <f t="shared" si="1"/>
        <v>0</v>
      </c>
      <c r="I26" s="578">
        <f t="shared" si="2"/>
        <v>0</v>
      </c>
      <c r="J26" s="311">
        <f>(H26+I26)*Таблица2[[#This Row],[К-во]]</f>
        <v>0</v>
      </c>
      <c r="K26" s="259">
        <f>IF(Таблица2[[#This Row],[К-во]]&gt;0,(Таблица2[[#This Row],[Всего]]/($J$3*$J$4*60)),0)</f>
        <v>0</v>
      </c>
      <c r="L26" s="304">
        <f>Таблица2[[#This Row],[К-во]]*$J$3*$J$4</f>
        <v>0</v>
      </c>
    </row>
    <row r="27" spans="2:15" x14ac:dyDescent="0.3">
      <c r="B27" s="2"/>
      <c r="H27" s="311">
        <f t="shared" si="1"/>
        <v>0</v>
      </c>
      <c r="I27" s="578">
        <f t="shared" si="2"/>
        <v>0</v>
      </c>
      <c r="J27" s="311">
        <f>(H27+I27)*Таблица2[[#This Row],[К-во]]</f>
        <v>0</v>
      </c>
      <c r="K27" s="259">
        <f>IF(Таблица2[[#This Row],[К-во]]&gt;0,(Таблица2[[#This Row],[Всего]]/($J$3*$J$4*60)),0)</f>
        <v>0</v>
      </c>
      <c r="L27" s="304">
        <f>Таблица2[[#This Row],[К-во]]*$J$3*$J$4</f>
        <v>0</v>
      </c>
    </row>
    <row r="28" spans="2:15" x14ac:dyDescent="0.3">
      <c r="B28" s="2"/>
      <c r="H28" s="311">
        <f t="shared" si="1"/>
        <v>0</v>
      </c>
      <c r="I28" s="578">
        <f t="shared" si="2"/>
        <v>0</v>
      </c>
      <c r="J28" s="311">
        <f>(H28+I28)*Таблица2[[#This Row],[К-во]]</f>
        <v>0</v>
      </c>
      <c r="K28" s="259">
        <f>IF(Таблица2[[#This Row],[К-во]]&gt;0,(Таблица2[[#This Row],[Всего]]/($J$3*$J$4*60)),0)</f>
        <v>0</v>
      </c>
      <c r="L28" s="304">
        <f>Таблица2[[#This Row],[К-во]]*$J$3*$J$4</f>
        <v>0</v>
      </c>
    </row>
    <row r="29" spans="2:15" x14ac:dyDescent="0.3">
      <c r="B29" s="2"/>
      <c r="H29" s="311">
        <f t="shared" si="1"/>
        <v>0</v>
      </c>
      <c r="I29" s="578">
        <f t="shared" si="2"/>
        <v>0</v>
      </c>
      <c r="J29" s="311">
        <f>(H29+I29)*Таблица2[[#This Row],[К-во]]</f>
        <v>0</v>
      </c>
      <c r="K29" s="259">
        <f>IF(Таблица2[[#This Row],[К-во]]&gt;0,(Таблица2[[#This Row],[Всего]]/($J$3*$J$4*60)),0)</f>
        <v>0</v>
      </c>
      <c r="L29" s="304">
        <f>Таблица2[[#This Row],[К-во]]*$J$3*$J$4</f>
        <v>0</v>
      </c>
    </row>
    <row r="30" spans="2:15" x14ac:dyDescent="0.3">
      <c r="B30" s="2"/>
      <c r="H30" s="311">
        <f t="shared" si="1"/>
        <v>0</v>
      </c>
      <c r="I30" s="578">
        <f t="shared" si="2"/>
        <v>0</v>
      </c>
      <c r="J30" s="311">
        <f>(H30+I30)*Таблица2[[#This Row],[К-во]]</f>
        <v>0</v>
      </c>
      <c r="K30" s="259">
        <f>IF(Таблица2[[#This Row],[К-во]]&gt;0,(Таблица2[[#This Row],[Всего]]/($J$3*$J$4*60)),0)</f>
        <v>0</v>
      </c>
      <c r="L30" s="304">
        <f>Таблица2[[#This Row],[К-во]]*$J$3*$J$4</f>
        <v>0</v>
      </c>
    </row>
    <row r="31" spans="2:15" x14ac:dyDescent="0.3">
      <c r="B31" s="2"/>
      <c r="H31" s="311">
        <f t="shared" si="1"/>
        <v>0</v>
      </c>
      <c r="I31" s="578">
        <f t="shared" si="2"/>
        <v>0</v>
      </c>
      <c r="J31" s="311">
        <f>(H31+I31)*Таблица2[[#This Row],[К-во]]</f>
        <v>0</v>
      </c>
      <c r="K31" s="259">
        <f>IF(Таблица2[[#This Row],[К-во]]&gt;0,(Таблица2[[#This Row],[Всего]]/($J$3*$J$4*60)),0)</f>
        <v>0</v>
      </c>
      <c r="L31" s="304">
        <f>Таблица2[[#This Row],[К-во]]*$J$3*$J$4</f>
        <v>0</v>
      </c>
    </row>
    <row r="32" spans="2:15" x14ac:dyDescent="0.3">
      <c r="B32" s="2"/>
      <c r="H32" s="311">
        <f t="shared" si="1"/>
        <v>0</v>
      </c>
      <c r="I32" s="578">
        <f t="shared" si="2"/>
        <v>0</v>
      </c>
      <c r="J32" s="311">
        <f>(H32+I32)*Таблица2[[#This Row],[К-во]]</f>
        <v>0</v>
      </c>
      <c r="K32" s="259">
        <f>IF(Таблица2[[#This Row],[К-во]]&gt;0,(Таблица2[[#This Row],[Всего]]/($J$3*$J$4*60)),0)</f>
        <v>0</v>
      </c>
      <c r="L32" s="304">
        <f>Таблица2[[#This Row],[К-во]]*$J$3*$J$4</f>
        <v>0</v>
      </c>
    </row>
    <row r="33" spans="1:15" x14ac:dyDescent="0.3">
      <c r="B33" s="2"/>
      <c r="H33" s="311">
        <f t="shared" si="1"/>
        <v>0</v>
      </c>
      <c r="I33" s="578">
        <f t="shared" si="2"/>
        <v>0</v>
      </c>
      <c r="J33" s="311">
        <f>(H33+I33)*Таблица2[[#This Row],[К-во]]</f>
        <v>0</v>
      </c>
      <c r="K33" s="259">
        <f>IF(Таблица2[[#This Row],[К-во]]&gt;0,(Таблица2[[#This Row],[Всего]]/($J$3*$J$4*60)),0)</f>
        <v>0</v>
      </c>
      <c r="L33" s="304">
        <f>Таблица2[[#This Row],[К-во]]*$J$3*$J$4</f>
        <v>0</v>
      </c>
    </row>
    <row r="34" spans="1:15" s="310" customFormat="1" ht="24.75" customHeight="1" x14ac:dyDescent="0.3">
      <c r="A34" s="316" t="s">
        <v>359</v>
      </c>
      <c r="B34" s="317" t="s">
        <v>70</v>
      </c>
      <c r="C34" s="317" t="s">
        <v>70</v>
      </c>
      <c r="D34" s="317" t="s">
        <v>70</v>
      </c>
      <c r="E34" s="317">
        <f>SUBTOTAL(109,Таблица2[К-во])</f>
        <v>25</v>
      </c>
      <c r="F34" s="316">
        <f>SUBTOTAL(109,Таблица2[З/пл 1])</f>
        <v>54000</v>
      </c>
      <c r="G34" s="316">
        <f>SUBTOTAL(109,Таблица2[З/пл 2])</f>
        <v>94000</v>
      </c>
      <c r="H34" s="318">
        <f>SUBTOTAL(109,Таблица2[Итого з/пл])</f>
        <v>148000</v>
      </c>
      <c r="I34" s="316">
        <f>SUBTOTAL(109,Таблица2[Налоги])</f>
        <v>62160</v>
      </c>
      <c r="J34" s="318">
        <f>SUBTOTAL(109,Таблица2[Всего])</f>
        <v>428840</v>
      </c>
      <c r="K34" s="579">
        <f>SUBTOTAL(109,Таблица2[Затраты на оплату труда (грн/мин)])</f>
        <v>42.543650793650798</v>
      </c>
      <c r="L34" s="316">
        <f>SUBTOTAL(109,Таблица2[Трудозатраты    (чел/час)])</f>
        <v>4200</v>
      </c>
      <c r="N34" s="310">
        <f>SUM(N9:N33)</f>
        <v>35.922619047619044</v>
      </c>
      <c r="O34" s="310">
        <f>SUM(O9:O33)</f>
        <v>17242.857142857145</v>
      </c>
    </row>
    <row r="36" spans="1:15" hidden="1" x14ac:dyDescent="0.3">
      <c r="I36" s="255" t="s">
        <v>356</v>
      </c>
      <c r="J36" s="311">
        <v>110000</v>
      </c>
    </row>
    <row r="37" spans="1:15" hidden="1" x14ac:dyDescent="0.3"/>
    <row r="38" spans="1:15" hidden="1" x14ac:dyDescent="0.3">
      <c r="J38" s="311">
        <f>Таблица2[[#Totals],[Всего]]+J36</f>
        <v>538840</v>
      </c>
    </row>
    <row r="39" spans="1:15" hidden="1" x14ac:dyDescent="0.3">
      <c r="I39" s="255" t="s">
        <v>567</v>
      </c>
      <c r="J39" s="311">
        <f>J38/21</f>
        <v>25659.047619047618</v>
      </c>
    </row>
    <row r="40" spans="1:15" hidden="1" x14ac:dyDescent="0.3">
      <c r="I40" s="255" t="s">
        <v>568</v>
      </c>
      <c r="J40" s="311">
        <f>J39/8</f>
        <v>3207.3809523809523</v>
      </c>
    </row>
    <row r="41" spans="1:15" hidden="1" x14ac:dyDescent="0.3">
      <c r="I41" s="255" t="s">
        <v>569</v>
      </c>
      <c r="J41" s="311">
        <f>J40/60</f>
        <v>53.456349206349202</v>
      </c>
    </row>
    <row r="42" spans="1:15" hidden="1" x14ac:dyDescent="0.3"/>
  </sheetData>
  <mergeCells count="4">
    <mergeCell ref="G3:I3"/>
    <mergeCell ref="G4:I4"/>
    <mergeCell ref="A1:L1"/>
    <mergeCell ref="A2:L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5"/>
  <sheetViews>
    <sheetView showGridLines="0" showZeros="0" zoomScale="125" zoomScaleNormal="125" workbookViewId="0">
      <selection activeCell="A3" sqref="A3:B3"/>
    </sheetView>
  </sheetViews>
  <sheetFormatPr defaultColWidth="9.109375" defaultRowHeight="13.8" x14ac:dyDescent="0.3"/>
  <cols>
    <col min="1" max="1" width="43.44140625" style="319" bestFit="1" customWidth="1"/>
    <col min="2" max="2" width="14.33203125" style="320" bestFit="1" customWidth="1"/>
    <col min="3" max="3" width="0.6640625" style="319" customWidth="1"/>
    <col min="4" max="4" width="10.109375" style="341" bestFit="1" customWidth="1"/>
    <col min="5" max="5" width="9.5546875" style="341" customWidth="1"/>
    <col min="6" max="6" width="10.44140625" style="341" bestFit="1" customWidth="1"/>
    <col min="7" max="7" width="13.109375" style="342" bestFit="1" customWidth="1"/>
    <col min="8" max="16384" width="9.109375" style="319"/>
  </cols>
  <sheetData>
    <row r="1" spans="1:7" ht="21" x14ac:dyDescent="0.3">
      <c r="A1" s="717" t="s">
        <v>387</v>
      </c>
      <c r="B1" s="717"/>
      <c r="D1" s="717" t="s">
        <v>469</v>
      </c>
      <c r="E1" s="717"/>
      <c r="F1" s="717"/>
      <c r="G1" s="717"/>
    </row>
    <row r="2" spans="1:7" ht="42.75" customHeight="1" thickBot="1" x14ac:dyDescent="0.35">
      <c r="A2" s="717"/>
      <c r="B2" s="717"/>
      <c r="D2" s="718" t="s">
        <v>493</v>
      </c>
      <c r="E2" s="718"/>
      <c r="F2" s="718"/>
      <c r="G2" s="718"/>
    </row>
    <row r="3" spans="1:7" ht="15.75" customHeight="1" x14ac:dyDescent="0.3">
      <c r="A3" s="714" t="s">
        <v>570</v>
      </c>
      <c r="B3" s="714"/>
      <c r="D3" s="715" t="s">
        <v>467</v>
      </c>
      <c r="E3" s="716"/>
      <c r="F3" s="716"/>
      <c r="G3" s="344" t="s">
        <v>12</v>
      </c>
    </row>
    <row r="4" spans="1:7" ht="15.75" customHeight="1" x14ac:dyDescent="0.3">
      <c r="D4" s="345">
        <f>SUMIF(Таблица2[Подразделение],D5,Таблица2[Трудозатраты    (чел/час)])</f>
        <v>2856</v>
      </c>
      <c r="E4" s="343">
        <f>SUMIF(Таблица2[Подразделение],E5,Таблица2[Трудозатраты    (чел/час)])</f>
        <v>0</v>
      </c>
      <c r="F4" s="343">
        <f>SUMIF(ЗП!B9:B20,F5,ЗП!L9:L20)</f>
        <v>2856</v>
      </c>
      <c r="G4" s="346">
        <f>SUM(D4:F4)</f>
        <v>5712</v>
      </c>
    </row>
    <row r="5" spans="1:7" ht="30" customHeight="1" thickBot="1" x14ac:dyDescent="0.35">
      <c r="A5" s="321" t="s">
        <v>388</v>
      </c>
      <c r="B5" s="322" t="s">
        <v>158</v>
      </c>
      <c r="C5" s="560"/>
      <c r="D5" s="556" t="s">
        <v>363</v>
      </c>
      <c r="E5" s="347" t="s">
        <v>470</v>
      </c>
      <c r="F5" s="348" t="s">
        <v>363</v>
      </c>
      <c r="G5" s="349"/>
    </row>
    <row r="6" spans="1:7" x14ac:dyDescent="0.3">
      <c r="A6" s="319" t="s">
        <v>389</v>
      </c>
      <c r="B6" s="320">
        <f>'ОПР 19'!N45</f>
        <v>1090639.318</v>
      </c>
      <c r="C6" s="560"/>
      <c r="D6" s="557">
        <f>Таблица15[[#This Row],[Сумма]]/$G$4*$D$4</f>
        <v>545319.65899999999</v>
      </c>
      <c r="E6" s="352">
        <f>Таблица15[[#This Row],[Сумма]]/$G$4*$E$4</f>
        <v>0</v>
      </c>
      <c r="F6" s="352">
        <f>Таблица15[[#This Row],[Сумма]]/$G$4*$F$4</f>
        <v>545319.65899999999</v>
      </c>
      <c r="G6" s="354">
        <f>SUM(D6:F6)</f>
        <v>1090639.318</v>
      </c>
    </row>
    <row r="7" spans="1:7" x14ac:dyDescent="0.3">
      <c r="A7" s="319" t="s">
        <v>390</v>
      </c>
      <c r="B7" s="320">
        <f>'ОПР 19'!N12+'ОПР 19'!N13+'ОПР 19'!N14+'ОПР 19'!N15</f>
        <v>396638.08666666667</v>
      </c>
      <c r="C7" s="560"/>
      <c r="D7" s="558">
        <f>Таблица15[[#This Row],[Сумма]]/$G$4*$D$4</f>
        <v>198319.04333333336</v>
      </c>
      <c r="E7" s="353">
        <f>Таблица15[[#This Row],[Сумма]]/$G$4*$E$4</f>
        <v>0</v>
      </c>
      <c r="F7" s="353">
        <f>Таблица15[[#This Row],[Сумма]]/$G$4*$F$4</f>
        <v>198319.04333333336</v>
      </c>
      <c r="G7" s="355">
        <f t="shared" ref="G7:G23" si="0">SUM(D7:F7)</f>
        <v>396638.08666666673</v>
      </c>
    </row>
    <row r="8" spans="1:7" x14ac:dyDescent="0.3">
      <c r="A8" s="319" t="s">
        <v>391</v>
      </c>
      <c r="B8" s="320">
        <f>'ОПР 19'!N47</f>
        <v>100779.675</v>
      </c>
      <c r="C8" s="560"/>
      <c r="D8" s="557">
        <f>Таблица15[[#This Row],[Сумма]]/$G$4*$D$4</f>
        <v>50389.837499999994</v>
      </c>
      <c r="E8" s="352">
        <f>Таблица15[[#This Row],[Сумма]]/$G$4*$E$4</f>
        <v>0</v>
      </c>
      <c r="F8" s="352">
        <f>Таблица15[[#This Row],[Сумма]]/$G$4*$F$4</f>
        <v>50389.837499999994</v>
      </c>
      <c r="G8" s="354">
        <f t="shared" si="0"/>
        <v>100779.67499999999</v>
      </c>
    </row>
    <row r="9" spans="1:7" x14ac:dyDescent="0.3">
      <c r="A9" s="319" t="s">
        <v>392</v>
      </c>
      <c r="B9" s="320">
        <f>'ОПР 19'!N18</f>
        <v>88480.463999999993</v>
      </c>
      <c r="C9" s="560"/>
      <c r="D9" s="558">
        <f>Таблица15[[#This Row],[Сумма]]/$G$4*$D$4</f>
        <v>44240.231999999996</v>
      </c>
      <c r="E9" s="353">
        <f>Таблица15[[#This Row],[Сумма]]/$G$4*$E$4</f>
        <v>0</v>
      </c>
      <c r="F9" s="353">
        <f>Таблица15[[#This Row],[Сумма]]/$G$4*$F$4</f>
        <v>44240.231999999996</v>
      </c>
      <c r="G9" s="355">
        <f t="shared" si="0"/>
        <v>88480.463999999993</v>
      </c>
    </row>
    <row r="10" spans="1:7" x14ac:dyDescent="0.3">
      <c r="A10" s="319" t="s">
        <v>153</v>
      </c>
      <c r="B10" s="320">
        <f>'ОПР 19'!N22+'ОПР 19'!N23</f>
        <v>61176.95166666666</v>
      </c>
      <c r="C10" s="560"/>
      <c r="D10" s="557">
        <f>Таблица15[[#This Row],[Сумма]]/$G$4*$D$4</f>
        <v>30588.47583333333</v>
      </c>
      <c r="E10" s="352">
        <f>Таблица15[[#This Row],[Сумма]]/$G$4*$E$4</f>
        <v>0</v>
      </c>
      <c r="F10" s="352">
        <f>Таблица15[[#This Row],[Сумма]]/$G$4*$F$4</f>
        <v>30588.47583333333</v>
      </c>
      <c r="G10" s="354">
        <f t="shared" si="0"/>
        <v>61176.95166666666</v>
      </c>
    </row>
    <row r="11" spans="1:7" x14ac:dyDescent="0.3">
      <c r="A11" s="319" t="s">
        <v>394</v>
      </c>
      <c r="B11" s="320">
        <f>'ОПР 19'!N10+'ОПР 19'!N11</f>
        <v>32739.531999999999</v>
      </c>
      <c r="C11" s="560"/>
      <c r="D11" s="558">
        <f>Таблица15[[#This Row],[Сумма]]/$G$4*$D$4</f>
        <v>16369.766</v>
      </c>
      <c r="E11" s="353">
        <f>Таблица15[[#This Row],[Сумма]]/$G$4*$E$4</f>
        <v>0</v>
      </c>
      <c r="F11" s="353">
        <f>Таблица15[[#This Row],[Сумма]]/$G$4*$F$4</f>
        <v>16369.766</v>
      </c>
      <c r="G11" s="355">
        <f t="shared" si="0"/>
        <v>32739.531999999999</v>
      </c>
    </row>
    <row r="12" spans="1:7" x14ac:dyDescent="0.3">
      <c r="A12" s="319" t="s">
        <v>395</v>
      </c>
      <c r="B12" s="320">
        <f>'ОПР 19'!N20</f>
        <v>30122.638888888891</v>
      </c>
      <c r="C12" s="560"/>
      <c r="D12" s="557">
        <f>Таблица15[[#This Row],[Сумма]]/$G$4*$D$4</f>
        <v>15061.319444444443</v>
      </c>
      <c r="E12" s="352">
        <f>Таблица15[[#This Row],[Сумма]]/$G$4*$E$4</f>
        <v>0</v>
      </c>
      <c r="F12" s="352">
        <f>Таблица15[[#This Row],[Сумма]]/$G$4*$F$4</f>
        <v>15061.319444444443</v>
      </c>
      <c r="G12" s="354">
        <f t="shared" si="0"/>
        <v>30122.638888888887</v>
      </c>
    </row>
    <row r="13" spans="1:7" x14ac:dyDescent="0.3">
      <c r="A13" s="319" t="s">
        <v>396</v>
      </c>
      <c r="B13" s="320">
        <f>'ОПР 19'!N25+'ОПР 19'!N29</f>
        <v>21337.357142857145</v>
      </c>
      <c r="C13" s="560"/>
      <c r="D13" s="558">
        <f>Таблица15[[#This Row],[Сумма]]/$G$4*$D$4</f>
        <v>10668.678571428572</v>
      </c>
      <c r="E13" s="353">
        <f>Таблица15[[#This Row],[Сумма]]/$G$4*$E$4</f>
        <v>0</v>
      </c>
      <c r="F13" s="353">
        <f>Таблица15[[#This Row],[Сумма]]/$G$4*$F$4</f>
        <v>10668.678571428572</v>
      </c>
      <c r="G13" s="355">
        <f t="shared" si="0"/>
        <v>21337.357142857145</v>
      </c>
    </row>
    <row r="14" spans="1:7" x14ac:dyDescent="0.3">
      <c r="A14" s="319" t="s">
        <v>397</v>
      </c>
      <c r="B14" s="320">
        <f>'ОПР 19'!N31</f>
        <v>18285.126</v>
      </c>
      <c r="C14" s="560"/>
      <c r="D14" s="557">
        <f>Таблица15[[#This Row],[Сумма]]/$G$4*$D$4</f>
        <v>9142.5630000000001</v>
      </c>
      <c r="E14" s="352">
        <f>Таблица15[[#This Row],[Сумма]]/$G$4*$E$4</f>
        <v>0</v>
      </c>
      <c r="F14" s="352">
        <f>Таблица15[[#This Row],[Сумма]]/$G$4*$F$4</f>
        <v>9142.5630000000001</v>
      </c>
      <c r="G14" s="354">
        <f t="shared" si="0"/>
        <v>18285.126</v>
      </c>
    </row>
    <row r="15" spans="1:7" x14ac:dyDescent="0.3">
      <c r="A15" s="319" t="s">
        <v>398</v>
      </c>
      <c r="B15" s="320">
        <f>'ОПР 19'!N33+'ОПР 19'!N35+'ОПР 19'!N36</f>
        <v>12339.935000000001</v>
      </c>
      <c r="C15" s="560"/>
      <c r="D15" s="558">
        <f>Таблица15[[#This Row],[Сумма]]/$G$4*$D$4</f>
        <v>6169.9675000000007</v>
      </c>
      <c r="E15" s="353">
        <f>Таблица15[[#This Row],[Сумма]]/$G$4*$E$4</f>
        <v>0</v>
      </c>
      <c r="F15" s="353">
        <f>Таблица15[[#This Row],[Сумма]]/$G$4*$F$4</f>
        <v>6169.9675000000007</v>
      </c>
      <c r="G15" s="355">
        <f t="shared" si="0"/>
        <v>12339.935000000001</v>
      </c>
    </row>
    <row r="16" spans="1:7" x14ac:dyDescent="0.3">
      <c r="A16" s="319" t="s">
        <v>399</v>
      </c>
      <c r="B16" s="320">
        <f>'ОПР 19'!N34</f>
        <v>12239.815999999999</v>
      </c>
      <c r="C16" s="560"/>
      <c r="D16" s="557">
        <f>Таблица15[[#This Row],[Сумма]]/$G$4*$D$4</f>
        <v>6119.9080000000004</v>
      </c>
      <c r="E16" s="352">
        <f>Таблица15[[#This Row],[Сумма]]/$G$4*$E$4</f>
        <v>0</v>
      </c>
      <c r="F16" s="352">
        <f>Таблица15[[#This Row],[Сумма]]/$G$4*$F$4</f>
        <v>6119.9080000000004</v>
      </c>
      <c r="G16" s="354">
        <f t="shared" si="0"/>
        <v>12239.816000000001</v>
      </c>
    </row>
    <row r="17" spans="1:7" x14ac:dyDescent="0.3">
      <c r="A17" s="319" t="s">
        <v>400</v>
      </c>
      <c r="B17" s="320">
        <f>'ОПР 19'!N44</f>
        <v>5644.503999999999</v>
      </c>
      <c r="C17" s="560"/>
      <c r="D17" s="558">
        <f>Таблица15[[#This Row],[Сумма]]/$G$4*$D$4</f>
        <v>2822.2519999999995</v>
      </c>
      <c r="E17" s="353">
        <f>Таблица15[[#This Row],[Сумма]]/$G$4*$E$4</f>
        <v>0</v>
      </c>
      <c r="F17" s="353">
        <f>Таблица15[[#This Row],[Сумма]]/$G$4*$F$4</f>
        <v>2822.2519999999995</v>
      </c>
      <c r="G17" s="355">
        <f t="shared" si="0"/>
        <v>5644.503999999999</v>
      </c>
    </row>
    <row r="18" spans="1:7" x14ac:dyDescent="0.3">
      <c r="A18" s="319" t="s">
        <v>401</v>
      </c>
      <c r="B18" s="320">
        <f>'ОПР 19'!N26+'ОПР 19'!N27</f>
        <v>3355.1348571428575</v>
      </c>
      <c r="C18" s="560"/>
      <c r="D18" s="557">
        <f>Таблица15[[#This Row],[Сумма]]/$G$4*$D$4</f>
        <v>1677.5674285714288</v>
      </c>
      <c r="E18" s="352">
        <f>Таблица15[[#This Row],[Сумма]]/$G$4*$E$4</f>
        <v>0</v>
      </c>
      <c r="F18" s="352">
        <f>Таблица15[[#This Row],[Сумма]]/$G$4*$F$4</f>
        <v>1677.5674285714288</v>
      </c>
      <c r="G18" s="354">
        <f t="shared" si="0"/>
        <v>3355.1348571428575</v>
      </c>
    </row>
    <row r="19" spans="1:7" x14ac:dyDescent="0.3">
      <c r="A19" s="319" t="s">
        <v>402</v>
      </c>
      <c r="B19" s="320">
        <f>'ОПР 19'!N32+'ОПР 19'!N37</f>
        <v>2402.5</v>
      </c>
      <c r="C19" s="560"/>
      <c r="D19" s="558">
        <f>Таблица15[[#This Row],[Сумма]]/$G$4*$D$4</f>
        <v>1201.25</v>
      </c>
      <c r="E19" s="353">
        <f>Таблица15[[#This Row],[Сумма]]/$G$4*$E$4</f>
        <v>0</v>
      </c>
      <c r="F19" s="353">
        <f>Таблица15[[#This Row],[Сумма]]/$G$4*$F$4</f>
        <v>1201.25</v>
      </c>
      <c r="G19" s="355">
        <f t="shared" si="0"/>
        <v>2402.5</v>
      </c>
    </row>
    <row r="20" spans="1:7" x14ac:dyDescent="0.3">
      <c r="A20" s="319" t="s">
        <v>403</v>
      </c>
      <c r="B20" s="320">
        <f>'ОПР 19'!N24+'ОПР 19'!N41</f>
        <v>1644.94</v>
      </c>
      <c r="C20" s="560"/>
      <c r="D20" s="557">
        <f>Таблица15[[#This Row],[Сумма]]/$G$4*$D$4</f>
        <v>822.47</v>
      </c>
      <c r="E20" s="352">
        <f>Таблица15[[#This Row],[Сумма]]/$G$4*$E$4</f>
        <v>0</v>
      </c>
      <c r="F20" s="352">
        <f>Таблица15[[#This Row],[Сумма]]/$G$4*$F$4</f>
        <v>822.47</v>
      </c>
      <c r="G20" s="354">
        <f t="shared" si="0"/>
        <v>1644.94</v>
      </c>
    </row>
    <row r="21" spans="1:7" x14ac:dyDescent="0.3">
      <c r="A21" s="319" t="s">
        <v>404</v>
      </c>
      <c r="B21" s="320">
        <f>'ОПР 19'!N49</f>
        <v>1070</v>
      </c>
      <c r="C21" s="560"/>
      <c r="D21" s="558">
        <f>Таблица15[[#This Row],[Сумма]]/$G$4*$D$4</f>
        <v>535</v>
      </c>
      <c r="E21" s="353">
        <f>Таблица15[[#This Row],[Сумма]]/$G$4*$E$4</f>
        <v>0</v>
      </c>
      <c r="F21" s="353">
        <f>Таблица15[[#This Row],[Сумма]]/$G$4*$F$4</f>
        <v>535</v>
      </c>
      <c r="G21" s="355">
        <f t="shared" si="0"/>
        <v>1070</v>
      </c>
    </row>
    <row r="22" spans="1:7" x14ac:dyDescent="0.3">
      <c r="A22" s="319" t="s">
        <v>405</v>
      </c>
      <c r="B22" s="320">
        <f>'ОПР 19'!N28</f>
        <v>445</v>
      </c>
      <c r="C22" s="560"/>
      <c r="D22" s="557">
        <f>Таблица15[[#This Row],[Сумма]]/$G$4*$D$4</f>
        <v>222.5</v>
      </c>
      <c r="E22" s="352">
        <f>Таблица15[[#This Row],[Сумма]]/$G$4*$E$4</f>
        <v>0</v>
      </c>
      <c r="F22" s="352">
        <f>Таблица15[[#This Row],[Сумма]]/$G$4*$F$4</f>
        <v>222.5</v>
      </c>
      <c r="G22" s="354">
        <f t="shared" si="0"/>
        <v>445</v>
      </c>
    </row>
    <row r="23" spans="1:7" x14ac:dyDescent="0.3">
      <c r="A23" s="319" t="s">
        <v>406</v>
      </c>
      <c r="B23" s="320">
        <f>'ОПР 19'!N38</f>
        <v>173.73999999999998</v>
      </c>
      <c r="C23" s="560"/>
      <c r="D23" s="558">
        <f>Таблица15[[#This Row],[Сумма]]/$G$4*$D$4</f>
        <v>86.86999999999999</v>
      </c>
      <c r="E23" s="353">
        <f>Таблица15[[#This Row],[Сумма]]/$G$4*$E$4</f>
        <v>0</v>
      </c>
      <c r="F23" s="353">
        <f>Таблица15[[#This Row],[Сумма]]/$G$4*$F$4</f>
        <v>86.86999999999999</v>
      </c>
      <c r="G23" s="355">
        <f t="shared" si="0"/>
        <v>173.73999999999998</v>
      </c>
    </row>
    <row r="24" spans="1:7" ht="24.75" customHeight="1" x14ac:dyDescent="0.3">
      <c r="A24" s="323" t="s">
        <v>359</v>
      </c>
      <c r="B24" s="324">
        <f>SUBTOTAL(109,Таблица15[Сумма])</f>
        <v>1879514.719222222</v>
      </c>
      <c r="C24" s="560"/>
      <c r="D24" s="559">
        <f>SUBTOTAL(109,D6:D23)</f>
        <v>939757.35961111099</v>
      </c>
      <c r="E24" s="350">
        <f>SUBTOTAL(109,E6:E23)</f>
        <v>0</v>
      </c>
      <c r="F24" s="350">
        <f>SUBTOTAL(109,F6:F23)</f>
        <v>939757.35961111099</v>
      </c>
      <c r="G24" s="351">
        <f>SUBTOTAL(109,G6:G23)</f>
        <v>1879514.719222222</v>
      </c>
    </row>
    <row r="25" spans="1:7" x14ac:dyDescent="0.3">
      <c r="A25" s="325"/>
      <c r="B25" s="326"/>
    </row>
  </sheetData>
  <mergeCells count="5">
    <mergeCell ref="A3:B3"/>
    <mergeCell ref="D3:F3"/>
    <mergeCell ref="D1:G1"/>
    <mergeCell ref="A1:B2"/>
    <mergeCell ref="D2:G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autoPageBreaks="0"/>
  </sheetPr>
  <dimension ref="A1:O52"/>
  <sheetViews>
    <sheetView zoomScale="150" zoomScaleNormal="150" workbookViewId="0">
      <pane xSplit="2" ySplit="9" topLeftCell="L10" activePane="bottomRight" state="frozen"/>
      <selection activeCell="D22" sqref="D22"/>
      <selection pane="topRight" activeCell="D22" sqref="D22"/>
      <selection pane="bottomLeft" activeCell="D22" sqref="D22"/>
      <selection pane="bottomRight" activeCell="A6" sqref="A6:XFD6"/>
    </sheetView>
  </sheetViews>
  <sheetFormatPr defaultColWidth="9" defaultRowHeight="11.4" customHeight="1" outlineLevelRow="1" x14ac:dyDescent="0.3"/>
  <cols>
    <col min="1" max="1" width="2" style="329" customWidth="1"/>
    <col min="2" max="2" width="51" style="329" customWidth="1"/>
    <col min="3" max="13" width="15" style="329" customWidth="1"/>
    <col min="14" max="14" width="10.44140625" style="334" customWidth="1"/>
    <col min="15" max="15" width="27.44140625" style="433" customWidth="1"/>
    <col min="16" max="16384" width="9" style="334"/>
  </cols>
  <sheetData>
    <row r="1" spans="2:15" s="329" customFormat="1" ht="15.9" customHeight="1" outlineLevel="1" x14ac:dyDescent="0.3">
      <c r="B1" s="434" t="s">
        <v>407</v>
      </c>
      <c r="O1" s="435"/>
    </row>
    <row r="2" spans="2:15" s="329" customFormat="1" ht="11.1" customHeight="1" outlineLevel="1" x14ac:dyDescent="0.3">
      <c r="B2" s="329" t="s">
        <v>408</v>
      </c>
      <c r="O2" s="435"/>
    </row>
    <row r="3" spans="2:15" s="329" customFormat="1" ht="11.1" customHeight="1" outlineLevel="1" x14ac:dyDescent="0.3">
      <c r="B3" s="329" t="s">
        <v>409</v>
      </c>
      <c r="O3" s="435"/>
    </row>
    <row r="4" spans="2:15" s="329" customFormat="1" ht="11.1" customHeight="1" outlineLevel="1" x14ac:dyDescent="0.3">
      <c r="B4" s="329" t="s">
        <v>410</v>
      </c>
      <c r="O4" s="435"/>
    </row>
    <row r="5" spans="2:15" s="329" customFormat="1" ht="11.1" customHeight="1" outlineLevel="1" x14ac:dyDescent="0.3">
      <c r="B5" s="329" t="s">
        <v>411</v>
      </c>
      <c r="O5" s="435"/>
    </row>
    <row r="6" spans="2:15" ht="13.5" hidden="1" customHeight="1" x14ac:dyDescent="0.3"/>
    <row r="7" spans="2:15" s="327" customFormat="1" ht="11.1" customHeight="1" x14ac:dyDescent="0.3">
      <c r="B7" s="328" t="s">
        <v>412</v>
      </c>
      <c r="C7" s="328" t="s">
        <v>413</v>
      </c>
      <c r="D7" s="328" t="s">
        <v>414</v>
      </c>
      <c r="E7" s="328" t="s">
        <v>415</v>
      </c>
      <c r="F7" s="328" t="s">
        <v>416</v>
      </c>
      <c r="G7" s="328" t="s">
        <v>417</v>
      </c>
      <c r="H7" s="328" t="s">
        <v>418</v>
      </c>
      <c r="I7" s="328" t="s">
        <v>419</v>
      </c>
      <c r="J7" s="328" t="s">
        <v>420</v>
      </c>
      <c r="K7" s="328" t="s">
        <v>421</v>
      </c>
      <c r="L7" s="328" t="s">
        <v>422</v>
      </c>
      <c r="M7" s="328" t="s">
        <v>423</v>
      </c>
      <c r="N7" s="719" t="s">
        <v>424</v>
      </c>
      <c r="O7" s="722" t="s">
        <v>494</v>
      </c>
    </row>
    <row r="8" spans="2:15" s="327" customFormat="1" ht="11.1" customHeight="1" x14ac:dyDescent="0.3">
      <c r="B8" s="328" t="s">
        <v>425</v>
      </c>
      <c r="C8" s="328" t="s">
        <v>426</v>
      </c>
      <c r="D8" s="328" t="s">
        <v>426</v>
      </c>
      <c r="E8" s="328" t="s">
        <v>426</v>
      </c>
      <c r="F8" s="328" t="s">
        <v>426</v>
      </c>
      <c r="G8" s="328" t="s">
        <v>426</v>
      </c>
      <c r="H8" s="328" t="s">
        <v>426</v>
      </c>
      <c r="I8" s="328" t="s">
        <v>426</v>
      </c>
      <c r="J8" s="328" t="s">
        <v>426</v>
      </c>
      <c r="K8" s="328" t="s">
        <v>426</v>
      </c>
      <c r="L8" s="328" t="s">
        <v>426</v>
      </c>
      <c r="M8" s="328" t="s">
        <v>426</v>
      </c>
      <c r="N8" s="720"/>
      <c r="O8" s="722"/>
    </row>
    <row r="9" spans="2:15" s="327" customFormat="1" ht="11.1" customHeight="1" x14ac:dyDescent="0.3">
      <c r="B9" s="328" t="s">
        <v>427</v>
      </c>
      <c r="C9" s="436">
        <v>4158712.62</v>
      </c>
      <c r="D9" s="436">
        <v>3785640.34</v>
      </c>
      <c r="E9" s="436">
        <v>4026796.67</v>
      </c>
      <c r="F9" s="436">
        <v>3443628.08</v>
      </c>
      <c r="G9" s="436">
        <v>3397645.62</v>
      </c>
      <c r="H9" s="436">
        <v>4420336.83</v>
      </c>
      <c r="I9" s="436">
        <v>4800312.6399999997</v>
      </c>
      <c r="J9" s="436">
        <v>4699038.26</v>
      </c>
      <c r="K9" s="436">
        <v>4685496.8899999997</v>
      </c>
      <c r="L9" s="436">
        <v>4950563.83</v>
      </c>
      <c r="M9" s="436">
        <f>SUM(C9:L9)</f>
        <v>42368171.779999994</v>
      </c>
      <c r="N9" s="721"/>
      <c r="O9" s="722"/>
    </row>
    <row r="10" spans="2:15" ht="11.1" customHeight="1" outlineLevel="1" x14ac:dyDescent="0.3">
      <c r="B10" s="335" t="s">
        <v>428</v>
      </c>
      <c r="C10" s="338"/>
      <c r="D10" s="338"/>
      <c r="E10" s="338"/>
      <c r="F10" s="338"/>
      <c r="G10" s="437">
        <v>916.32</v>
      </c>
      <c r="H10" s="437">
        <v>916.32</v>
      </c>
      <c r="I10" s="437">
        <v>916.32</v>
      </c>
      <c r="J10" s="437">
        <v>916.32</v>
      </c>
      <c r="K10" s="437">
        <v>916.32</v>
      </c>
      <c r="L10" s="437">
        <v>916.32</v>
      </c>
      <c r="M10" s="337">
        <f>SUM(C10:L10)</f>
        <v>5497.92</v>
      </c>
      <c r="N10" s="430">
        <f>M10/COUNT(C10:L10)</f>
        <v>916.32</v>
      </c>
      <c r="O10" s="445"/>
    </row>
    <row r="11" spans="2:15" ht="21.9" customHeight="1" outlineLevel="1" x14ac:dyDescent="0.3">
      <c r="B11" s="335" t="s">
        <v>429</v>
      </c>
      <c r="C11" s="336">
        <v>31433.07</v>
      </c>
      <c r="D11" s="336">
        <v>31433.07</v>
      </c>
      <c r="E11" s="336">
        <v>31433.07</v>
      </c>
      <c r="F11" s="336">
        <v>31433.07</v>
      </c>
      <c r="G11" s="336">
        <v>31433.07</v>
      </c>
      <c r="H11" s="336">
        <v>31433.07</v>
      </c>
      <c r="I11" s="336">
        <v>31433.07</v>
      </c>
      <c r="J11" s="336">
        <v>31433.07</v>
      </c>
      <c r="K11" s="336">
        <v>31433.07</v>
      </c>
      <c r="L11" s="336">
        <v>35334.49</v>
      </c>
      <c r="M11" s="337">
        <f t="shared" ref="M11:M50" si="0">SUM(C11:L11)</f>
        <v>318232.12</v>
      </c>
      <c r="N11" s="430">
        <f t="shared" ref="N11:N50" si="1">M11/COUNT(C11:L11)</f>
        <v>31823.212</v>
      </c>
      <c r="O11" s="445"/>
    </row>
    <row r="12" spans="2:15" ht="11.1" customHeight="1" outlineLevel="1" x14ac:dyDescent="0.3">
      <c r="B12" s="335" t="s">
        <v>430</v>
      </c>
      <c r="C12" s="437">
        <v>353.2</v>
      </c>
      <c r="D12" s="437">
        <v>353.2</v>
      </c>
      <c r="E12" s="437">
        <v>141.66999999999999</v>
      </c>
      <c r="F12" s="437">
        <v>141.66999999999999</v>
      </c>
      <c r="G12" s="437">
        <v>141.62</v>
      </c>
      <c r="H12" s="437">
        <v>353.2</v>
      </c>
      <c r="I12" s="338"/>
      <c r="J12" s="338"/>
      <c r="K12" s="338"/>
      <c r="L12" s="338"/>
      <c r="M12" s="337">
        <f t="shared" si="0"/>
        <v>1484.56</v>
      </c>
      <c r="N12" s="430">
        <f t="shared" si="1"/>
        <v>247.42666666666665</v>
      </c>
      <c r="O12" s="445"/>
    </row>
    <row r="13" spans="2:15" ht="11.1" customHeight="1" outlineLevel="1" x14ac:dyDescent="0.3">
      <c r="B13" s="335" t="s">
        <v>431</v>
      </c>
      <c r="C13" s="338"/>
      <c r="D13" s="338"/>
      <c r="E13" s="338"/>
      <c r="F13" s="338"/>
      <c r="G13" s="338"/>
      <c r="H13" s="437">
        <v>711.58</v>
      </c>
      <c r="I13" s="437">
        <v>711.58</v>
      </c>
      <c r="J13" s="437">
        <v>711.58</v>
      </c>
      <c r="K13" s="437">
        <v>711.58</v>
      </c>
      <c r="L13" s="437">
        <v>711.58</v>
      </c>
      <c r="M13" s="337">
        <f t="shared" si="0"/>
        <v>3557.9</v>
      </c>
      <c r="N13" s="430">
        <f t="shared" si="1"/>
        <v>711.58</v>
      </c>
      <c r="O13" s="445"/>
    </row>
    <row r="14" spans="2:15" ht="11.1" customHeight="1" outlineLevel="1" x14ac:dyDescent="0.3">
      <c r="B14" s="335" t="s">
        <v>432</v>
      </c>
      <c r="C14" s="336">
        <v>295956.74</v>
      </c>
      <c r="D14" s="336">
        <v>224685.22</v>
      </c>
      <c r="E14" s="336">
        <v>227171.77</v>
      </c>
      <c r="F14" s="336">
        <v>229310.07</v>
      </c>
      <c r="G14" s="336">
        <v>230588.04</v>
      </c>
      <c r="H14" s="336">
        <v>267832.68</v>
      </c>
      <c r="I14" s="336">
        <v>251725.62</v>
      </c>
      <c r="J14" s="336">
        <v>250524.17</v>
      </c>
      <c r="K14" s="336">
        <v>352213.59</v>
      </c>
      <c r="L14" s="336">
        <v>441425.28</v>
      </c>
      <c r="M14" s="337">
        <f t="shared" si="0"/>
        <v>2771433.1799999997</v>
      </c>
      <c r="N14" s="430">
        <f t="shared" si="1"/>
        <v>277143.31799999997</v>
      </c>
      <c r="O14" s="445"/>
    </row>
    <row r="15" spans="2:15" ht="11.1" customHeight="1" outlineLevel="1" x14ac:dyDescent="0.3">
      <c r="B15" s="335" t="s">
        <v>433</v>
      </c>
      <c r="C15" s="336">
        <v>122727.51</v>
      </c>
      <c r="D15" s="336">
        <v>108474.13</v>
      </c>
      <c r="E15" s="336">
        <v>128305.21</v>
      </c>
      <c r="F15" s="336">
        <v>116916.36</v>
      </c>
      <c r="G15" s="336">
        <v>116916.36</v>
      </c>
      <c r="H15" s="336">
        <v>116916.36</v>
      </c>
      <c r="I15" s="336">
        <v>116916.36</v>
      </c>
      <c r="J15" s="336">
        <v>118289.81</v>
      </c>
      <c r="K15" s="336">
        <v>118743.98</v>
      </c>
      <c r="L15" s="336">
        <v>121151.54</v>
      </c>
      <c r="M15" s="337">
        <f t="shared" si="0"/>
        <v>1185357.6200000001</v>
      </c>
      <c r="N15" s="430">
        <f t="shared" si="1"/>
        <v>118535.76200000002</v>
      </c>
      <c r="O15" s="445"/>
    </row>
    <row r="16" spans="2:15" ht="21.9" customHeight="1" outlineLevel="1" x14ac:dyDescent="0.3">
      <c r="B16" s="330" t="s">
        <v>434</v>
      </c>
      <c r="C16" s="331"/>
      <c r="D16" s="331"/>
      <c r="E16" s="331"/>
      <c r="F16" s="332">
        <v>3600</v>
      </c>
      <c r="G16" s="331"/>
      <c r="H16" s="331"/>
      <c r="I16" s="331"/>
      <c r="J16" s="331"/>
      <c r="K16" s="331"/>
      <c r="L16" s="331"/>
      <c r="M16" s="333">
        <f t="shared" si="0"/>
        <v>3600</v>
      </c>
      <c r="N16" s="429">
        <f t="shared" si="1"/>
        <v>3600</v>
      </c>
      <c r="O16" s="445" t="s">
        <v>495</v>
      </c>
    </row>
    <row r="17" spans="2:15" ht="21.9" customHeight="1" outlineLevel="1" x14ac:dyDescent="0.3">
      <c r="B17" s="330" t="s">
        <v>435</v>
      </c>
      <c r="C17" s="332">
        <v>552407.06999999995</v>
      </c>
      <c r="D17" s="332">
        <v>1518</v>
      </c>
      <c r="E17" s="332">
        <v>185815.72</v>
      </c>
      <c r="F17" s="332">
        <v>1518</v>
      </c>
      <c r="G17" s="332">
        <v>1518</v>
      </c>
      <c r="H17" s="332">
        <v>1518</v>
      </c>
      <c r="I17" s="332">
        <v>1518</v>
      </c>
      <c r="J17" s="332">
        <v>120159.83</v>
      </c>
      <c r="K17" s="332">
        <v>78887.63</v>
      </c>
      <c r="L17" s="332">
        <v>1518</v>
      </c>
      <c r="M17" s="333">
        <f t="shared" si="0"/>
        <v>946378.24999999988</v>
      </c>
      <c r="N17" s="429">
        <f t="shared" si="1"/>
        <v>94637.824999999983</v>
      </c>
      <c r="O17" s="445" t="s">
        <v>496</v>
      </c>
    </row>
    <row r="18" spans="2:15" ht="29.25" customHeight="1" outlineLevel="1" x14ac:dyDescent="0.3">
      <c r="B18" s="335" t="s">
        <v>436</v>
      </c>
      <c r="C18" s="336">
        <v>148774.07</v>
      </c>
      <c r="D18" s="336">
        <v>123752.04</v>
      </c>
      <c r="E18" s="336">
        <v>106642.93</v>
      </c>
      <c r="F18" s="336">
        <v>72784.55</v>
      </c>
      <c r="G18" s="336">
        <v>60785.75</v>
      </c>
      <c r="H18" s="336">
        <v>76782.899999999994</v>
      </c>
      <c r="I18" s="336">
        <v>86146.26</v>
      </c>
      <c r="J18" s="336">
        <v>85288.88</v>
      </c>
      <c r="K18" s="336">
        <v>60843.07</v>
      </c>
      <c r="L18" s="336">
        <v>63004.19</v>
      </c>
      <c r="M18" s="337">
        <f t="shared" si="0"/>
        <v>884804.6399999999</v>
      </c>
      <c r="N18" s="430">
        <f t="shared" si="1"/>
        <v>88480.463999999993</v>
      </c>
      <c r="O18" s="445"/>
    </row>
    <row r="19" spans="2:15" ht="20.399999999999999" outlineLevel="1" x14ac:dyDescent="0.3">
      <c r="B19" s="330" t="s">
        <v>437</v>
      </c>
      <c r="C19" s="332">
        <v>494521.86</v>
      </c>
      <c r="D19" s="332">
        <v>533182.78</v>
      </c>
      <c r="E19" s="332">
        <v>731467.58</v>
      </c>
      <c r="F19" s="332">
        <v>246013.76</v>
      </c>
      <c r="G19" s="332">
        <v>376630.62</v>
      </c>
      <c r="H19" s="332">
        <v>359243.4</v>
      </c>
      <c r="I19" s="332">
        <v>925007.6</v>
      </c>
      <c r="J19" s="332">
        <v>343215.68</v>
      </c>
      <c r="K19" s="332">
        <v>142979.91</v>
      </c>
      <c r="L19" s="332">
        <v>909510.34</v>
      </c>
      <c r="M19" s="333">
        <f t="shared" si="0"/>
        <v>5061773.53</v>
      </c>
      <c r="N19" s="429">
        <f t="shared" si="1"/>
        <v>506177.353</v>
      </c>
      <c r="O19" s="445" t="s">
        <v>497</v>
      </c>
    </row>
    <row r="20" spans="2:15" ht="11.1" customHeight="1" outlineLevel="1" x14ac:dyDescent="0.3">
      <c r="B20" s="335" t="s">
        <v>438</v>
      </c>
      <c r="C20" s="336">
        <v>75493.62</v>
      </c>
      <c r="D20" s="336">
        <v>6049.41</v>
      </c>
      <c r="E20" s="437">
        <v>599.70000000000005</v>
      </c>
      <c r="F20" s="336">
        <v>8360.83</v>
      </c>
      <c r="G20" s="336">
        <v>14423.71</v>
      </c>
      <c r="H20" s="336">
        <v>2400.66</v>
      </c>
      <c r="I20" s="338"/>
      <c r="J20" s="336">
        <v>1874.64</v>
      </c>
      <c r="K20" s="336">
        <v>70211.34</v>
      </c>
      <c r="L20" s="336">
        <v>91689.84</v>
      </c>
      <c r="M20" s="337">
        <f t="shared" si="0"/>
        <v>271103.75</v>
      </c>
      <c r="N20" s="430">
        <f t="shared" si="1"/>
        <v>30122.638888888891</v>
      </c>
      <c r="O20" s="445"/>
    </row>
    <row r="21" spans="2:15" ht="11.1" customHeight="1" outlineLevel="1" x14ac:dyDescent="0.3">
      <c r="B21" s="330" t="s">
        <v>439</v>
      </c>
      <c r="C21" s="331"/>
      <c r="D21" s="438"/>
      <c r="E21" s="331"/>
      <c r="F21" s="331"/>
      <c r="G21" s="331"/>
      <c r="H21" s="331"/>
      <c r="I21" s="331"/>
      <c r="J21" s="331"/>
      <c r="K21" s="331"/>
      <c r="L21" s="331"/>
      <c r="M21" s="333">
        <f t="shared" si="0"/>
        <v>0</v>
      </c>
      <c r="N21" s="429">
        <f>M21/10</f>
        <v>0</v>
      </c>
      <c r="O21" s="445"/>
    </row>
    <row r="22" spans="2:15" ht="11.1" customHeight="1" outlineLevel="1" x14ac:dyDescent="0.3">
      <c r="B22" s="335" t="s">
        <v>440</v>
      </c>
      <c r="C22" s="336">
        <v>56905.65</v>
      </c>
      <c r="D22" s="336">
        <v>55892.93</v>
      </c>
      <c r="E22" s="336">
        <v>55892.93</v>
      </c>
      <c r="F22" s="336">
        <v>55892.93</v>
      </c>
      <c r="G22" s="336">
        <v>55892.93</v>
      </c>
      <c r="H22" s="336">
        <v>55892.93</v>
      </c>
      <c r="I22" s="336">
        <v>55892.88</v>
      </c>
      <c r="J22" s="336">
        <v>55710</v>
      </c>
      <c r="K22" s="336">
        <v>55710</v>
      </c>
      <c r="L22" s="336">
        <v>54574.67</v>
      </c>
      <c r="M22" s="337">
        <f t="shared" si="0"/>
        <v>558257.85</v>
      </c>
      <c r="N22" s="430">
        <f t="shared" si="1"/>
        <v>55825.784999999996</v>
      </c>
      <c r="O22" s="445"/>
    </row>
    <row r="23" spans="2:15" ht="11.1" customHeight="1" outlineLevel="1" x14ac:dyDescent="0.3">
      <c r="B23" s="335" t="s">
        <v>441</v>
      </c>
      <c r="C23" s="338"/>
      <c r="D23" s="336">
        <v>4120</v>
      </c>
      <c r="E23" s="338"/>
      <c r="F23" s="336">
        <v>3510</v>
      </c>
      <c r="G23" s="336">
        <v>2780</v>
      </c>
      <c r="H23" s="336">
        <v>2790</v>
      </c>
      <c r="I23" s="338"/>
      <c r="J23" s="338"/>
      <c r="K23" s="336">
        <v>13952</v>
      </c>
      <c r="L23" s="336">
        <v>4955</v>
      </c>
      <c r="M23" s="337">
        <f t="shared" si="0"/>
        <v>32107</v>
      </c>
      <c r="N23" s="430">
        <f t="shared" si="1"/>
        <v>5351.166666666667</v>
      </c>
      <c r="O23" s="445"/>
    </row>
    <row r="24" spans="2:15" ht="11.1" customHeight="1" outlineLevel="1" x14ac:dyDescent="0.3">
      <c r="B24" s="335" t="s">
        <v>442</v>
      </c>
      <c r="C24" s="336">
        <v>1280</v>
      </c>
      <c r="D24" s="336">
        <v>1280</v>
      </c>
      <c r="E24" s="336">
        <v>1280</v>
      </c>
      <c r="F24" s="336">
        <v>1280</v>
      </c>
      <c r="G24" s="336">
        <v>1280</v>
      </c>
      <c r="H24" s="336">
        <v>1280</v>
      </c>
      <c r="I24" s="336">
        <v>1280</v>
      </c>
      <c r="J24" s="336">
        <v>1280</v>
      </c>
      <c r="K24" s="336">
        <v>1280</v>
      </c>
      <c r="L24" s="336">
        <v>1280</v>
      </c>
      <c r="M24" s="337">
        <f t="shared" si="0"/>
        <v>12800</v>
      </c>
      <c r="N24" s="430">
        <f t="shared" si="1"/>
        <v>1280</v>
      </c>
      <c r="O24" s="445"/>
    </row>
    <row r="25" spans="2:15" ht="11.1" customHeight="1" outlineLevel="1" x14ac:dyDescent="0.3">
      <c r="B25" s="335" t="s">
        <v>443</v>
      </c>
      <c r="C25" s="336">
        <v>15120</v>
      </c>
      <c r="D25" s="336">
        <v>7080</v>
      </c>
      <c r="E25" s="336">
        <v>8820</v>
      </c>
      <c r="F25" s="336">
        <v>10470</v>
      </c>
      <c r="G25" s="336">
        <v>9315</v>
      </c>
      <c r="H25" s="336">
        <v>6045</v>
      </c>
      <c r="I25" s="336">
        <v>8730</v>
      </c>
      <c r="J25" s="336">
        <v>35175</v>
      </c>
      <c r="K25" s="336">
        <v>21870</v>
      </c>
      <c r="L25" s="336">
        <v>17040</v>
      </c>
      <c r="M25" s="337">
        <f t="shared" si="0"/>
        <v>139665</v>
      </c>
      <c r="N25" s="430">
        <f t="shared" si="1"/>
        <v>13966.5</v>
      </c>
      <c r="O25" s="445"/>
    </row>
    <row r="26" spans="2:15" ht="11.1" customHeight="1" outlineLevel="1" x14ac:dyDescent="0.3">
      <c r="B26" s="335" t="s">
        <v>444</v>
      </c>
      <c r="C26" s="336">
        <v>2500</v>
      </c>
      <c r="D26" s="437">
        <v>50</v>
      </c>
      <c r="E26" s="336">
        <v>1215</v>
      </c>
      <c r="F26" s="336">
        <v>1855.5</v>
      </c>
      <c r="G26" s="338"/>
      <c r="H26" s="338"/>
      <c r="I26" s="336">
        <v>3743</v>
      </c>
      <c r="J26" s="338"/>
      <c r="K26" s="336">
        <v>3000</v>
      </c>
      <c r="L26" s="336">
        <v>2950</v>
      </c>
      <c r="M26" s="337">
        <f t="shared" si="0"/>
        <v>15313.5</v>
      </c>
      <c r="N26" s="430">
        <f t="shared" si="1"/>
        <v>2187.6428571428573</v>
      </c>
      <c r="O26" s="445"/>
    </row>
    <row r="27" spans="2:15" ht="11.1" customHeight="1" outlineLevel="1" x14ac:dyDescent="0.3">
      <c r="B27" s="335" t="s">
        <v>444</v>
      </c>
      <c r="C27" s="336">
        <v>1171.1500000000001</v>
      </c>
      <c r="D27" s="336">
        <v>2134.62</v>
      </c>
      <c r="E27" s="437">
        <v>519.5</v>
      </c>
      <c r="F27" s="338"/>
      <c r="G27" s="437">
        <v>500</v>
      </c>
      <c r="H27" s="338"/>
      <c r="I27" s="338"/>
      <c r="J27" s="338"/>
      <c r="K27" s="338"/>
      <c r="L27" s="336">
        <v>1512.19</v>
      </c>
      <c r="M27" s="337">
        <f t="shared" si="0"/>
        <v>5837.4600000000009</v>
      </c>
      <c r="N27" s="430">
        <f t="shared" si="1"/>
        <v>1167.4920000000002</v>
      </c>
      <c r="O27" s="445"/>
    </row>
    <row r="28" spans="2:15" ht="11.1" customHeight="1" outlineLevel="1" x14ac:dyDescent="0.3">
      <c r="B28" s="335" t="s">
        <v>445</v>
      </c>
      <c r="C28" s="338"/>
      <c r="D28" s="437">
        <v>70</v>
      </c>
      <c r="E28" s="338"/>
      <c r="F28" s="338"/>
      <c r="G28" s="338"/>
      <c r="H28" s="338"/>
      <c r="I28" s="437">
        <v>820</v>
      </c>
      <c r="J28" s="338"/>
      <c r="K28" s="338"/>
      <c r="L28" s="338"/>
      <c r="M28" s="337">
        <f t="shared" si="0"/>
        <v>890</v>
      </c>
      <c r="N28" s="430">
        <f t="shared" si="1"/>
        <v>445</v>
      </c>
      <c r="O28" s="445"/>
    </row>
    <row r="29" spans="2:15" ht="11.1" customHeight="1" outlineLevel="1" x14ac:dyDescent="0.3">
      <c r="B29" s="439" t="s">
        <v>446</v>
      </c>
      <c r="C29" s="338"/>
      <c r="D29" s="336">
        <v>2808</v>
      </c>
      <c r="E29" s="338"/>
      <c r="F29" s="336">
        <v>7639</v>
      </c>
      <c r="G29" s="336">
        <v>7787</v>
      </c>
      <c r="H29" s="336">
        <v>4003</v>
      </c>
      <c r="I29" s="336">
        <v>19659</v>
      </c>
      <c r="J29" s="338"/>
      <c r="K29" s="336">
        <v>6892</v>
      </c>
      <c r="L29" s="336">
        <v>2808</v>
      </c>
      <c r="M29" s="337">
        <f t="shared" si="0"/>
        <v>51596</v>
      </c>
      <c r="N29" s="430">
        <f t="shared" si="1"/>
        <v>7370.8571428571431</v>
      </c>
      <c r="O29" s="445"/>
    </row>
    <row r="30" spans="2:15" ht="11.1" customHeight="1" outlineLevel="1" x14ac:dyDescent="0.3">
      <c r="B30" s="330" t="s">
        <v>447</v>
      </c>
      <c r="C30" s="331"/>
      <c r="D30" s="331"/>
      <c r="E30" s="331"/>
      <c r="F30" s="331"/>
      <c r="G30" s="331"/>
      <c r="H30" s="332">
        <v>2900</v>
      </c>
      <c r="I30" s="331"/>
      <c r="J30" s="331"/>
      <c r="K30" s="331"/>
      <c r="L30" s="331"/>
      <c r="M30" s="333">
        <f t="shared" si="0"/>
        <v>2900</v>
      </c>
      <c r="N30" s="429">
        <f>M30/11</f>
        <v>263.63636363636363</v>
      </c>
      <c r="O30" s="445" t="s">
        <v>495</v>
      </c>
    </row>
    <row r="31" spans="2:15" ht="11.1" customHeight="1" outlineLevel="1" x14ac:dyDescent="0.3">
      <c r="B31" s="335" t="s">
        <v>448</v>
      </c>
      <c r="C31" s="338"/>
      <c r="D31" s="338"/>
      <c r="E31" s="336">
        <v>6239.34</v>
      </c>
      <c r="F31" s="336">
        <v>1300.8</v>
      </c>
      <c r="G31" s="336">
        <v>3178.02</v>
      </c>
      <c r="H31" s="338"/>
      <c r="I31" s="338"/>
      <c r="J31" s="338"/>
      <c r="K31" s="336">
        <v>73301.13</v>
      </c>
      <c r="L31" s="336">
        <v>7406.34</v>
      </c>
      <c r="M31" s="337">
        <f t="shared" si="0"/>
        <v>91425.63</v>
      </c>
      <c r="N31" s="430">
        <f t="shared" si="1"/>
        <v>18285.126</v>
      </c>
      <c r="O31" s="445"/>
    </row>
    <row r="32" spans="2:15" ht="11.1" customHeight="1" outlineLevel="1" x14ac:dyDescent="0.3">
      <c r="B32" s="335" t="s">
        <v>449</v>
      </c>
      <c r="C32" s="338"/>
      <c r="D32" s="338"/>
      <c r="E32" s="437">
        <v>500</v>
      </c>
      <c r="F32" s="338"/>
      <c r="G32" s="336">
        <v>4040</v>
      </c>
      <c r="H32" s="338"/>
      <c r="I32" s="338"/>
      <c r="J32" s="338"/>
      <c r="K32" s="338"/>
      <c r="L32" s="338"/>
      <c r="M32" s="337">
        <f t="shared" si="0"/>
        <v>4540</v>
      </c>
      <c r="N32" s="430">
        <f t="shared" si="1"/>
        <v>2270</v>
      </c>
      <c r="O32" s="445"/>
    </row>
    <row r="33" spans="2:15" ht="21.9" customHeight="1" outlineLevel="1" x14ac:dyDescent="0.3">
      <c r="B33" s="335" t="s">
        <v>450</v>
      </c>
      <c r="C33" s="336">
        <v>1998</v>
      </c>
      <c r="D33" s="336">
        <v>1998</v>
      </c>
      <c r="E33" s="338"/>
      <c r="F33" s="338"/>
      <c r="G33" s="338"/>
      <c r="H33" s="338"/>
      <c r="I33" s="338"/>
      <c r="J33" s="338"/>
      <c r="K33" s="338"/>
      <c r="L33" s="338"/>
      <c r="M33" s="337">
        <f t="shared" si="0"/>
        <v>3996</v>
      </c>
      <c r="N33" s="430">
        <f>M33/10</f>
        <v>399.6</v>
      </c>
      <c r="O33" s="445"/>
    </row>
    <row r="34" spans="2:15" ht="11.1" customHeight="1" outlineLevel="1" x14ac:dyDescent="0.3">
      <c r="B34" s="335" t="s">
        <v>451</v>
      </c>
      <c r="C34" s="336">
        <v>44932.54</v>
      </c>
      <c r="D34" s="336">
        <v>13732.94</v>
      </c>
      <c r="E34" s="336">
        <v>10988.97</v>
      </c>
      <c r="F34" s="336">
        <v>11501.76</v>
      </c>
      <c r="G34" s="336">
        <v>7227.74</v>
      </c>
      <c r="H34" s="336">
        <v>6605.07</v>
      </c>
      <c r="I34" s="336">
        <v>7630.06</v>
      </c>
      <c r="J34" s="336">
        <v>8440.59</v>
      </c>
      <c r="K34" s="336">
        <v>4137.08</v>
      </c>
      <c r="L34" s="336">
        <v>7201.41</v>
      </c>
      <c r="M34" s="337">
        <f t="shared" si="0"/>
        <v>122398.15999999999</v>
      </c>
      <c r="N34" s="430">
        <f t="shared" si="1"/>
        <v>12239.815999999999</v>
      </c>
      <c r="O34" s="445"/>
    </row>
    <row r="35" spans="2:15" ht="11.1" customHeight="1" outlineLevel="1" x14ac:dyDescent="0.3">
      <c r="B35" s="335" t="s">
        <v>452</v>
      </c>
      <c r="C35" s="338"/>
      <c r="D35" s="338"/>
      <c r="E35" s="336">
        <v>2880</v>
      </c>
      <c r="F35" s="338"/>
      <c r="G35" s="338"/>
      <c r="H35" s="338"/>
      <c r="I35" s="338"/>
      <c r="J35" s="336">
        <v>1600</v>
      </c>
      <c r="K35" s="338"/>
      <c r="L35" s="336">
        <v>2880</v>
      </c>
      <c r="M35" s="337">
        <f t="shared" si="0"/>
        <v>7360</v>
      </c>
      <c r="N35" s="430">
        <f>M35/COUNT(C35:L35)</f>
        <v>2453.3333333333335</v>
      </c>
      <c r="O35" s="445"/>
    </row>
    <row r="36" spans="2:15" ht="33" customHeight="1" outlineLevel="1" x14ac:dyDescent="0.3">
      <c r="B36" s="335" t="s">
        <v>453</v>
      </c>
      <c r="C36" s="338"/>
      <c r="D36" s="338"/>
      <c r="E36" s="338"/>
      <c r="F36" s="336">
        <v>7830.01</v>
      </c>
      <c r="G36" s="338"/>
      <c r="H36" s="336">
        <v>10300</v>
      </c>
      <c r="I36" s="336">
        <v>17000</v>
      </c>
      <c r="J36" s="336">
        <v>2500</v>
      </c>
      <c r="K36" s="336">
        <v>2500</v>
      </c>
      <c r="L36" s="336">
        <v>16792</v>
      </c>
      <c r="M36" s="337">
        <f t="shared" si="0"/>
        <v>56922.01</v>
      </c>
      <c r="N36" s="430">
        <f t="shared" si="1"/>
        <v>9487.001666666667</v>
      </c>
      <c r="O36" s="445"/>
    </row>
    <row r="37" spans="2:15" ht="11.1" customHeight="1" outlineLevel="1" x14ac:dyDescent="0.3">
      <c r="B37" s="335" t="s">
        <v>454</v>
      </c>
      <c r="C37" s="338"/>
      <c r="D37" s="338"/>
      <c r="E37" s="338"/>
      <c r="F37" s="338"/>
      <c r="G37" s="338"/>
      <c r="H37" s="338"/>
      <c r="I37" s="338"/>
      <c r="J37" s="338"/>
      <c r="K37" s="437">
        <v>132.5</v>
      </c>
      <c r="L37" s="338"/>
      <c r="M37" s="337">
        <f t="shared" si="0"/>
        <v>132.5</v>
      </c>
      <c r="N37" s="430">
        <f t="shared" si="1"/>
        <v>132.5</v>
      </c>
      <c r="O37" s="445"/>
    </row>
    <row r="38" spans="2:15" ht="11.1" customHeight="1" outlineLevel="1" x14ac:dyDescent="0.3">
      <c r="B38" s="335" t="s">
        <v>455</v>
      </c>
      <c r="C38" s="437">
        <v>309.2</v>
      </c>
      <c r="D38" s="437">
        <v>312.2</v>
      </c>
      <c r="E38" s="437">
        <v>244</v>
      </c>
      <c r="F38" s="437">
        <v>154.16</v>
      </c>
      <c r="G38" s="437">
        <v>145</v>
      </c>
      <c r="H38" s="437">
        <v>125</v>
      </c>
      <c r="I38" s="437">
        <v>120</v>
      </c>
      <c r="J38" s="437">
        <v>87.84</v>
      </c>
      <c r="K38" s="437">
        <v>120</v>
      </c>
      <c r="L38" s="437">
        <v>120</v>
      </c>
      <c r="M38" s="337">
        <f t="shared" si="0"/>
        <v>1737.3999999999999</v>
      </c>
      <c r="N38" s="430">
        <f t="shared" si="1"/>
        <v>173.73999999999998</v>
      </c>
      <c r="O38" s="445"/>
    </row>
    <row r="39" spans="2:15" ht="22.5" customHeight="1" outlineLevel="1" x14ac:dyDescent="0.3">
      <c r="B39" s="330" t="s">
        <v>456</v>
      </c>
      <c r="C39" s="332">
        <v>65448.76</v>
      </c>
      <c r="D39" s="332">
        <v>55941.22</v>
      </c>
      <c r="E39" s="332">
        <v>14502.22</v>
      </c>
      <c r="F39" s="332">
        <v>105039.84</v>
      </c>
      <c r="G39" s="332">
        <v>52235.15</v>
      </c>
      <c r="H39" s="332">
        <v>98012.22</v>
      </c>
      <c r="I39" s="332">
        <v>166164.84</v>
      </c>
      <c r="J39" s="332">
        <v>41609.339999999997</v>
      </c>
      <c r="K39" s="332">
        <v>110252.94</v>
      </c>
      <c r="L39" s="332">
        <v>95666.74</v>
      </c>
      <c r="M39" s="333">
        <f t="shared" si="0"/>
        <v>804873.27</v>
      </c>
      <c r="N39" s="429">
        <f t="shared" si="1"/>
        <v>80487.327000000005</v>
      </c>
      <c r="O39" s="445" t="s">
        <v>498</v>
      </c>
    </row>
    <row r="40" spans="2:15" ht="22.5" customHeight="1" outlineLevel="1" x14ac:dyDescent="0.3">
      <c r="B40" s="330" t="s">
        <v>457</v>
      </c>
      <c r="C40" s="332">
        <v>27930.959999999999</v>
      </c>
      <c r="D40" s="331"/>
      <c r="E40" s="332">
        <v>80002.080000000002</v>
      </c>
      <c r="F40" s="332">
        <v>36390.720000000001</v>
      </c>
      <c r="G40" s="331"/>
      <c r="H40" s="331"/>
      <c r="I40" s="332">
        <v>34230</v>
      </c>
      <c r="J40" s="332">
        <v>21448.799999999999</v>
      </c>
      <c r="K40" s="332">
        <v>81954.960000000006</v>
      </c>
      <c r="L40" s="438">
        <v>959.04</v>
      </c>
      <c r="M40" s="333">
        <f t="shared" si="0"/>
        <v>282916.56</v>
      </c>
      <c r="N40" s="429">
        <f>M40/10</f>
        <v>28291.655999999999</v>
      </c>
      <c r="O40" s="445" t="s">
        <v>499</v>
      </c>
    </row>
    <row r="41" spans="2:15" ht="11.1" customHeight="1" outlineLevel="1" x14ac:dyDescent="0.3">
      <c r="B41" s="335" t="s">
        <v>458</v>
      </c>
      <c r="C41" s="437">
        <v>377.28</v>
      </c>
      <c r="D41" s="437">
        <v>362.27</v>
      </c>
      <c r="E41" s="437">
        <v>371.15</v>
      </c>
      <c r="F41" s="437">
        <v>366.31</v>
      </c>
      <c r="G41" s="437">
        <v>359.94</v>
      </c>
      <c r="H41" s="437">
        <v>359.94</v>
      </c>
      <c r="I41" s="437">
        <v>361.21</v>
      </c>
      <c r="J41" s="437">
        <v>359.94</v>
      </c>
      <c r="K41" s="437">
        <v>366.56</v>
      </c>
      <c r="L41" s="437">
        <v>364.8</v>
      </c>
      <c r="M41" s="337">
        <f t="shared" si="0"/>
        <v>3649.4</v>
      </c>
      <c r="N41" s="430">
        <f t="shared" si="1"/>
        <v>364.94</v>
      </c>
      <c r="O41" s="445"/>
    </row>
    <row r="42" spans="2:15" ht="11.1" customHeight="1" outlineLevel="1" x14ac:dyDescent="0.3">
      <c r="B42" s="330" t="s">
        <v>459</v>
      </c>
      <c r="C42" s="331"/>
      <c r="D42" s="331"/>
      <c r="E42" s="331"/>
      <c r="F42" s="331"/>
      <c r="G42" s="331"/>
      <c r="H42" s="331"/>
      <c r="I42" s="331"/>
      <c r="J42" s="331"/>
      <c r="K42" s="438">
        <v>829.21</v>
      </c>
      <c r="L42" s="331"/>
      <c r="M42" s="333">
        <f t="shared" si="0"/>
        <v>829.21</v>
      </c>
      <c r="N42" s="429">
        <f t="shared" si="1"/>
        <v>829.21</v>
      </c>
      <c r="O42" s="445" t="s">
        <v>495</v>
      </c>
    </row>
    <row r="43" spans="2:15" ht="20.399999999999999" outlineLevel="1" x14ac:dyDescent="0.3">
      <c r="B43" s="440" t="s">
        <v>393</v>
      </c>
      <c r="C43" s="441">
        <v>28083.46</v>
      </c>
      <c r="D43" s="441">
        <v>42523.01</v>
      </c>
      <c r="E43" s="441">
        <v>70170.78</v>
      </c>
      <c r="F43" s="441">
        <v>13193.09</v>
      </c>
      <c r="G43" s="441">
        <v>28116.75</v>
      </c>
      <c r="H43" s="441">
        <v>132368.85</v>
      </c>
      <c r="I43" s="442">
        <v>295.17</v>
      </c>
      <c r="J43" s="441">
        <v>2406.38</v>
      </c>
      <c r="K43" s="441">
        <v>124781.65</v>
      </c>
      <c r="L43" s="441">
        <v>33557.97</v>
      </c>
      <c r="M43" s="443">
        <f t="shared" si="0"/>
        <v>475497.11</v>
      </c>
      <c r="N43" s="444">
        <f t="shared" si="1"/>
        <v>47549.710999999996</v>
      </c>
      <c r="O43" s="445" t="s">
        <v>500</v>
      </c>
    </row>
    <row r="44" spans="2:15" ht="11.1" customHeight="1" outlineLevel="1" x14ac:dyDescent="0.3">
      <c r="B44" s="335" t="s">
        <v>460</v>
      </c>
      <c r="C44" s="336">
        <v>3950.86</v>
      </c>
      <c r="D44" s="336">
        <v>3950.86</v>
      </c>
      <c r="E44" s="336">
        <v>3950.86</v>
      </c>
      <c r="F44" s="336">
        <v>3950.86</v>
      </c>
      <c r="G44" s="336">
        <v>3950.86</v>
      </c>
      <c r="H44" s="336">
        <v>11224.98</v>
      </c>
      <c r="I44" s="336">
        <v>6393.82</v>
      </c>
      <c r="J44" s="336">
        <v>6355.91</v>
      </c>
      <c r="K44" s="336">
        <v>12669.7</v>
      </c>
      <c r="L44" s="437">
        <v>46.33</v>
      </c>
      <c r="M44" s="337">
        <f t="shared" si="0"/>
        <v>56445.039999999994</v>
      </c>
      <c r="N44" s="430">
        <f t="shared" si="1"/>
        <v>5644.503999999999</v>
      </c>
      <c r="O44" s="445"/>
    </row>
    <row r="45" spans="2:15" ht="11.1" customHeight="1" outlineLevel="1" x14ac:dyDescent="0.3">
      <c r="B45" s="335" t="s">
        <v>461</v>
      </c>
      <c r="C45" s="336">
        <v>1004852.47</v>
      </c>
      <c r="D45" s="336">
        <v>1092405.8899999999</v>
      </c>
      <c r="E45" s="336">
        <v>941038.93</v>
      </c>
      <c r="F45" s="336">
        <v>997788.7</v>
      </c>
      <c r="G45" s="336">
        <v>932950.1</v>
      </c>
      <c r="H45" s="336">
        <v>1063069.97</v>
      </c>
      <c r="I45" s="336">
        <v>1106618.83</v>
      </c>
      <c r="J45" s="336">
        <v>1260392.49</v>
      </c>
      <c r="K45" s="336">
        <v>1241280.4099999999</v>
      </c>
      <c r="L45" s="336">
        <v>1265995.3899999999</v>
      </c>
      <c r="M45" s="337">
        <f t="shared" si="0"/>
        <v>10906393.18</v>
      </c>
      <c r="N45" s="430">
        <f t="shared" si="1"/>
        <v>1090639.318</v>
      </c>
      <c r="O45" s="445"/>
    </row>
    <row r="46" spans="2:15" ht="11.1" customHeight="1" outlineLevel="1" x14ac:dyDescent="0.3">
      <c r="B46" s="330" t="s">
        <v>462</v>
      </c>
      <c r="C46" s="332">
        <v>2860</v>
      </c>
      <c r="D46" s="331"/>
      <c r="E46" s="331"/>
      <c r="F46" s="331"/>
      <c r="G46" s="331"/>
      <c r="H46" s="331"/>
      <c r="I46" s="331"/>
      <c r="J46" s="331"/>
      <c r="K46" s="331"/>
      <c r="L46" s="331"/>
      <c r="M46" s="333">
        <f t="shared" si="0"/>
        <v>2860</v>
      </c>
      <c r="N46" s="429">
        <f t="shared" si="1"/>
        <v>2860</v>
      </c>
      <c r="O46" s="445" t="s">
        <v>495</v>
      </c>
    </row>
    <row r="47" spans="2:15" ht="11.1" customHeight="1" outlineLevel="1" x14ac:dyDescent="0.3">
      <c r="B47" s="335" t="s">
        <v>463</v>
      </c>
      <c r="C47" s="336">
        <v>28741.919999999998</v>
      </c>
      <c r="D47" s="336">
        <v>22437.81</v>
      </c>
      <c r="E47" s="336">
        <v>35496.33</v>
      </c>
      <c r="F47" s="336">
        <v>38836.199999999997</v>
      </c>
      <c r="G47" s="336">
        <v>137679.44</v>
      </c>
      <c r="H47" s="336">
        <v>168363.15</v>
      </c>
      <c r="I47" s="336">
        <v>131276.29999999999</v>
      </c>
      <c r="J47" s="336">
        <v>145495.07</v>
      </c>
      <c r="K47" s="336">
        <v>161598.26</v>
      </c>
      <c r="L47" s="336">
        <v>137872.26999999999</v>
      </c>
      <c r="M47" s="337">
        <f t="shared" si="0"/>
        <v>1007796.75</v>
      </c>
      <c r="N47" s="430">
        <f t="shared" si="1"/>
        <v>100779.675</v>
      </c>
      <c r="O47" s="445"/>
    </row>
    <row r="48" spans="2:15" ht="20.399999999999999" outlineLevel="1" x14ac:dyDescent="0.3">
      <c r="B48" s="330" t="s">
        <v>464</v>
      </c>
      <c r="C48" s="332">
        <v>1150583.23</v>
      </c>
      <c r="D48" s="332">
        <v>1321486.1100000001</v>
      </c>
      <c r="E48" s="332">
        <v>1381106.93</v>
      </c>
      <c r="F48" s="332">
        <v>1436549.89</v>
      </c>
      <c r="G48" s="332">
        <v>1316854.2</v>
      </c>
      <c r="H48" s="332">
        <v>1998888.55</v>
      </c>
      <c r="I48" s="332">
        <v>1823422.72</v>
      </c>
      <c r="J48" s="332">
        <v>2163762.92</v>
      </c>
      <c r="K48" s="332">
        <v>1907128</v>
      </c>
      <c r="L48" s="332">
        <v>1631320.1</v>
      </c>
      <c r="M48" s="333">
        <f t="shared" si="0"/>
        <v>16131102.65</v>
      </c>
      <c r="N48" s="429">
        <f>M48/COUNT(C48:L48)</f>
        <v>1613110.2650000001</v>
      </c>
      <c r="O48" s="445" t="s">
        <v>499</v>
      </c>
    </row>
    <row r="49" spans="2:15" ht="11.1" customHeight="1" outlineLevel="1" x14ac:dyDescent="0.3">
      <c r="B49" s="335" t="s">
        <v>465</v>
      </c>
      <c r="C49" s="338"/>
      <c r="D49" s="336">
        <v>3600</v>
      </c>
      <c r="E49" s="338"/>
      <c r="F49" s="338"/>
      <c r="G49" s="338"/>
      <c r="H49" s="338"/>
      <c r="I49" s="336">
        <v>2300</v>
      </c>
      <c r="J49" s="338"/>
      <c r="K49" s="336">
        <v>4800</v>
      </c>
      <c r="L49" s="338"/>
      <c r="M49" s="337">
        <f t="shared" si="0"/>
        <v>10700</v>
      </c>
      <c r="N49" s="430">
        <f>M49/10</f>
        <v>1070</v>
      </c>
      <c r="O49" s="445"/>
    </row>
    <row r="50" spans="2:15" ht="24" customHeight="1" outlineLevel="1" x14ac:dyDescent="0.3">
      <c r="B50" s="330" t="s">
        <v>466</v>
      </c>
      <c r="C50" s="331"/>
      <c r="D50" s="332">
        <v>123172.03</v>
      </c>
      <c r="E50" s="331"/>
      <c r="F50" s="331"/>
      <c r="G50" s="331"/>
      <c r="H50" s="331"/>
      <c r="I50" s="331"/>
      <c r="J50" s="331"/>
      <c r="K50" s="331"/>
      <c r="L50" s="331"/>
      <c r="M50" s="333">
        <f t="shared" si="0"/>
        <v>123172.03</v>
      </c>
      <c r="N50" s="429">
        <f t="shared" si="1"/>
        <v>123172.03</v>
      </c>
      <c r="O50" s="445" t="s">
        <v>498</v>
      </c>
    </row>
    <row r="51" spans="2:15" ht="11.1" customHeight="1" x14ac:dyDescent="0.3">
      <c r="B51" s="339" t="s">
        <v>423</v>
      </c>
      <c r="C51" s="340">
        <f>SUBTOTAL(109,C10:C50)</f>
        <v>4158712.6199999996</v>
      </c>
      <c r="D51" s="340">
        <f t="shared" ref="D51:K51" si="2">SUBTOTAL(109,D10:D50)</f>
        <v>3784805.7399999998</v>
      </c>
      <c r="E51" s="340">
        <f t="shared" si="2"/>
        <v>4026796.67</v>
      </c>
      <c r="F51" s="340">
        <f t="shared" si="2"/>
        <v>3443628.08</v>
      </c>
      <c r="G51" s="340">
        <f t="shared" si="2"/>
        <v>3397645.62</v>
      </c>
      <c r="H51" s="340">
        <f t="shared" si="2"/>
        <v>4420336.83</v>
      </c>
      <c r="I51" s="340">
        <f t="shared" si="2"/>
        <v>4800312.6399999997</v>
      </c>
      <c r="J51" s="340">
        <f t="shared" si="2"/>
        <v>4699038.26</v>
      </c>
      <c r="K51" s="340">
        <f t="shared" si="2"/>
        <v>4685496.8899999997</v>
      </c>
      <c r="L51" s="340">
        <f>SUBTOTAL(109,L10:L50)</f>
        <v>4950563.83</v>
      </c>
      <c r="M51" s="340">
        <f>SUBTOTAL(109,M10:M50)</f>
        <v>42367337.18</v>
      </c>
      <c r="N51" s="431">
        <f>SUBTOTAL(109,N10:N50)</f>
        <v>4380493.7325858595</v>
      </c>
      <c r="O51" s="446" t="s">
        <v>70</v>
      </c>
    </row>
    <row r="52" spans="2:15" s="327" customFormat="1" ht="11.4" customHeight="1" x14ac:dyDescent="0.3">
      <c r="C52" s="327" t="str">
        <f>IF(C9&gt;C51,C9-C51,"Ok")</f>
        <v>Ok</v>
      </c>
      <c r="D52" s="327">
        <f t="shared" ref="D52:M52" si="3">IF(D9&gt;D51,D9-D51,"Ok")</f>
        <v>834.60000000009313</v>
      </c>
      <c r="E52" s="327" t="str">
        <f t="shared" si="3"/>
        <v>Ok</v>
      </c>
      <c r="F52" s="327" t="str">
        <f t="shared" si="3"/>
        <v>Ok</v>
      </c>
      <c r="G52" s="327" t="str">
        <f t="shared" si="3"/>
        <v>Ok</v>
      </c>
      <c r="H52" s="327" t="str">
        <f t="shared" si="3"/>
        <v>Ok</v>
      </c>
      <c r="I52" s="327" t="str">
        <f t="shared" si="3"/>
        <v>Ok</v>
      </c>
      <c r="J52" s="327" t="str">
        <f t="shared" si="3"/>
        <v>Ok</v>
      </c>
      <c r="K52" s="327" t="str">
        <f t="shared" si="3"/>
        <v>Ok</v>
      </c>
      <c r="L52" s="327" t="str">
        <f t="shared" si="3"/>
        <v>Ok</v>
      </c>
      <c r="M52" s="327">
        <f t="shared" si="3"/>
        <v>834.59999999403954</v>
      </c>
      <c r="O52" s="432"/>
    </row>
  </sheetData>
  <autoFilter ref="B8:N50" xr:uid="{00000000-0009-0000-0000-00000B000000}"/>
  <mergeCells count="2">
    <mergeCell ref="N7:N9"/>
    <mergeCell ref="O7:O9"/>
  </mergeCells>
  <conditionalFormatting sqref="C9:M9">
    <cfRule type="expression" dxfId="12" priority="1">
      <formula>C$9&gt;C$51</formula>
    </cfRule>
  </conditionalFormatting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H26"/>
  <sheetViews>
    <sheetView workbookViewId="0">
      <selection activeCell="C26" sqref="C26"/>
    </sheetView>
  </sheetViews>
  <sheetFormatPr defaultColWidth="9.109375" defaultRowHeight="13.8" outlineLevelRow="1" x14ac:dyDescent="0.25"/>
  <cols>
    <col min="1" max="1" width="7" style="499" customWidth="1"/>
    <col min="2" max="2" width="27.88671875" style="499" customWidth="1"/>
    <col min="3" max="6" width="10.5546875" style="499" customWidth="1"/>
    <col min="7" max="7" width="19.109375" style="503" customWidth="1"/>
    <col min="8" max="8" width="8.33203125" style="509" customWidth="1"/>
    <col min="9" max="16384" width="9.109375" style="499"/>
  </cols>
  <sheetData>
    <row r="1" spans="1:8" ht="37.5" customHeight="1" x14ac:dyDescent="0.25">
      <c r="A1" s="725" t="s">
        <v>523</v>
      </c>
      <c r="B1" s="725"/>
      <c r="C1" s="725"/>
      <c r="D1" s="725"/>
      <c r="E1" s="725"/>
      <c r="F1" s="725"/>
    </row>
    <row r="2" spans="1:8" ht="27.6" x14ac:dyDescent="0.25">
      <c r="A2" s="726" t="s">
        <v>524</v>
      </c>
      <c r="B2" s="728" t="s">
        <v>525</v>
      </c>
      <c r="C2" s="726" t="s">
        <v>526</v>
      </c>
      <c r="D2" s="730" t="s">
        <v>527</v>
      </c>
      <c r="E2" s="732" t="s">
        <v>528</v>
      </c>
      <c r="F2" s="732"/>
      <c r="G2" s="504" t="s">
        <v>548</v>
      </c>
    </row>
    <row r="3" spans="1:8" x14ac:dyDescent="0.25">
      <c r="A3" s="727"/>
      <c r="B3" s="729"/>
      <c r="C3" s="727"/>
      <c r="D3" s="731"/>
      <c r="E3" s="472" t="s">
        <v>529</v>
      </c>
      <c r="F3" s="472" t="s">
        <v>479</v>
      </c>
      <c r="G3" s="505"/>
    </row>
    <row r="4" spans="1:8" s="500" customFormat="1" ht="15.6" x14ac:dyDescent="0.3">
      <c r="A4" s="483" t="s">
        <v>1</v>
      </c>
      <c r="B4" s="484" t="s">
        <v>168</v>
      </c>
      <c r="C4" s="485">
        <v>3042</v>
      </c>
      <c r="D4" s="486">
        <f t="shared" ref="D4:D17" si="0">C4/$C$26</f>
        <v>0.41141466053556935</v>
      </c>
      <c r="E4" s="487">
        <f>E5+E9+E10</f>
        <v>14.640000000000002</v>
      </c>
      <c r="F4" s="488">
        <f>C4*E4</f>
        <v>44534.880000000005</v>
      </c>
      <c r="G4" s="506"/>
      <c r="H4" s="510"/>
    </row>
    <row r="5" spans="1:8" s="501" customFormat="1" ht="15.6" hidden="1" outlineLevel="1" x14ac:dyDescent="0.25">
      <c r="A5" s="481" t="s">
        <v>33</v>
      </c>
      <c r="B5" s="396" t="s">
        <v>483</v>
      </c>
      <c r="C5" s="485">
        <v>3042</v>
      </c>
      <c r="D5" s="486">
        <f t="shared" si="0"/>
        <v>0.41141466053556935</v>
      </c>
      <c r="E5" s="482">
        <f>SUM(E6:E8)</f>
        <v>9.5400000000000009</v>
      </c>
      <c r="F5" s="488">
        <f t="shared" ref="F5:F10" si="1">C5*E5</f>
        <v>29020.680000000004</v>
      </c>
      <c r="G5" s="507">
        <f>SUM(G6:G8)</f>
        <v>151200</v>
      </c>
      <c r="H5" s="507">
        <f>SUM(H6:H8)</f>
        <v>72419.215020473377</v>
      </c>
    </row>
    <row r="6" spans="1:8" s="502" customFormat="1" ht="13.2" hidden="1" outlineLevel="1" x14ac:dyDescent="0.25">
      <c r="A6" s="491" t="s">
        <v>539</v>
      </c>
      <c r="B6" s="492" t="s">
        <v>482</v>
      </c>
      <c r="C6" s="493">
        <v>3042</v>
      </c>
      <c r="D6" s="494">
        <f t="shared" si="0"/>
        <v>0.41141466053556935</v>
      </c>
      <c r="E6" s="495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F6" s="496">
        <f t="shared" si="1"/>
        <v>2068.56</v>
      </c>
      <c r="G6" s="508">
        <f>SUMIFS(Таблица2[Трудозатраты    (чел/час)],Таблица2[Подразделение],"СЦ",Таблица2[Должность],"Приемщица")*60</f>
        <v>20160</v>
      </c>
      <c r="H6" s="512">
        <f>G6/E6</f>
        <v>29647.058823529416</v>
      </c>
    </row>
    <row r="7" spans="1:8" s="502" customFormat="1" ht="13.2" hidden="1" outlineLevel="1" x14ac:dyDescent="0.25">
      <c r="A7" s="491" t="s">
        <v>540</v>
      </c>
      <c r="B7" s="492" t="s">
        <v>480</v>
      </c>
      <c r="C7" s="493">
        <v>3042</v>
      </c>
      <c r="D7" s="494">
        <f t="shared" si="0"/>
        <v>0.41141466053556935</v>
      </c>
      <c r="E7" s="495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</f>
        <v>6.2000000000000011</v>
      </c>
      <c r="F7" s="496">
        <f t="shared" si="1"/>
        <v>18860.400000000001</v>
      </c>
      <c r="G7" s="508">
        <f>SUMIFS(Таблица2[Трудозатраты    (чел/час)],Таблица2[Подразделение],"СЦ",Таблица2[Должность],"Слесарь")*60</f>
        <v>30240</v>
      </c>
      <c r="H7" s="512">
        <f>G7/E7</f>
        <v>4877.4193548387084</v>
      </c>
    </row>
    <row r="8" spans="1:8" s="502" customFormat="1" ht="13.2" hidden="1" outlineLevel="1" x14ac:dyDescent="0.25">
      <c r="A8" s="491" t="s">
        <v>541</v>
      </c>
      <c r="B8" s="492" t="s">
        <v>481</v>
      </c>
      <c r="C8" s="493">
        <v>3042</v>
      </c>
      <c r="D8" s="494">
        <f t="shared" si="0"/>
        <v>0.41141466053556935</v>
      </c>
      <c r="E8" s="495">
        <f>SUMIF(Таблица5[Наименование операции]," - замена DA1",Таблица5[К-во])+SUMIF(Таблица5[Наименование операции],"Юстировка",Таблица5[К-во])</f>
        <v>2.66</v>
      </c>
      <c r="F8" s="496">
        <f t="shared" si="1"/>
        <v>8091.72</v>
      </c>
      <c r="G8" s="508">
        <f>SUMIFS(Таблица2[Трудозатраты    (чел/час)],Таблица2[Подразделение],"СЦ",Таблица2[Должность],"Ремонтник")*60</f>
        <v>100800</v>
      </c>
      <c r="H8" s="512">
        <f t="shared" ref="H8" si="2">G8/E8</f>
        <v>37894.73684210526</v>
      </c>
    </row>
    <row r="9" spans="1:8" s="501" customFormat="1" ht="15.6" hidden="1" outlineLevel="1" x14ac:dyDescent="0.25">
      <c r="A9" s="481" t="s">
        <v>34</v>
      </c>
      <c r="B9" s="396" t="s">
        <v>36</v>
      </c>
      <c r="C9" s="485">
        <v>3042</v>
      </c>
      <c r="D9" s="486">
        <f t="shared" si="0"/>
        <v>0.41141466053556935</v>
      </c>
      <c r="E9" s="482">
        <f>SUMIF(Таблица5[Наименование операции],"Диагностика функциональности",Таблица5[К-во])+SUMIF(Таблица5[Наименование операции],"Поверка",Таблица5[К-во])+SUMIF(Таблица5[Наименование операции],"Пломбировка",Таблица5[К-во])</f>
        <v>3.38</v>
      </c>
      <c r="F9" s="488">
        <f t="shared" si="1"/>
        <v>10281.959999999999</v>
      </c>
      <c r="G9" s="507"/>
      <c r="H9" s="511"/>
    </row>
    <row r="10" spans="1:8" s="501" customFormat="1" ht="15.6" hidden="1" outlineLevel="1" x14ac:dyDescent="0.25">
      <c r="A10" s="481" t="s">
        <v>76</v>
      </c>
      <c r="B10" s="396" t="s">
        <v>52</v>
      </c>
      <c r="C10" s="485">
        <v>3042</v>
      </c>
      <c r="D10" s="486">
        <f t="shared" si="0"/>
        <v>0.41141466053556935</v>
      </c>
      <c r="E10" s="482">
        <f>SUMIF(Таблица5[Наименование операции],"Установка клемной крышки",Таблица5[К-во])+SUMIF(Таблица5[Наименование операции],"Упаковка",Таблица5[К-во])</f>
        <v>1.72</v>
      </c>
      <c r="F10" s="488">
        <f t="shared" si="1"/>
        <v>5232.24</v>
      </c>
      <c r="G10" s="507"/>
      <c r="H10" s="511"/>
    </row>
    <row r="11" spans="1:8" s="500" customFormat="1" ht="15.6" collapsed="1" x14ac:dyDescent="0.3">
      <c r="A11" s="483" t="s">
        <v>23</v>
      </c>
      <c r="B11" s="484" t="s">
        <v>530</v>
      </c>
      <c r="C11" s="485">
        <v>470</v>
      </c>
      <c r="D11" s="486">
        <f t="shared" si="0"/>
        <v>6.3565052745469294E-2</v>
      </c>
      <c r="E11" s="487">
        <f>E12+E16+E17</f>
        <v>15.090000000000002</v>
      </c>
      <c r="F11" s="488">
        <f>C11*E11</f>
        <v>7092.3000000000011</v>
      </c>
      <c r="G11" s="506"/>
      <c r="H11" s="510"/>
    </row>
    <row r="12" spans="1:8" s="501" customFormat="1" ht="15.6" hidden="1" outlineLevel="1" x14ac:dyDescent="0.25">
      <c r="A12" s="481" t="s">
        <v>33</v>
      </c>
      <c r="B12" s="396" t="s">
        <v>483</v>
      </c>
      <c r="C12" s="485">
        <f>C11</f>
        <v>470</v>
      </c>
      <c r="D12" s="486">
        <f t="shared" si="0"/>
        <v>6.3565052745469294E-2</v>
      </c>
      <c r="E12" s="482">
        <f>SUM(E13:E15)</f>
        <v>9.990000000000002</v>
      </c>
      <c r="F12" s="488">
        <f t="shared" ref="F12:F25" si="3">C12*E12</f>
        <v>4695.3000000000011</v>
      </c>
      <c r="G12" s="507"/>
      <c r="H12" s="511"/>
    </row>
    <row r="13" spans="1:8" s="502" customFormat="1" ht="13.2" hidden="1" outlineLevel="1" x14ac:dyDescent="0.25">
      <c r="A13" s="491" t="s">
        <v>539</v>
      </c>
      <c r="B13" s="492" t="s">
        <v>482</v>
      </c>
      <c r="C13" s="493">
        <f>C12</f>
        <v>470</v>
      </c>
      <c r="D13" s="494">
        <f t="shared" si="0"/>
        <v>6.3565052745469294E-2</v>
      </c>
      <c r="E13" s="495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F13" s="496">
        <f t="shared" si="3"/>
        <v>319.59999999999997</v>
      </c>
      <c r="G13" s="508"/>
      <c r="H13" s="512"/>
    </row>
    <row r="14" spans="1:8" s="502" customFormat="1" ht="13.2" hidden="1" outlineLevel="1" x14ac:dyDescent="0.25">
      <c r="A14" s="491" t="s">
        <v>540</v>
      </c>
      <c r="B14" s="492" t="s">
        <v>480</v>
      </c>
      <c r="C14" s="493">
        <f t="shared" ref="C14:C15" si="4">C13</f>
        <v>470</v>
      </c>
      <c r="D14" s="494">
        <f t="shared" si="0"/>
        <v>6.3565052745469294E-2</v>
      </c>
      <c r="E14" s="495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кожух",Таблица5[К-во])</f>
        <v>6.6500000000000012</v>
      </c>
      <c r="F14" s="496">
        <f t="shared" si="3"/>
        <v>3125.5000000000005</v>
      </c>
      <c r="G14" s="508"/>
      <c r="H14" s="512"/>
    </row>
    <row r="15" spans="1:8" s="502" customFormat="1" ht="13.2" hidden="1" outlineLevel="1" x14ac:dyDescent="0.25">
      <c r="A15" s="491" t="s">
        <v>541</v>
      </c>
      <c r="B15" s="492" t="s">
        <v>481</v>
      </c>
      <c r="C15" s="493">
        <f t="shared" si="4"/>
        <v>470</v>
      </c>
      <c r="D15" s="494">
        <f t="shared" si="0"/>
        <v>6.3565052745469294E-2</v>
      </c>
      <c r="E15" s="495">
        <f>SUMIF(Таблица5[Наименование операции]," - замена DA1",Таблица5[К-во])+SUMIF(Таблица5[Наименование операции],"Юстировка",Таблица5[К-во])</f>
        <v>2.66</v>
      </c>
      <c r="F15" s="496">
        <f t="shared" si="3"/>
        <v>1250.2</v>
      </c>
      <c r="G15" s="508"/>
      <c r="H15" s="512"/>
    </row>
    <row r="16" spans="1:8" s="501" customFormat="1" ht="15.6" hidden="1" outlineLevel="1" x14ac:dyDescent="0.25">
      <c r="A16" s="481" t="s">
        <v>34</v>
      </c>
      <c r="B16" s="396" t="s">
        <v>36</v>
      </c>
      <c r="C16" s="485">
        <f>C15</f>
        <v>470</v>
      </c>
      <c r="D16" s="486">
        <f t="shared" si="0"/>
        <v>6.3565052745469294E-2</v>
      </c>
      <c r="E16" s="482">
        <f>SUMIF(Таблица5[Наименование операции],"Диагностика функциональности",Таблица5[К-во])+SUMIF(Таблица5[Наименование операции],"Поверка",Таблица5[К-во])+SUMIF(Таблица5[Наименование операции],"Пломбировка",Таблица5[К-во])</f>
        <v>3.38</v>
      </c>
      <c r="F16" s="488">
        <f t="shared" si="3"/>
        <v>1588.6</v>
      </c>
      <c r="G16" s="507"/>
      <c r="H16" s="511"/>
    </row>
    <row r="17" spans="1:8" s="501" customFormat="1" ht="15.6" hidden="1" outlineLevel="1" x14ac:dyDescent="0.25">
      <c r="A17" s="481" t="s">
        <v>76</v>
      </c>
      <c r="B17" s="396" t="s">
        <v>52</v>
      </c>
      <c r="C17" s="485">
        <f>C16</f>
        <v>470</v>
      </c>
      <c r="D17" s="486">
        <f t="shared" si="0"/>
        <v>6.3565052745469294E-2</v>
      </c>
      <c r="E17" s="482">
        <f>SUMIF(Таблица5[Наименование операции],"Установка клемной крышки",Таблица5[К-во])+SUMIF(Таблица5[Наименование операции],"Упаковка",Таблица5[К-во])</f>
        <v>1.72</v>
      </c>
      <c r="F17" s="488">
        <f t="shared" si="3"/>
        <v>808.4</v>
      </c>
      <c r="G17" s="507"/>
      <c r="H17" s="511"/>
    </row>
    <row r="18" spans="1:8" collapsed="1" x14ac:dyDescent="0.25">
      <c r="A18" s="473" t="s">
        <v>19</v>
      </c>
      <c r="B18" s="474" t="s">
        <v>531</v>
      </c>
      <c r="C18" s="475">
        <v>165</v>
      </c>
      <c r="D18" s="476">
        <f t="shared" ref="D18:D25" si="5">C18/$C$26</f>
        <v>2.2315390857451989E-2</v>
      </c>
      <c r="E18" s="477">
        <f>SUMIF(Таблица5[Наименование операции]," - замена DA1",Таблица5[К-во])+SUMIF(Таблица5[Наименование операции]," - кожух",Таблица5[К-во])+SUMIF(Таблица5[Наименование операции]," - цоколь",Таблица5[К-во])</f>
        <v>4.2</v>
      </c>
      <c r="F18" s="478">
        <f t="shared" si="3"/>
        <v>693</v>
      </c>
      <c r="G18" s="505"/>
    </row>
    <row r="19" spans="1:8" x14ac:dyDescent="0.25">
      <c r="A19" s="473" t="s">
        <v>7</v>
      </c>
      <c r="B19" s="474" t="s">
        <v>532</v>
      </c>
      <c r="C19" s="475">
        <v>381</v>
      </c>
      <c r="D19" s="476">
        <f t="shared" si="5"/>
        <v>5.1528266161752774E-2</v>
      </c>
      <c r="E19" s="477">
        <f>SUMIF(Таблица5[Наименование операции]," - замена DA1",Таблица5[К-во])+SUMIF(Таблица5[Наименование операции]," - замена C19",Таблица5[К-во])</f>
        <v>2.42</v>
      </c>
      <c r="F19" s="478">
        <f t="shared" si="3"/>
        <v>922.02</v>
      </c>
      <c r="G19" s="505"/>
    </row>
    <row r="20" spans="1:8" x14ac:dyDescent="0.25">
      <c r="A20" s="473" t="s">
        <v>28</v>
      </c>
      <c r="B20" s="474" t="s">
        <v>533</v>
      </c>
      <c r="C20" s="475">
        <v>556</v>
      </c>
      <c r="D20" s="476">
        <f t="shared" si="5"/>
        <v>7.519610494995943E-2</v>
      </c>
      <c r="E20" s="477">
        <f>SUMIF(Таблица5[Наименование операции]," - замена C19",Таблица5[К-во])</f>
        <v>0.77</v>
      </c>
      <c r="F20" s="478">
        <f t="shared" si="3"/>
        <v>428.12</v>
      </c>
      <c r="G20" s="505"/>
    </row>
    <row r="21" spans="1:8" x14ac:dyDescent="0.25">
      <c r="A21" s="473" t="s">
        <v>3</v>
      </c>
      <c r="B21" s="474" t="s">
        <v>534</v>
      </c>
      <c r="C21" s="475">
        <v>235</v>
      </c>
      <c r="D21" s="476">
        <f t="shared" si="5"/>
        <v>3.1782526372734647E-2</v>
      </c>
      <c r="E21" s="477">
        <f>SUMIF(Таблица5[Наименование операции]," - замена C19",Таблица5[К-во])+SUMIF(Таблица5[Наименование операции]," - замена HL2",Таблица5[К-во])</f>
        <v>1.25</v>
      </c>
      <c r="F21" s="478">
        <f t="shared" si="3"/>
        <v>293.75</v>
      </c>
      <c r="G21" s="505"/>
    </row>
    <row r="22" spans="1:8" x14ac:dyDescent="0.25">
      <c r="A22" s="473" t="s">
        <v>47</v>
      </c>
      <c r="B22" s="474" t="s">
        <v>535</v>
      </c>
      <c r="C22" s="475">
        <v>227</v>
      </c>
      <c r="D22" s="476">
        <f t="shared" si="5"/>
        <v>3.0700568028130915E-2</v>
      </c>
      <c r="E22" s="477">
        <f>SUMIF(Таблица5[Наименование операции]," - клемная колодка",Таблица5[К-во])</f>
        <v>6.3</v>
      </c>
      <c r="F22" s="478">
        <f t="shared" si="3"/>
        <v>1430.1</v>
      </c>
      <c r="G22" s="505"/>
    </row>
    <row r="23" spans="1:8" x14ac:dyDescent="0.25">
      <c r="A23" s="473" t="s">
        <v>62</v>
      </c>
      <c r="B23" s="474" t="s">
        <v>536</v>
      </c>
      <c r="C23" s="475">
        <v>446</v>
      </c>
      <c r="D23" s="476">
        <f t="shared" si="5"/>
        <v>6.0319177711658102E-2</v>
      </c>
      <c r="E23" s="477">
        <f>SUMIF(Таблица5[Наименование операции]," - замена платы",Таблица5[К-во])</f>
        <v>3.24</v>
      </c>
      <c r="F23" s="478">
        <f t="shared" si="3"/>
        <v>1445.0400000000002</v>
      </c>
      <c r="G23" s="505"/>
    </row>
    <row r="24" spans="1:8" x14ac:dyDescent="0.25">
      <c r="A24" s="473" t="s">
        <v>63</v>
      </c>
      <c r="B24" s="474" t="s">
        <v>537</v>
      </c>
      <c r="C24" s="475">
        <v>133</v>
      </c>
      <c r="D24" s="476">
        <f t="shared" si="5"/>
        <v>1.7987557479037058E-2</v>
      </c>
      <c r="E24" s="477"/>
      <c r="F24" s="478">
        <f>C24*E24</f>
        <v>0</v>
      </c>
      <c r="G24" s="505"/>
    </row>
    <row r="25" spans="1:8" x14ac:dyDescent="0.25">
      <c r="A25" s="473" t="s">
        <v>64</v>
      </c>
      <c r="B25" s="474" t="s">
        <v>538</v>
      </c>
      <c r="C25" s="475">
        <v>1739</v>
      </c>
      <c r="D25" s="476">
        <f t="shared" si="5"/>
        <v>0.2351906951582364</v>
      </c>
      <c r="E25" s="477"/>
      <c r="F25" s="478">
        <f t="shared" si="3"/>
        <v>0</v>
      </c>
      <c r="G25" s="505"/>
    </row>
    <row r="26" spans="1:8" ht="17.399999999999999" x14ac:dyDescent="0.25">
      <c r="A26" s="723" t="s">
        <v>12</v>
      </c>
      <c r="B26" s="724"/>
      <c r="C26" s="479">
        <f>C4+C11+C18+C19+C20+C21+C22+C23+C24+C25</f>
        <v>7394</v>
      </c>
      <c r="D26" s="513">
        <f>D4+D11+D18+D19+D20+D21+D22+D23+D24+D25</f>
        <v>0.99999999999999989</v>
      </c>
      <c r="E26" s="480" t="s">
        <v>70</v>
      </c>
      <c r="F26" s="479">
        <f>F4+F11+F18+F19+F20+F21+F22+F23+F24+F25</f>
        <v>56839.210000000006</v>
      </c>
      <c r="G26" s="505"/>
    </row>
  </sheetData>
  <mergeCells count="7">
    <mergeCell ref="A26:B26"/>
    <mergeCell ref="A1:F1"/>
    <mergeCell ref="A2:A3"/>
    <mergeCell ref="B2:B3"/>
    <mergeCell ref="C2:C3"/>
    <mergeCell ref="D2:D3"/>
    <mergeCell ref="E2:F2"/>
  </mergeCells>
  <conditionalFormatting sqref="F18:F25 F4:F11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2:F1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4:Y51"/>
  <sheetViews>
    <sheetView showZeros="0" topLeftCell="A4" zoomScale="90" zoomScaleNormal="90" workbookViewId="0">
      <pane ySplit="5" topLeftCell="A9" activePane="bottomLeft" state="frozen"/>
      <selection activeCell="A4" sqref="A4"/>
      <selection pane="bottomLeft" activeCell="B6" sqref="B6:C6"/>
    </sheetView>
  </sheetViews>
  <sheetFormatPr defaultColWidth="9.109375" defaultRowHeight="15.6" outlineLevelRow="1" x14ac:dyDescent="0.3"/>
  <cols>
    <col min="1" max="1" width="1.109375" style="3" customWidth="1"/>
    <col min="2" max="2" width="9.109375" style="1"/>
    <col min="3" max="3" width="37.33203125" style="3" customWidth="1"/>
    <col min="4" max="4" width="11" style="3" customWidth="1"/>
    <col min="5" max="5" width="7.88671875" style="6" bestFit="1" customWidth="1"/>
    <col min="6" max="6" width="8.6640625" style="3" bestFit="1" customWidth="1"/>
    <col min="7" max="7" width="11.33203125" style="3" bestFit="1" customWidth="1"/>
    <col min="8" max="8" width="10.33203125" style="3" bestFit="1" customWidth="1"/>
    <col min="9" max="18" width="7.6640625" style="3" bestFit="1" customWidth="1"/>
    <col min="19" max="19" width="12.88671875" style="3" hidden="1" customWidth="1"/>
    <col min="20" max="20" width="13.44140625" style="21" bestFit="1" customWidth="1"/>
    <col min="21" max="21" width="13" style="3" hidden="1" customWidth="1"/>
    <col min="22" max="16384" width="9.109375" style="3"/>
  </cols>
  <sheetData>
    <row r="4" spans="2:25" ht="23.25" customHeight="1" x14ac:dyDescent="0.3">
      <c r="B4" s="602" t="s">
        <v>210</v>
      </c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</row>
    <row r="5" spans="2:25" ht="23.25" customHeight="1" thickBot="1" x14ac:dyDescent="0.35">
      <c r="B5" s="656" t="s">
        <v>575</v>
      </c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</row>
    <row r="6" spans="2:25" s="2" customFormat="1" ht="16.2" thickBot="1" x14ac:dyDescent="0.35">
      <c r="B6" s="657" t="s">
        <v>71</v>
      </c>
      <c r="C6" s="658"/>
      <c r="D6" s="74">
        <v>1</v>
      </c>
      <c r="E6" s="74"/>
      <c r="F6" s="74"/>
      <c r="G6" s="74"/>
      <c r="H6" s="74"/>
      <c r="I6" s="74">
        <v>0</v>
      </c>
      <c r="J6" s="74"/>
      <c r="K6" s="74"/>
      <c r="L6" s="74"/>
      <c r="M6" s="74"/>
      <c r="N6" s="74"/>
      <c r="O6" s="74"/>
      <c r="P6" s="74"/>
      <c r="Q6" s="74"/>
      <c r="R6" s="74"/>
      <c r="S6" s="74">
        <v>0</v>
      </c>
      <c r="T6" s="73"/>
    </row>
    <row r="7" spans="2:25" s="5" customFormat="1" ht="16.2" thickBot="1" x14ac:dyDescent="0.35">
      <c r="B7" s="618" t="s">
        <v>31</v>
      </c>
      <c r="C7" s="659" t="s">
        <v>32</v>
      </c>
      <c r="D7" s="620" t="s">
        <v>66</v>
      </c>
      <c r="E7" s="622"/>
      <c r="F7" s="623"/>
      <c r="G7" s="624"/>
      <c r="H7" s="625"/>
      <c r="I7" s="626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8"/>
      <c r="U7" s="617" t="s">
        <v>68</v>
      </c>
    </row>
    <row r="8" spans="2:25" s="21" customFormat="1" ht="42.75" customHeight="1" thickBot="1" x14ac:dyDescent="0.35">
      <c r="B8" s="619"/>
      <c r="C8" s="660"/>
      <c r="D8" s="621"/>
      <c r="E8" s="132" t="s">
        <v>13</v>
      </c>
      <c r="F8" s="133" t="s">
        <v>14</v>
      </c>
      <c r="G8" s="135" t="s">
        <v>15</v>
      </c>
      <c r="H8" s="134" t="s">
        <v>67</v>
      </c>
      <c r="I8" s="59" t="s">
        <v>17</v>
      </c>
      <c r="J8" s="60" t="s">
        <v>2</v>
      </c>
      <c r="K8" s="60" t="s">
        <v>4</v>
      </c>
      <c r="L8" s="60" t="s">
        <v>119</v>
      </c>
      <c r="M8" s="60" t="s">
        <v>9</v>
      </c>
      <c r="N8" s="60" t="s">
        <v>8</v>
      </c>
      <c r="O8" s="60" t="s">
        <v>10</v>
      </c>
      <c r="P8" s="60" t="s">
        <v>5</v>
      </c>
      <c r="Q8" s="60" t="s">
        <v>6</v>
      </c>
      <c r="R8" s="60" t="s">
        <v>16</v>
      </c>
      <c r="S8" s="61"/>
      <c r="T8" s="58" t="s">
        <v>12</v>
      </c>
      <c r="U8" s="617"/>
    </row>
    <row r="9" spans="2:25" s="21" customFormat="1" ht="22.5" customHeight="1" thickBot="1" x14ac:dyDescent="0.35">
      <c r="B9" s="629" t="s">
        <v>142</v>
      </c>
      <c r="C9" s="630"/>
      <c r="D9" s="630"/>
      <c r="E9" s="630"/>
      <c r="F9" s="630"/>
      <c r="G9" s="630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1"/>
      <c r="U9" s="130"/>
    </row>
    <row r="10" spans="2:25" s="5" customFormat="1" ht="17.399999999999999" x14ac:dyDescent="0.3">
      <c r="B10" s="131" t="s">
        <v>1</v>
      </c>
      <c r="C10" s="92" t="s">
        <v>44</v>
      </c>
      <c r="D10" s="118">
        <f>D11+D12+D13+D19+D20+D21+D24+D25+D26+D14</f>
        <v>8.09</v>
      </c>
      <c r="E10" s="72">
        <f>E11+E12+E13+E15+E19+E20+E21+E24+E25+E26+E14</f>
        <v>9.11</v>
      </c>
      <c r="F10" s="101">
        <f>F11+F12+F13+F15+F19+F20+F21+F24+F25+F26+F14</f>
        <v>9.11</v>
      </c>
      <c r="G10" s="101">
        <f>G11+G12+G13+G15+G19+G20+G21+G24+G25+G26+G14</f>
        <v>9.11</v>
      </c>
      <c r="H10" s="102">
        <f>H11+H12+H13+H15+H19+H20+H21+H24+H25+H26+H14</f>
        <v>9.11</v>
      </c>
      <c r="I10" s="119">
        <f t="shared" ref="I10:R10" si="0">I11+I12+I13+I15+I16+I19+I20+I21+I24+I25+I26+I14</f>
        <v>12.350000000000001</v>
      </c>
      <c r="J10" s="119">
        <f t="shared" si="0"/>
        <v>10.760000000000002</v>
      </c>
      <c r="K10" s="119">
        <f t="shared" si="0"/>
        <v>9.8800000000000008</v>
      </c>
      <c r="L10" s="119">
        <f t="shared" si="0"/>
        <v>10.469999999999999</v>
      </c>
      <c r="M10" s="119">
        <f t="shared" si="0"/>
        <v>9.59</v>
      </c>
      <c r="N10" s="119">
        <f t="shared" si="0"/>
        <v>9.59</v>
      </c>
      <c r="O10" s="119">
        <f t="shared" si="0"/>
        <v>9.59</v>
      </c>
      <c r="P10" s="119">
        <f t="shared" si="0"/>
        <v>10.260000000000002</v>
      </c>
      <c r="Q10" s="119">
        <f t="shared" si="0"/>
        <v>9.6999999999999993</v>
      </c>
      <c r="R10" s="119">
        <f t="shared" si="0"/>
        <v>9.66</v>
      </c>
      <c r="S10" s="119">
        <f>S11+S12+S13+S15+S16+S19+S20+S21+S24+S25+S26</f>
        <v>7.0600000000000005</v>
      </c>
      <c r="T10" s="90">
        <f>T11+T12+T13+T15+T16+T19+T20+T21+T24+T25+T26+T14</f>
        <v>8.09</v>
      </c>
      <c r="U10" s="25" t="e">
        <f>SUM(U11:U15,U16,U19:U26,#REF!)</f>
        <v>#REF!</v>
      </c>
      <c r="Y10" s="162"/>
    </row>
    <row r="11" spans="2:25" ht="13.8" x14ac:dyDescent="0.3">
      <c r="B11" s="77" t="s">
        <v>34</v>
      </c>
      <c r="C11" s="93" t="s">
        <v>53</v>
      </c>
      <c r="D11" s="110">
        <f>Хронометраж!J5</f>
        <v>0.37</v>
      </c>
      <c r="E11" s="33">
        <f>D11</f>
        <v>0.37</v>
      </c>
      <c r="F11" s="10">
        <f t="shared" ref="F11:U15" si="1">E11</f>
        <v>0.37</v>
      </c>
      <c r="G11" s="10">
        <f>F11</f>
        <v>0.37</v>
      </c>
      <c r="H11" s="34">
        <f>G11</f>
        <v>0.37</v>
      </c>
      <c r="I11" s="114">
        <f t="shared" si="1"/>
        <v>0.37</v>
      </c>
      <c r="J11" s="13">
        <f>I11</f>
        <v>0.37</v>
      </c>
      <c r="K11" s="13">
        <f>J11</f>
        <v>0.37</v>
      </c>
      <c r="L11" s="13">
        <f t="shared" ref="L11:R15" si="2">K11</f>
        <v>0.37</v>
      </c>
      <c r="M11" s="13">
        <f t="shared" si="2"/>
        <v>0.37</v>
      </c>
      <c r="N11" s="13">
        <f t="shared" si="2"/>
        <v>0.37</v>
      </c>
      <c r="O11" s="13">
        <f t="shared" si="2"/>
        <v>0.37</v>
      </c>
      <c r="P11" s="13">
        <f t="shared" si="2"/>
        <v>0.37</v>
      </c>
      <c r="Q11" s="13">
        <f t="shared" si="2"/>
        <v>0.37</v>
      </c>
      <c r="R11" s="13">
        <f t="shared" si="2"/>
        <v>0.37</v>
      </c>
      <c r="S11" s="103">
        <f t="shared" si="1"/>
        <v>0.37</v>
      </c>
      <c r="T11" s="85">
        <f>_xlfn.MAXIFS(D11:S11,$D$6:$S$6,1)</f>
        <v>0.37</v>
      </c>
      <c r="U11" s="8">
        <f t="shared" si="1"/>
        <v>0.37</v>
      </c>
    </row>
    <row r="12" spans="2:25" ht="14.4" x14ac:dyDescent="0.3">
      <c r="B12" s="77" t="s">
        <v>76</v>
      </c>
      <c r="C12" s="93" t="s">
        <v>54</v>
      </c>
      <c r="D12" s="110">
        <f>Хронометраж!J6</f>
        <v>0.15</v>
      </c>
      <c r="E12" s="33">
        <f t="shared" ref="E12:S13" si="3">D12</f>
        <v>0.15</v>
      </c>
      <c r="F12" s="10">
        <f t="shared" si="3"/>
        <v>0.15</v>
      </c>
      <c r="G12" s="10">
        <f t="shared" si="3"/>
        <v>0.15</v>
      </c>
      <c r="H12" s="34">
        <f t="shared" si="3"/>
        <v>0.15</v>
      </c>
      <c r="I12" s="114">
        <f t="shared" si="3"/>
        <v>0.15</v>
      </c>
      <c r="J12" s="13">
        <f t="shared" si="3"/>
        <v>0.15</v>
      </c>
      <c r="K12" s="13">
        <f t="shared" si="1"/>
        <v>0.15</v>
      </c>
      <c r="L12" s="13">
        <f t="shared" si="1"/>
        <v>0.15</v>
      </c>
      <c r="M12" s="13">
        <f t="shared" si="2"/>
        <v>0.15</v>
      </c>
      <c r="N12" s="13">
        <f t="shared" si="1"/>
        <v>0.15</v>
      </c>
      <c r="O12" s="13">
        <f t="shared" si="1"/>
        <v>0.15</v>
      </c>
      <c r="P12" s="13">
        <f t="shared" si="1"/>
        <v>0.15</v>
      </c>
      <c r="Q12" s="13">
        <f t="shared" si="1"/>
        <v>0.15</v>
      </c>
      <c r="R12" s="13">
        <f t="shared" si="1"/>
        <v>0.15</v>
      </c>
      <c r="S12" s="103">
        <f t="shared" si="3"/>
        <v>0.15</v>
      </c>
      <c r="T12" s="85">
        <f t="shared" ref="T12:T38" si="4">_xlfn.MAXIFS(D12:S12,$D$6:$S$6,1)</f>
        <v>0.15</v>
      </c>
      <c r="U12" s="8">
        <f t="shared" si="1"/>
        <v>0.15</v>
      </c>
      <c r="Y12" s="161"/>
    </row>
    <row r="13" spans="2:25" ht="13.8" x14ac:dyDescent="0.3">
      <c r="B13" s="77" t="s">
        <v>77</v>
      </c>
      <c r="C13" s="93" t="s">
        <v>55</v>
      </c>
      <c r="D13" s="110">
        <f>Хронометраж!J7</f>
        <v>0.08</v>
      </c>
      <c r="E13" s="33">
        <f t="shared" si="3"/>
        <v>0.08</v>
      </c>
      <c r="F13" s="10">
        <f t="shared" si="3"/>
        <v>0.08</v>
      </c>
      <c r="G13" s="10">
        <f t="shared" si="3"/>
        <v>0.08</v>
      </c>
      <c r="H13" s="34">
        <f t="shared" si="3"/>
        <v>0.08</v>
      </c>
      <c r="I13" s="114">
        <f t="shared" si="3"/>
        <v>0.08</v>
      </c>
      <c r="J13" s="13">
        <f t="shared" si="3"/>
        <v>0.08</v>
      </c>
      <c r="K13" s="13">
        <f t="shared" si="1"/>
        <v>0.08</v>
      </c>
      <c r="L13" s="13">
        <f t="shared" si="1"/>
        <v>0.08</v>
      </c>
      <c r="M13" s="13">
        <f t="shared" si="2"/>
        <v>0.08</v>
      </c>
      <c r="N13" s="13">
        <f t="shared" si="1"/>
        <v>0.08</v>
      </c>
      <c r="O13" s="13">
        <f t="shared" si="1"/>
        <v>0.08</v>
      </c>
      <c r="P13" s="13">
        <f t="shared" si="1"/>
        <v>0.08</v>
      </c>
      <c r="Q13" s="13">
        <f t="shared" si="1"/>
        <v>0.08</v>
      </c>
      <c r="R13" s="13">
        <f t="shared" si="1"/>
        <v>0.08</v>
      </c>
      <c r="S13" s="103">
        <f t="shared" si="3"/>
        <v>0.08</v>
      </c>
      <c r="T13" s="85">
        <f t="shared" si="4"/>
        <v>0.08</v>
      </c>
      <c r="U13" s="8">
        <f t="shared" si="1"/>
        <v>0.08</v>
      </c>
    </row>
    <row r="14" spans="2:25" ht="13.8" x14ac:dyDescent="0.3">
      <c r="B14" s="77" t="s">
        <v>212</v>
      </c>
      <c r="C14" s="93" t="s">
        <v>37</v>
      </c>
      <c r="D14" s="110">
        <f>Хронометраж!J8</f>
        <v>2.0499999999999998</v>
      </c>
      <c r="E14" s="33">
        <f t="shared" ref="E14" si="5">D14</f>
        <v>2.0499999999999998</v>
      </c>
      <c r="F14" s="10">
        <f t="shared" ref="F14" si="6">E14</f>
        <v>2.0499999999999998</v>
      </c>
      <c r="G14" s="10">
        <f t="shared" ref="G14" si="7">F14</f>
        <v>2.0499999999999998</v>
      </c>
      <c r="H14" s="34">
        <f t="shared" ref="H14" si="8">G14</f>
        <v>2.0499999999999998</v>
      </c>
      <c r="I14" s="114">
        <f t="shared" ref="I14" si="9">H14</f>
        <v>2.0499999999999998</v>
      </c>
      <c r="J14" s="13">
        <f t="shared" ref="J14" si="10">I14</f>
        <v>2.0499999999999998</v>
      </c>
      <c r="K14" s="13">
        <f t="shared" ref="K14" si="11">J14</f>
        <v>2.0499999999999998</v>
      </c>
      <c r="L14" s="13">
        <f t="shared" ref="L14" si="12">K14</f>
        <v>2.0499999999999998</v>
      </c>
      <c r="M14" s="13">
        <f t="shared" ref="M14" si="13">L14</f>
        <v>2.0499999999999998</v>
      </c>
      <c r="N14" s="13">
        <f t="shared" ref="N14" si="14">M14</f>
        <v>2.0499999999999998</v>
      </c>
      <c r="O14" s="13">
        <f t="shared" ref="O14" si="15">N14</f>
        <v>2.0499999999999998</v>
      </c>
      <c r="P14" s="13">
        <f t="shared" ref="P14" si="16">O14</f>
        <v>2.0499999999999998</v>
      </c>
      <c r="Q14" s="13">
        <f t="shared" ref="Q14" si="17">P14</f>
        <v>2.0499999999999998</v>
      </c>
      <c r="R14" s="13">
        <f t="shared" ref="R14" si="18">Q14</f>
        <v>2.0499999999999998</v>
      </c>
      <c r="S14" s="103">
        <f t="shared" ref="S14" si="19">R14</f>
        <v>2.0499999999999998</v>
      </c>
      <c r="T14" s="85">
        <f>_xlfn.MAXIFS(D14:S14,$D$6:$S$6,1)</f>
        <v>2.0499999999999998</v>
      </c>
      <c r="U14" s="8"/>
    </row>
    <row r="15" spans="2:25" s="164" customFormat="1" ht="13.8" x14ac:dyDescent="0.3">
      <c r="B15" s="77" t="s">
        <v>213</v>
      </c>
      <c r="C15" s="165" t="s">
        <v>226</v>
      </c>
      <c r="D15" s="166" t="s">
        <v>70</v>
      </c>
      <c r="E15" s="167">
        <f>Хронометраж!J39</f>
        <v>1.02</v>
      </c>
      <c r="F15" s="168">
        <f>E15</f>
        <v>1.02</v>
      </c>
      <c r="G15" s="168">
        <f>F15</f>
        <v>1.02</v>
      </c>
      <c r="H15" s="169">
        <f>G15</f>
        <v>1.02</v>
      </c>
      <c r="I15" s="170">
        <f>H15</f>
        <v>1.02</v>
      </c>
      <c r="J15" s="170">
        <f t="shared" si="1"/>
        <v>1.02</v>
      </c>
      <c r="K15" s="170">
        <f t="shared" si="1"/>
        <v>1.02</v>
      </c>
      <c r="L15" s="170">
        <f t="shared" si="1"/>
        <v>1.02</v>
      </c>
      <c r="M15" s="170">
        <f t="shared" si="2"/>
        <v>1.02</v>
      </c>
      <c r="N15" s="170">
        <f t="shared" si="1"/>
        <v>1.02</v>
      </c>
      <c r="O15" s="170">
        <f t="shared" si="1"/>
        <v>1.02</v>
      </c>
      <c r="P15" s="170">
        <f t="shared" si="1"/>
        <v>1.02</v>
      </c>
      <c r="Q15" s="170">
        <f t="shared" si="1"/>
        <v>1.02</v>
      </c>
      <c r="R15" s="170">
        <f t="shared" si="1"/>
        <v>1.02</v>
      </c>
      <c r="S15" s="171">
        <f t="shared" si="1"/>
        <v>1.02</v>
      </c>
      <c r="T15" s="172">
        <f t="shared" si="4"/>
        <v>0</v>
      </c>
      <c r="U15" s="173">
        <f t="shared" si="1"/>
        <v>0</v>
      </c>
    </row>
    <row r="16" spans="2:25" ht="13.8" x14ac:dyDescent="0.3">
      <c r="B16" s="77" t="s">
        <v>214</v>
      </c>
      <c r="C16" s="93" t="s">
        <v>48</v>
      </c>
      <c r="D16" s="111" t="s">
        <v>70</v>
      </c>
      <c r="E16" s="37" t="s">
        <v>70</v>
      </c>
      <c r="F16" s="11" t="s">
        <v>70</v>
      </c>
      <c r="G16" s="11" t="s">
        <v>70</v>
      </c>
      <c r="H16" s="38" t="s">
        <v>70</v>
      </c>
      <c r="I16" s="100">
        <f>SUM(I17:I18)</f>
        <v>3.24</v>
      </c>
      <c r="J16" s="12">
        <f t="shared" ref="J16:S16" si="20">SUM(J17:J18)</f>
        <v>1.65</v>
      </c>
      <c r="K16" s="12">
        <f t="shared" si="20"/>
        <v>0.77</v>
      </c>
      <c r="L16" s="12">
        <f t="shared" si="20"/>
        <v>1.36</v>
      </c>
      <c r="M16" s="12">
        <f t="shared" si="20"/>
        <v>0.48</v>
      </c>
      <c r="N16" s="12">
        <f t="shared" si="20"/>
        <v>0.48</v>
      </c>
      <c r="O16" s="12">
        <f t="shared" si="20"/>
        <v>0.48</v>
      </c>
      <c r="P16" s="12">
        <f t="shared" si="20"/>
        <v>1.1499999999999999</v>
      </c>
      <c r="Q16" s="12">
        <f t="shared" si="20"/>
        <v>0.59</v>
      </c>
      <c r="R16" s="12">
        <f t="shared" si="20"/>
        <v>0.55000000000000004</v>
      </c>
      <c r="S16" s="12">
        <f t="shared" si="20"/>
        <v>0</v>
      </c>
      <c r="T16" s="85">
        <f>SUM(T17:T18)</f>
        <v>0</v>
      </c>
      <c r="U16" s="8">
        <f>SUMIF($I$6:$T$6,1,I16:T16)</f>
        <v>0</v>
      </c>
    </row>
    <row r="17" spans="2:25" s="18" customFormat="1" ht="13.8" outlineLevel="1" x14ac:dyDescent="0.3">
      <c r="B17" s="81" t="s">
        <v>215</v>
      </c>
      <c r="C17" s="94" t="s">
        <v>60</v>
      </c>
      <c r="D17" s="112" t="s">
        <v>70</v>
      </c>
      <c r="E17" s="39" t="s">
        <v>70</v>
      </c>
      <c r="F17" s="19" t="s">
        <v>70</v>
      </c>
      <c r="G17" s="19" t="s">
        <v>70</v>
      </c>
      <c r="H17" s="40" t="s">
        <v>70</v>
      </c>
      <c r="I17" s="116">
        <f>Хронометраж!J24</f>
        <v>3.24</v>
      </c>
      <c r="J17" s="20">
        <f>Хронометраж!J15</f>
        <v>1.65</v>
      </c>
      <c r="K17" s="20">
        <f>Хронометраж!J17</f>
        <v>0.77</v>
      </c>
      <c r="L17" s="20">
        <f>Хронометраж!J16</f>
        <v>1.36</v>
      </c>
      <c r="M17" s="20">
        <f>Хронометраж!J18</f>
        <v>0.48</v>
      </c>
      <c r="N17" s="20">
        <f>Хронометраж!J19</f>
        <v>0.48</v>
      </c>
      <c r="O17" s="20">
        <f>Хронометраж!J20</f>
        <v>0.48</v>
      </c>
      <c r="P17" s="20">
        <f>Хронометраж!J21</f>
        <v>1.1499999999999999</v>
      </c>
      <c r="Q17" s="20">
        <f>Хронометраж!J22</f>
        <v>0.59</v>
      </c>
      <c r="R17" s="20">
        <f>Хронометраж!J23</f>
        <v>0.55000000000000004</v>
      </c>
      <c r="S17" s="107"/>
      <c r="T17" s="85">
        <f>SUMIF($I$6:$S$6,1,I17:S17)</f>
        <v>0</v>
      </c>
      <c r="U17" s="26">
        <f t="shared" ref="U17:U18" si="21">SUMIF($I$6:$T$6,1,I17:T17)</f>
        <v>0</v>
      </c>
    </row>
    <row r="18" spans="2:25" s="18" customFormat="1" ht="13.8" outlineLevel="1" x14ac:dyDescent="0.3">
      <c r="B18" s="81" t="s">
        <v>216</v>
      </c>
      <c r="C18" s="94" t="s">
        <v>61</v>
      </c>
      <c r="D18" s="112" t="s">
        <v>70</v>
      </c>
      <c r="E18" s="39" t="s">
        <v>70</v>
      </c>
      <c r="F18" s="19" t="s">
        <v>70</v>
      </c>
      <c r="G18" s="19" t="s">
        <v>70</v>
      </c>
      <c r="H18" s="40" t="s">
        <v>70</v>
      </c>
      <c r="I18" s="116">
        <f>'М-лы'!F16</f>
        <v>0</v>
      </c>
      <c r="J18" s="20">
        <f>'М-лы'!F20</f>
        <v>0</v>
      </c>
      <c r="K18" s="20">
        <f>'М-лы'!F24</f>
        <v>0</v>
      </c>
      <c r="L18" s="20">
        <f>'М-лы'!F28</f>
        <v>0</v>
      </c>
      <c r="M18" s="20">
        <f>'М-лы'!F32</f>
        <v>0</v>
      </c>
      <c r="N18" s="20">
        <f>'М-лы'!F36</f>
        <v>0</v>
      </c>
      <c r="O18" s="20">
        <f>'М-лы'!F40</f>
        <v>0</v>
      </c>
      <c r="P18" s="20">
        <f>'М-лы'!F44</f>
        <v>0</v>
      </c>
      <c r="Q18" s="20">
        <f>'М-лы'!F48</f>
        <v>0</v>
      </c>
      <c r="R18" s="20">
        <f>'М-лы'!F52</f>
        <v>0</v>
      </c>
      <c r="S18" s="107"/>
      <c r="T18" s="85">
        <f>SUMIF($I$6:$S$6,1,I18:S18)</f>
        <v>0</v>
      </c>
      <c r="U18" s="26">
        <f t="shared" si="21"/>
        <v>0</v>
      </c>
    </row>
    <row r="19" spans="2:25" ht="13.8" x14ac:dyDescent="0.3">
      <c r="B19" s="77" t="s">
        <v>218</v>
      </c>
      <c r="C19" s="93" t="s">
        <v>49</v>
      </c>
      <c r="D19" s="110">
        <f>Хронометраж!J27</f>
        <v>1.01</v>
      </c>
      <c r="E19" s="31">
        <f>D19</f>
        <v>1.01</v>
      </c>
      <c r="F19" s="9">
        <f>E19</f>
        <v>1.01</v>
      </c>
      <c r="G19" s="9">
        <f t="shared" ref="G19:S26" si="22">F19</f>
        <v>1.01</v>
      </c>
      <c r="H19" s="32">
        <f>G19</f>
        <v>1.01</v>
      </c>
      <c r="I19" s="100">
        <f t="shared" si="22"/>
        <v>1.01</v>
      </c>
      <c r="J19" s="12">
        <f t="shared" si="22"/>
        <v>1.01</v>
      </c>
      <c r="K19" s="12">
        <f t="shared" si="22"/>
        <v>1.01</v>
      </c>
      <c r="L19" s="12">
        <f t="shared" si="22"/>
        <v>1.01</v>
      </c>
      <c r="M19" s="12">
        <f t="shared" si="22"/>
        <v>1.01</v>
      </c>
      <c r="N19" s="12">
        <f t="shared" si="22"/>
        <v>1.01</v>
      </c>
      <c r="O19" s="12">
        <f t="shared" si="22"/>
        <v>1.01</v>
      </c>
      <c r="P19" s="12">
        <f t="shared" si="22"/>
        <v>1.01</v>
      </c>
      <c r="Q19" s="12">
        <f t="shared" si="22"/>
        <v>1.01</v>
      </c>
      <c r="R19" s="12">
        <f t="shared" si="22"/>
        <v>1.01</v>
      </c>
      <c r="S19" s="106">
        <f t="shared" si="22"/>
        <v>1.01</v>
      </c>
      <c r="T19" s="85">
        <f>_xlfn.MAXIFS(D19:S19,$D$6:$S$6,1)</f>
        <v>1.01</v>
      </c>
      <c r="U19" s="7">
        <f>T19</f>
        <v>1.01</v>
      </c>
    </row>
    <row r="20" spans="2:25" ht="13.8" x14ac:dyDescent="0.3">
      <c r="B20" s="77" t="s">
        <v>219</v>
      </c>
      <c r="C20" s="93" t="s">
        <v>50</v>
      </c>
      <c r="D20" s="110">
        <f>Хронометраж!J28</f>
        <v>3.45</v>
      </c>
      <c r="E20" s="31">
        <f t="shared" ref="E20:S28" si="23">D20</f>
        <v>3.45</v>
      </c>
      <c r="F20" s="9">
        <f t="shared" si="23"/>
        <v>3.45</v>
      </c>
      <c r="G20" s="9">
        <f>F20</f>
        <v>3.45</v>
      </c>
      <c r="H20" s="32">
        <f t="shared" si="23"/>
        <v>3.45</v>
      </c>
      <c r="I20" s="100">
        <f t="shared" si="23"/>
        <v>3.45</v>
      </c>
      <c r="J20" s="12">
        <f t="shared" si="23"/>
        <v>3.45</v>
      </c>
      <c r="K20" s="12">
        <f t="shared" si="22"/>
        <v>3.45</v>
      </c>
      <c r="L20" s="12">
        <f t="shared" si="22"/>
        <v>3.45</v>
      </c>
      <c r="M20" s="12">
        <f t="shared" si="22"/>
        <v>3.45</v>
      </c>
      <c r="N20" s="12">
        <f t="shared" si="22"/>
        <v>3.45</v>
      </c>
      <c r="O20" s="12">
        <f t="shared" si="22"/>
        <v>3.45</v>
      </c>
      <c r="P20" s="12">
        <f t="shared" si="22"/>
        <v>3.45</v>
      </c>
      <c r="Q20" s="12">
        <f t="shared" si="23"/>
        <v>3.45</v>
      </c>
      <c r="R20" s="12">
        <f t="shared" si="23"/>
        <v>3.45</v>
      </c>
      <c r="S20" s="106">
        <f t="shared" si="23"/>
        <v>3.45</v>
      </c>
      <c r="T20" s="85">
        <f t="shared" si="4"/>
        <v>3.45</v>
      </c>
      <c r="U20" s="7">
        <f t="shared" ref="U20:U21" si="24">T20</f>
        <v>3.45</v>
      </c>
    </row>
    <row r="21" spans="2:25" ht="13.8" x14ac:dyDescent="0.3">
      <c r="B21" s="77" t="s">
        <v>220</v>
      </c>
      <c r="C21" s="93" t="s">
        <v>51</v>
      </c>
      <c r="D21" s="110">
        <f>SUM(D22:D23)</f>
        <v>0.9</v>
      </c>
      <c r="E21" s="31">
        <f>SUM(E22:E23)</f>
        <v>0.9</v>
      </c>
      <c r="F21" s="9">
        <f t="shared" ref="F21:H21" si="25">SUM(F22:F23)</f>
        <v>0.9</v>
      </c>
      <c r="G21" s="9">
        <f t="shared" si="25"/>
        <v>0.9</v>
      </c>
      <c r="H21" s="32">
        <f t="shared" si="25"/>
        <v>0.9</v>
      </c>
      <c r="I21" s="100">
        <f>SUM(I22:I23)</f>
        <v>0.9</v>
      </c>
      <c r="J21" s="100">
        <f t="shared" ref="J21:R21" si="26">SUM(J22:J23)</f>
        <v>0.9</v>
      </c>
      <c r="K21" s="100">
        <f t="shared" si="26"/>
        <v>0.9</v>
      </c>
      <c r="L21" s="100">
        <f t="shared" si="26"/>
        <v>0.9</v>
      </c>
      <c r="M21" s="100">
        <f t="shared" si="26"/>
        <v>0.9</v>
      </c>
      <c r="N21" s="100">
        <f t="shared" si="26"/>
        <v>0.9</v>
      </c>
      <c r="O21" s="100">
        <f t="shared" si="26"/>
        <v>0.9</v>
      </c>
      <c r="P21" s="100">
        <f t="shared" si="26"/>
        <v>0.9</v>
      </c>
      <c r="Q21" s="100">
        <f t="shared" si="26"/>
        <v>0.9</v>
      </c>
      <c r="R21" s="100">
        <f t="shared" si="26"/>
        <v>0.9</v>
      </c>
      <c r="S21" s="106">
        <f t="shared" si="23"/>
        <v>0.9</v>
      </c>
      <c r="T21" s="85">
        <f>SUM(T22:T23)</f>
        <v>0.9</v>
      </c>
      <c r="U21" s="7">
        <f t="shared" si="24"/>
        <v>0.9</v>
      </c>
    </row>
    <row r="22" spans="2:25" ht="13.8" outlineLevel="1" x14ac:dyDescent="0.3">
      <c r="B22" s="77" t="s">
        <v>221</v>
      </c>
      <c r="C22" s="94" t="s">
        <v>60</v>
      </c>
      <c r="D22" s="110">
        <f>Хронометраж!J29</f>
        <v>0.9</v>
      </c>
      <c r="E22" s="31">
        <f>D22</f>
        <v>0.9</v>
      </c>
      <c r="F22" s="9">
        <f t="shared" ref="F22:H22" si="27">E22</f>
        <v>0.9</v>
      </c>
      <c r="G22" s="9">
        <f t="shared" si="27"/>
        <v>0.9</v>
      </c>
      <c r="H22" s="32">
        <f t="shared" si="27"/>
        <v>0.9</v>
      </c>
      <c r="I22" s="100">
        <f>H22</f>
        <v>0.9</v>
      </c>
      <c r="J22" s="100">
        <f t="shared" ref="J22:R22" si="28">I22</f>
        <v>0.9</v>
      </c>
      <c r="K22" s="100">
        <f t="shared" si="28"/>
        <v>0.9</v>
      </c>
      <c r="L22" s="100">
        <f t="shared" si="28"/>
        <v>0.9</v>
      </c>
      <c r="M22" s="100">
        <f t="shared" si="28"/>
        <v>0.9</v>
      </c>
      <c r="N22" s="100">
        <f t="shared" si="28"/>
        <v>0.9</v>
      </c>
      <c r="O22" s="100">
        <f t="shared" si="28"/>
        <v>0.9</v>
      </c>
      <c r="P22" s="100">
        <f t="shared" si="28"/>
        <v>0.9</v>
      </c>
      <c r="Q22" s="100">
        <f t="shared" si="28"/>
        <v>0.9</v>
      </c>
      <c r="R22" s="100">
        <f t="shared" si="28"/>
        <v>0.9</v>
      </c>
      <c r="S22" s="106">
        <f t="shared" si="23"/>
        <v>0.9</v>
      </c>
      <c r="T22" s="85">
        <f t="shared" si="4"/>
        <v>0.9</v>
      </c>
      <c r="U22" s="7"/>
    </row>
    <row r="23" spans="2:25" ht="13.8" outlineLevel="1" x14ac:dyDescent="0.3">
      <c r="B23" s="77" t="s">
        <v>222</v>
      </c>
      <c r="C23" s="94" t="s">
        <v>61</v>
      </c>
      <c r="D23" s="110"/>
      <c r="E23" s="31">
        <f>D23</f>
        <v>0</v>
      </c>
      <c r="F23" s="9">
        <f t="shared" ref="F23:H23" si="29">E23</f>
        <v>0</v>
      </c>
      <c r="G23" s="9">
        <f t="shared" si="29"/>
        <v>0</v>
      </c>
      <c r="H23" s="32">
        <f t="shared" si="29"/>
        <v>0</v>
      </c>
      <c r="I23" s="100">
        <f>H23</f>
        <v>0</v>
      </c>
      <c r="J23" s="100">
        <f t="shared" ref="J23:R23" si="30">I23</f>
        <v>0</v>
      </c>
      <c r="K23" s="100">
        <f t="shared" si="30"/>
        <v>0</v>
      </c>
      <c r="L23" s="100">
        <f t="shared" si="30"/>
        <v>0</v>
      </c>
      <c r="M23" s="100">
        <f t="shared" si="30"/>
        <v>0</v>
      </c>
      <c r="N23" s="100">
        <f t="shared" si="30"/>
        <v>0</v>
      </c>
      <c r="O23" s="100">
        <f t="shared" si="30"/>
        <v>0</v>
      </c>
      <c r="P23" s="100">
        <f t="shared" si="30"/>
        <v>0</v>
      </c>
      <c r="Q23" s="100">
        <f t="shared" si="30"/>
        <v>0</v>
      </c>
      <c r="R23" s="100">
        <f t="shared" si="30"/>
        <v>0</v>
      </c>
      <c r="S23" s="106">
        <f t="shared" si="23"/>
        <v>0</v>
      </c>
      <c r="T23" s="85">
        <f t="shared" si="4"/>
        <v>0</v>
      </c>
      <c r="U23" s="7"/>
    </row>
    <row r="24" spans="2:25" ht="13.8" x14ac:dyDescent="0.3">
      <c r="B24" s="77" t="s">
        <v>223</v>
      </c>
      <c r="C24" s="93" t="s">
        <v>35</v>
      </c>
      <c r="D24" s="110">
        <f>Хронометраж!J34</f>
        <v>0</v>
      </c>
      <c r="E24" s="31">
        <f t="shared" si="23"/>
        <v>0</v>
      </c>
      <c r="F24" s="9">
        <f t="shared" si="23"/>
        <v>0</v>
      </c>
      <c r="G24" s="9">
        <f t="shared" si="23"/>
        <v>0</v>
      </c>
      <c r="H24" s="32">
        <f t="shared" si="23"/>
        <v>0</v>
      </c>
      <c r="I24" s="100">
        <f t="shared" si="23"/>
        <v>0</v>
      </c>
      <c r="J24" s="12">
        <f t="shared" si="23"/>
        <v>0</v>
      </c>
      <c r="K24" s="12">
        <f t="shared" si="22"/>
        <v>0</v>
      </c>
      <c r="L24" s="12">
        <f t="shared" si="22"/>
        <v>0</v>
      </c>
      <c r="M24" s="12">
        <f t="shared" si="22"/>
        <v>0</v>
      </c>
      <c r="N24" s="12">
        <f t="shared" si="22"/>
        <v>0</v>
      </c>
      <c r="O24" s="12">
        <f t="shared" si="22"/>
        <v>0</v>
      </c>
      <c r="P24" s="12">
        <f t="shared" si="22"/>
        <v>0</v>
      </c>
      <c r="Q24" s="12">
        <f t="shared" si="23"/>
        <v>0</v>
      </c>
      <c r="R24" s="12">
        <f t="shared" si="23"/>
        <v>0</v>
      </c>
      <c r="S24" s="12">
        <f t="shared" si="23"/>
        <v>0</v>
      </c>
      <c r="T24" s="85">
        <f t="shared" si="4"/>
        <v>0</v>
      </c>
      <c r="U24" s="7">
        <f t="shared" ref="U24:U26" si="31">T24</f>
        <v>0</v>
      </c>
    </row>
    <row r="25" spans="2:25" ht="13.8" x14ac:dyDescent="0.3">
      <c r="B25" s="77" t="s">
        <v>224</v>
      </c>
      <c r="C25" s="93" t="s">
        <v>58</v>
      </c>
      <c r="D25" s="110">
        <f>Хронометраж!J35</f>
        <v>0</v>
      </c>
      <c r="E25" s="31">
        <f t="shared" si="23"/>
        <v>0</v>
      </c>
      <c r="F25" s="9">
        <f t="shared" si="23"/>
        <v>0</v>
      </c>
      <c r="G25" s="9">
        <f t="shared" si="23"/>
        <v>0</v>
      </c>
      <c r="H25" s="32">
        <f t="shared" si="23"/>
        <v>0</v>
      </c>
      <c r="I25" s="100">
        <f t="shared" si="23"/>
        <v>0</v>
      </c>
      <c r="J25" s="12">
        <f t="shared" si="23"/>
        <v>0</v>
      </c>
      <c r="K25" s="12">
        <f t="shared" si="22"/>
        <v>0</v>
      </c>
      <c r="L25" s="12">
        <f t="shared" si="22"/>
        <v>0</v>
      </c>
      <c r="M25" s="12">
        <f t="shared" si="22"/>
        <v>0</v>
      </c>
      <c r="N25" s="12">
        <f t="shared" si="22"/>
        <v>0</v>
      </c>
      <c r="O25" s="12">
        <f t="shared" si="22"/>
        <v>0</v>
      </c>
      <c r="P25" s="12">
        <f t="shared" si="22"/>
        <v>0</v>
      </c>
      <c r="Q25" s="12">
        <f t="shared" si="23"/>
        <v>0</v>
      </c>
      <c r="R25" s="12">
        <f t="shared" si="23"/>
        <v>0</v>
      </c>
      <c r="S25" s="106">
        <f t="shared" si="23"/>
        <v>0</v>
      </c>
      <c r="T25" s="85">
        <f t="shared" si="4"/>
        <v>0</v>
      </c>
      <c r="U25" s="7">
        <f t="shared" si="31"/>
        <v>0</v>
      </c>
    </row>
    <row r="26" spans="2:25" ht="14.4" thickBot="1" x14ac:dyDescent="0.35">
      <c r="B26" s="77" t="s">
        <v>225</v>
      </c>
      <c r="C26" s="95" t="s">
        <v>59</v>
      </c>
      <c r="D26" s="113">
        <f>Хронометраж!J36</f>
        <v>0.08</v>
      </c>
      <c r="E26" s="49">
        <f t="shared" si="23"/>
        <v>0.08</v>
      </c>
      <c r="F26" s="50">
        <f t="shared" si="23"/>
        <v>0.08</v>
      </c>
      <c r="G26" s="50">
        <f t="shared" si="23"/>
        <v>0.08</v>
      </c>
      <c r="H26" s="51">
        <f t="shared" si="23"/>
        <v>0.08</v>
      </c>
      <c r="I26" s="117">
        <f>H26</f>
        <v>0.08</v>
      </c>
      <c r="J26" s="53">
        <f t="shared" si="23"/>
        <v>0.08</v>
      </c>
      <c r="K26" s="53">
        <f t="shared" si="22"/>
        <v>0.08</v>
      </c>
      <c r="L26" s="53">
        <f t="shared" si="22"/>
        <v>0.08</v>
      </c>
      <c r="M26" s="53">
        <f t="shared" si="22"/>
        <v>0.08</v>
      </c>
      <c r="N26" s="53">
        <f t="shared" si="22"/>
        <v>0.08</v>
      </c>
      <c r="O26" s="53">
        <f t="shared" si="22"/>
        <v>0.08</v>
      </c>
      <c r="P26" s="53">
        <f t="shared" si="22"/>
        <v>0.08</v>
      </c>
      <c r="Q26" s="53">
        <f t="shared" si="23"/>
        <v>0.08</v>
      </c>
      <c r="R26" s="53">
        <f t="shared" si="23"/>
        <v>0.08</v>
      </c>
      <c r="S26" s="108">
        <f t="shared" si="23"/>
        <v>0.08</v>
      </c>
      <c r="T26" s="85">
        <f t="shared" si="4"/>
        <v>0.08</v>
      </c>
      <c r="U26" s="7">
        <f t="shared" si="31"/>
        <v>0.08</v>
      </c>
    </row>
    <row r="27" spans="2:25" s="5" customFormat="1" ht="17.399999999999999" x14ac:dyDescent="0.3">
      <c r="B27" s="131" t="s">
        <v>23</v>
      </c>
      <c r="C27" s="92" t="s">
        <v>234</v>
      </c>
      <c r="D27" s="202" t="s">
        <v>70</v>
      </c>
      <c r="E27" s="72">
        <f>E28</f>
        <v>0.55000000000000004</v>
      </c>
      <c r="F27" s="101">
        <f t="shared" ref="F27:H27" si="32">F28</f>
        <v>1.55</v>
      </c>
      <c r="G27" s="101">
        <f t="shared" si="32"/>
        <v>0.55000000000000004</v>
      </c>
      <c r="H27" s="102">
        <f t="shared" si="32"/>
        <v>0.55000000000000004</v>
      </c>
      <c r="I27" s="198">
        <f>I28</f>
        <v>0.55000000000000004</v>
      </c>
      <c r="J27" s="199">
        <f>J28</f>
        <v>0.55000000000000004</v>
      </c>
      <c r="K27" s="199">
        <f t="shared" ref="K27:Q27" si="33">K28</f>
        <v>0.55000000000000004</v>
      </c>
      <c r="L27" s="199">
        <f t="shared" si="33"/>
        <v>0.55000000000000004</v>
      </c>
      <c r="M27" s="199">
        <f t="shared" si="33"/>
        <v>0.55000000000000004</v>
      </c>
      <c r="N27" s="199">
        <f t="shared" si="33"/>
        <v>0.55000000000000004</v>
      </c>
      <c r="O27" s="199">
        <f t="shared" si="33"/>
        <v>0.55000000000000004</v>
      </c>
      <c r="P27" s="199">
        <f t="shared" si="33"/>
        <v>0.55000000000000004</v>
      </c>
      <c r="Q27" s="199">
        <f t="shared" si="33"/>
        <v>0.55000000000000004</v>
      </c>
      <c r="R27" s="199">
        <f>R28</f>
        <v>0.55000000000000004</v>
      </c>
      <c r="S27" s="119">
        <f t="shared" si="23"/>
        <v>0.55000000000000004</v>
      </c>
      <c r="T27" s="90">
        <f>T28</f>
        <v>0</v>
      </c>
      <c r="U27" s="25"/>
      <c r="Y27" s="162"/>
    </row>
    <row r="28" spans="2:25" ht="13.8" x14ac:dyDescent="0.3">
      <c r="B28" s="77" t="s">
        <v>40</v>
      </c>
      <c r="C28" s="93" t="s">
        <v>473</v>
      </c>
      <c r="D28" s="203" t="s">
        <v>70</v>
      </c>
      <c r="E28" s="31">
        <f>SUM(E29:E30)</f>
        <v>0.55000000000000004</v>
      </c>
      <c r="F28" s="9">
        <f t="shared" ref="F28:H28" si="34">SUM(F29:F30)</f>
        <v>1.55</v>
      </c>
      <c r="G28" s="9">
        <f t="shared" si="34"/>
        <v>0.55000000000000004</v>
      </c>
      <c r="H28" s="32">
        <f t="shared" si="34"/>
        <v>0.55000000000000004</v>
      </c>
      <c r="I28" s="28">
        <f>SUM(I29:I30)</f>
        <v>0.55000000000000004</v>
      </c>
      <c r="J28" s="12">
        <f>SUM(J29:J30)</f>
        <v>0.55000000000000004</v>
      </c>
      <c r="K28" s="12">
        <f t="shared" ref="K28:Q28" si="35">SUM(K29:K30)</f>
        <v>0.55000000000000004</v>
      </c>
      <c r="L28" s="12">
        <f t="shared" si="35"/>
        <v>0.55000000000000004</v>
      </c>
      <c r="M28" s="12">
        <f t="shared" si="35"/>
        <v>0.55000000000000004</v>
      </c>
      <c r="N28" s="12">
        <f t="shared" si="35"/>
        <v>0.55000000000000004</v>
      </c>
      <c r="O28" s="12">
        <f t="shared" si="35"/>
        <v>0.55000000000000004</v>
      </c>
      <c r="P28" s="12">
        <f t="shared" si="35"/>
        <v>0.55000000000000004</v>
      </c>
      <c r="Q28" s="12">
        <f t="shared" si="35"/>
        <v>0.55000000000000004</v>
      </c>
      <c r="R28" s="12">
        <f>SUM(R29:R30)</f>
        <v>0.55000000000000004</v>
      </c>
      <c r="S28" s="175">
        <f t="shared" si="23"/>
        <v>0.55000000000000004</v>
      </c>
      <c r="T28" s="87">
        <f>SUM(T29:T30)</f>
        <v>0</v>
      </c>
      <c r="U28" s="7"/>
    </row>
    <row r="29" spans="2:25" ht="13.8" x14ac:dyDescent="0.3">
      <c r="B29" s="77" t="s">
        <v>237</v>
      </c>
      <c r="C29" s="196" t="s">
        <v>60</v>
      </c>
      <c r="D29" s="203" t="s">
        <v>70</v>
      </c>
      <c r="E29" s="31">
        <f>Хронометраж!J38</f>
        <v>0.55000000000000004</v>
      </c>
      <c r="F29" s="9">
        <f>E29</f>
        <v>0.55000000000000004</v>
      </c>
      <c r="G29" s="9">
        <f>F29</f>
        <v>0.55000000000000004</v>
      </c>
      <c r="H29" s="32">
        <f t="shared" ref="H29:R29" si="36">G29</f>
        <v>0.55000000000000004</v>
      </c>
      <c r="I29" s="28">
        <f t="shared" si="36"/>
        <v>0.55000000000000004</v>
      </c>
      <c r="J29" s="12">
        <f t="shared" si="36"/>
        <v>0.55000000000000004</v>
      </c>
      <c r="K29" s="12">
        <f t="shared" si="36"/>
        <v>0.55000000000000004</v>
      </c>
      <c r="L29" s="12">
        <f t="shared" si="36"/>
        <v>0.55000000000000004</v>
      </c>
      <c r="M29" s="12">
        <f t="shared" si="36"/>
        <v>0.55000000000000004</v>
      </c>
      <c r="N29" s="12">
        <f t="shared" si="36"/>
        <v>0.55000000000000004</v>
      </c>
      <c r="O29" s="12">
        <f t="shared" si="36"/>
        <v>0.55000000000000004</v>
      </c>
      <c r="P29" s="12">
        <f t="shared" si="36"/>
        <v>0.55000000000000004</v>
      </c>
      <c r="Q29" s="12">
        <f t="shared" si="36"/>
        <v>0.55000000000000004</v>
      </c>
      <c r="R29" s="12">
        <f t="shared" si="36"/>
        <v>0.55000000000000004</v>
      </c>
      <c r="S29" s="175"/>
      <c r="T29" s="85">
        <f>_xlfn.MAXIFS(E29:H29,$E$6:$H$6,1)</f>
        <v>0</v>
      </c>
      <c r="U29" s="7"/>
    </row>
    <row r="30" spans="2:25" ht="14.4" thickBot="1" x14ac:dyDescent="0.35">
      <c r="B30" s="79" t="s">
        <v>238</v>
      </c>
      <c r="C30" s="197" t="s">
        <v>236</v>
      </c>
      <c r="D30" s="203" t="s">
        <v>70</v>
      </c>
      <c r="E30" s="49">
        <f>'М-лы'!F60</f>
        <v>0</v>
      </c>
      <c r="F30" s="50">
        <f>'М-лы'!G60</f>
        <v>1</v>
      </c>
      <c r="G30" s="50">
        <f>'М-лы'!H60</f>
        <v>0</v>
      </c>
      <c r="H30" s="51">
        <f>'М-лы'!I60</f>
        <v>0</v>
      </c>
      <c r="I30" s="52">
        <f>H30</f>
        <v>0</v>
      </c>
      <c r="J30" s="53">
        <f>I30</f>
        <v>0</v>
      </c>
      <c r="K30" s="53">
        <f t="shared" ref="K30:Q30" si="37">J30</f>
        <v>0</v>
      </c>
      <c r="L30" s="53">
        <f t="shared" si="37"/>
        <v>0</v>
      </c>
      <c r="M30" s="53">
        <f t="shared" si="37"/>
        <v>0</v>
      </c>
      <c r="N30" s="53">
        <f t="shared" si="37"/>
        <v>0</v>
      </c>
      <c r="O30" s="53">
        <f t="shared" si="37"/>
        <v>0</v>
      </c>
      <c r="P30" s="53">
        <f t="shared" si="37"/>
        <v>0</v>
      </c>
      <c r="Q30" s="53">
        <f t="shared" si="37"/>
        <v>0</v>
      </c>
      <c r="R30" s="53">
        <f>Q30</f>
        <v>0</v>
      </c>
      <c r="S30" s="175"/>
      <c r="T30" s="85">
        <f>_xlfn.MAXIFS(E30:H30,$E$6:$H$6,1)</f>
        <v>0</v>
      </c>
      <c r="U30" s="7"/>
    </row>
    <row r="31" spans="2:25" s="5" customFormat="1" ht="17.399999999999999" x14ac:dyDescent="0.3">
      <c r="B31" s="131" t="s">
        <v>19</v>
      </c>
      <c r="C31" s="76" t="s">
        <v>36</v>
      </c>
      <c r="D31" s="43">
        <f t="shared" ref="D31:T31" si="38">SUM(D32:D34)</f>
        <v>1.33</v>
      </c>
      <c r="E31" s="44">
        <f t="shared" si="38"/>
        <v>1.33</v>
      </c>
      <c r="F31" s="45">
        <f t="shared" si="38"/>
        <v>1.33</v>
      </c>
      <c r="G31" s="45">
        <f t="shared" si="38"/>
        <v>1.33</v>
      </c>
      <c r="H31" s="45">
        <f t="shared" si="38"/>
        <v>1.33</v>
      </c>
      <c r="I31" s="46">
        <f t="shared" si="38"/>
        <v>1.33</v>
      </c>
      <c r="J31" s="47">
        <f t="shared" si="38"/>
        <v>1.33</v>
      </c>
      <c r="K31" s="47">
        <f t="shared" si="38"/>
        <v>1.33</v>
      </c>
      <c r="L31" s="47">
        <f t="shared" si="38"/>
        <v>1.33</v>
      </c>
      <c r="M31" s="47">
        <f t="shared" si="38"/>
        <v>1.33</v>
      </c>
      <c r="N31" s="47">
        <f t="shared" si="38"/>
        <v>1.33</v>
      </c>
      <c r="O31" s="47">
        <f t="shared" si="38"/>
        <v>1.33</v>
      </c>
      <c r="P31" s="47">
        <f t="shared" si="38"/>
        <v>1.33</v>
      </c>
      <c r="Q31" s="47">
        <f t="shared" si="38"/>
        <v>1.33</v>
      </c>
      <c r="R31" s="47">
        <f t="shared" si="38"/>
        <v>1.33</v>
      </c>
      <c r="S31" s="54">
        <f t="shared" si="38"/>
        <v>1.33</v>
      </c>
      <c r="T31" s="90">
        <f t="shared" si="38"/>
        <v>1.33</v>
      </c>
      <c r="U31" s="24">
        <f>T31</f>
        <v>1.33</v>
      </c>
      <c r="W31" s="15"/>
    </row>
    <row r="32" spans="2:25" ht="13.8" x14ac:dyDescent="0.3">
      <c r="B32" s="77" t="s">
        <v>20</v>
      </c>
      <c r="C32" s="78" t="s">
        <v>38</v>
      </c>
      <c r="D32" s="42">
        <f>Хронометраж!J30</f>
        <v>1.2</v>
      </c>
      <c r="E32" s="31">
        <f t="shared" ref="E32:S32" si="39">D32</f>
        <v>1.2</v>
      </c>
      <c r="F32" s="9">
        <f t="shared" si="39"/>
        <v>1.2</v>
      </c>
      <c r="G32" s="9">
        <f t="shared" si="39"/>
        <v>1.2</v>
      </c>
      <c r="H32" s="9">
        <f t="shared" si="39"/>
        <v>1.2</v>
      </c>
      <c r="I32" s="28">
        <f t="shared" si="39"/>
        <v>1.2</v>
      </c>
      <c r="J32" s="12">
        <f t="shared" si="39"/>
        <v>1.2</v>
      </c>
      <c r="K32" s="12">
        <f t="shared" si="39"/>
        <v>1.2</v>
      </c>
      <c r="L32" s="12">
        <f t="shared" si="39"/>
        <v>1.2</v>
      </c>
      <c r="M32" s="12">
        <f t="shared" si="39"/>
        <v>1.2</v>
      </c>
      <c r="N32" s="12">
        <f t="shared" si="39"/>
        <v>1.2</v>
      </c>
      <c r="O32" s="12">
        <f t="shared" si="39"/>
        <v>1.2</v>
      </c>
      <c r="P32" s="12">
        <f t="shared" si="39"/>
        <v>1.2</v>
      </c>
      <c r="Q32" s="12">
        <f t="shared" si="39"/>
        <v>1.2</v>
      </c>
      <c r="R32" s="12">
        <f t="shared" si="39"/>
        <v>1.2</v>
      </c>
      <c r="S32" s="55">
        <f t="shared" si="39"/>
        <v>1.2</v>
      </c>
      <c r="T32" s="85">
        <f>_xlfn.MAXIFS(D32:S32,$D$6:$S$6,1)</f>
        <v>1.2</v>
      </c>
      <c r="U32" s="8">
        <f>T32</f>
        <v>1.2</v>
      </c>
    </row>
    <row r="33" spans="2:21" ht="13.8" x14ac:dyDescent="0.3">
      <c r="B33" s="77" t="s">
        <v>21</v>
      </c>
      <c r="C33" s="78" t="s">
        <v>39</v>
      </c>
      <c r="D33" s="42">
        <f>Хронометраж!J31</f>
        <v>0.13</v>
      </c>
      <c r="E33" s="31">
        <f t="shared" ref="E33:S33" si="40">D33</f>
        <v>0.13</v>
      </c>
      <c r="F33" s="9">
        <f t="shared" si="40"/>
        <v>0.13</v>
      </c>
      <c r="G33" s="9">
        <f t="shared" si="40"/>
        <v>0.13</v>
      </c>
      <c r="H33" s="9">
        <f t="shared" si="40"/>
        <v>0.13</v>
      </c>
      <c r="I33" s="28">
        <f t="shared" si="40"/>
        <v>0.13</v>
      </c>
      <c r="J33" s="12">
        <f t="shared" si="40"/>
        <v>0.13</v>
      </c>
      <c r="K33" s="12">
        <f t="shared" si="40"/>
        <v>0.13</v>
      </c>
      <c r="L33" s="12">
        <f t="shared" si="40"/>
        <v>0.13</v>
      </c>
      <c r="M33" s="12">
        <f t="shared" si="40"/>
        <v>0.13</v>
      </c>
      <c r="N33" s="12">
        <f t="shared" si="40"/>
        <v>0.13</v>
      </c>
      <c r="O33" s="12">
        <f t="shared" si="40"/>
        <v>0.13</v>
      </c>
      <c r="P33" s="12">
        <f t="shared" si="40"/>
        <v>0.13</v>
      </c>
      <c r="Q33" s="12">
        <f t="shared" si="40"/>
        <v>0.13</v>
      </c>
      <c r="R33" s="12">
        <f t="shared" si="40"/>
        <v>0.13</v>
      </c>
      <c r="S33" s="55">
        <f t="shared" si="40"/>
        <v>0.13</v>
      </c>
      <c r="T33" s="85">
        <f>_xlfn.MAXIFS(D33:S33,$D$6:$S$6,1)</f>
        <v>0.13</v>
      </c>
      <c r="U33" s="8">
        <f>T33</f>
        <v>0.13</v>
      </c>
    </row>
    <row r="34" spans="2:21" ht="14.4" thickBot="1" x14ac:dyDescent="0.35">
      <c r="B34" s="77" t="s">
        <v>22</v>
      </c>
      <c r="C34" s="177" t="s">
        <v>75</v>
      </c>
      <c r="D34" s="178"/>
      <c r="E34" s="179">
        <f t="shared" ref="E34:S34" si="41">D34</f>
        <v>0</v>
      </c>
      <c r="F34" s="180">
        <f t="shared" si="41"/>
        <v>0</v>
      </c>
      <c r="G34" s="180">
        <f t="shared" si="41"/>
        <v>0</v>
      </c>
      <c r="H34" s="180">
        <f t="shared" si="41"/>
        <v>0</v>
      </c>
      <c r="I34" s="181">
        <f t="shared" si="41"/>
        <v>0</v>
      </c>
      <c r="J34" s="182">
        <f t="shared" si="41"/>
        <v>0</v>
      </c>
      <c r="K34" s="182">
        <f t="shared" si="41"/>
        <v>0</v>
      </c>
      <c r="L34" s="182">
        <f t="shared" si="41"/>
        <v>0</v>
      </c>
      <c r="M34" s="182">
        <f t="shared" si="41"/>
        <v>0</v>
      </c>
      <c r="N34" s="182">
        <f t="shared" si="41"/>
        <v>0</v>
      </c>
      <c r="O34" s="182">
        <f t="shared" si="41"/>
        <v>0</v>
      </c>
      <c r="P34" s="182">
        <f t="shared" si="41"/>
        <v>0</v>
      </c>
      <c r="Q34" s="182">
        <f t="shared" si="41"/>
        <v>0</v>
      </c>
      <c r="R34" s="182">
        <f t="shared" si="41"/>
        <v>0</v>
      </c>
      <c r="S34" s="183">
        <f t="shared" si="41"/>
        <v>0</v>
      </c>
      <c r="T34" s="86">
        <f>_xlfn.MAXIFS(D34:S34,$D$6:$S$6,1)</f>
        <v>0</v>
      </c>
      <c r="U34" s="8">
        <f>T34</f>
        <v>0</v>
      </c>
    </row>
    <row r="35" spans="2:21" s="5" customFormat="1" ht="17.399999999999999" x14ac:dyDescent="0.3">
      <c r="B35" s="131" t="s">
        <v>7</v>
      </c>
      <c r="C35" s="76" t="s">
        <v>52</v>
      </c>
      <c r="D35" s="43">
        <f>D36+D39</f>
        <v>1.72</v>
      </c>
      <c r="E35" s="44">
        <f t="shared" ref="E35:U35" si="42">E36+E39</f>
        <v>1.72</v>
      </c>
      <c r="F35" s="45">
        <f t="shared" si="42"/>
        <v>1.72</v>
      </c>
      <c r="G35" s="45">
        <f t="shared" si="42"/>
        <v>1.72</v>
      </c>
      <c r="H35" s="45">
        <f t="shared" si="42"/>
        <v>1.72</v>
      </c>
      <c r="I35" s="46">
        <f t="shared" si="42"/>
        <v>1.72</v>
      </c>
      <c r="J35" s="47">
        <f t="shared" si="42"/>
        <v>1.72</v>
      </c>
      <c r="K35" s="47">
        <f t="shared" si="42"/>
        <v>1.72</v>
      </c>
      <c r="L35" s="47">
        <f t="shared" si="42"/>
        <v>1.72</v>
      </c>
      <c r="M35" s="47">
        <f t="shared" si="42"/>
        <v>1.72</v>
      </c>
      <c r="N35" s="47">
        <f t="shared" si="42"/>
        <v>1.72</v>
      </c>
      <c r="O35" s="47">
        <f t="shared" si="42"/>
        <v>1.72</v>
      </c>
      <c r="P35" s="47">
        <f t="shared" si="42"/>
        <v>1.72</v>
      </c>
      <c r="Q35" s="47">
        <f t="shared" si="42"/>
        <v>1.72</v>
      </c>
      <c r="R35" s="47">
        <f t="shared" si="42"/>
        <v>1.72</v>
      </c>
      <c r="S35" s="54">
        <f t="shared" si="42"/>
        <v>1.72</v>
      </c>
      <c r="T35" s="90">
        <f>T36+T39</f>
        <v>1.72</v>
      </c>
      <c r="U35" s="24">
        <f t="shared" si="42"/>
        <v>1.72</v>
      </c>
    </row>
    <row r="36" spans="2:21" ht="13.8" x14ac:dyDescent="0.3">
      <c r="B36" s="77" t="s">
        <v>24</v>
      </c>
      <c r="C36" s="78" t="s">
        <v>56</v>
      </c>
      <c r="D36" s="42">
        <f>SUM(D37:D38)</f>
        <v>0.32</v>
      </c>
      <c r="E36" s="33">
        <f>SUM(E37:E38)</f>
        <v>0.32</v>
      </c>
      <c r="F36" s="10">
        <f>SUM(F37:F38)</f>
        <v>0.32</v>
      </c>
      <c r="G36" s="10">
        <f t="shared" ref="G36:U36" si="43">SUM(G37:G38)</f>
        <v>0.32</v>
      </c>
      <c r="H36" s="10">
        <f t="shared" si="43"/>
        <v>0.32</v>
      </c>
      <c r="I36" s="29">
        <f t="shared" si="43"/>
        <v>0.32</v>
      </c>
      <c r="J36" s="13">
        <f t="shared" si="43"/>
        <v>0.32</v>
      </c>
      <c r="K36" s="13">
        <f t="shared" si="43"/>
        <v>0.32</v>
      </c>
      <c r="L36" s="13">
        <f t="shared" si="43"/>
        <v>0.32</v>
      </c>
      <c r="M36" s="13">
        <f t="shared" si="43"/>
        <v>0.32</v>
      </c>
      <c r="N36" s="13">
        <f t="shared" si="43"/>
        <v>0.32</v>
      </c>
      <c r="O36" s="13">
        <f t="shared" si="43"/>
        <v>0.32</v>
      </c>
      <c r="P36" s="13">
        <f t="shared" si="43"/>
        <v>0.32</v>
      </c>
      <c r="Q36" s="13">
        <f t="shared" si="43"/>
        <v>0.32</v>
      </c>
      <c r="R36" s="13">
        <f t="shared" si="43"/>
        <v>0.32</v>
      </c>
      <c r="S36" s="56">
        <f t="shared" si="43"/>
        <v>0.32</v>
      </c>
      <c r="T36" s="85">
        <f t="shared" si="4"/>
        <v>0.32</v>
      </c>
      <c r="U36" s="8">
        <f t="shared" si="43"/>
        <v>0.32</v>
      </c>
    </row>
    <row r="37" spans="2:21" ht="13.8" outlineLevel="1" x14ac:dyDescent="0.3">
      <c r="B37" s="77" t="s">
        <v>25</v>
      </c>
      <c r="C37" s="83" t="s">
        <v>60</v>
      </c>
      <c r="D37" s="42">
        <f>Хронометраж!J32</f>
        <v>0.32</v>
      </c>
      <c r="E37" s="31">
        <f>D37</f>
        <v>0.32</v>
      </c>
      <c r="F37" s="9">
        <f t="shared" ref="F37:U38" si="44">E37</f>
        <v>0.32</v>
      </c>
      <c r="G37" s="9">
        <f t="shared" si="44"/>
        <v>0.32</v>
      </c>
      <c r="H37" s="9">
        <f t="shared" si="44"/>
        <v>0.32</v>
      </c>
      <c r="I37" s="28">
        <f t="shared" si="44"/>
        <v>0.32</v>
      </c>
      <c r="J37" s="12">
        <f t="shared" si="44"/>
        <v>0.32</v>
      </c>
      <c r="K37" s="12">
        <f t="shared" si="44"/>
        <v>0.32</v>
      </c>
      <c r="L37" s="12">
        <f t="shared" si="44"/>
        <v>0.32</v>
      </c>
      <c r="M37" s="12">
        <f>K37</f>
        <v>0.32</v>
      </c>
      <c r="N37" s="12">
        <f t="shared" si="44"/>
        <v>0.32</v>
      </c>
      <c r="O37" s="12">
        <f t="shared" si="44"/>
        <v>0.32</v>
      </c>
      <c r="P37" s="12">
        <f t="shared" si="44"/>
        <v>0.32</v>
      </c>
      <c r="Q37" s="12">
        <f t="shared" si="44"/>
        <v>0.32</v>
      </c>
      <c r="R37" s="12">
        <f t="shared" si="44"/>
        <v>0.32</v>
      </c>
      <c r="S37" s="55">
        <f t="shared" si="44"/>
        <v>0.32</v>
      </c>
      <c r="T37" s="85">
        <f t="shared" si="4"/>
        <v>0.32</v>
      </c>
      <c r="U37" s="7">
        <f t="shared" si="44"/>
        <v>0.32</v>
      </c>
    </row>
    <row r="38" spans="2:21" ht="13.8" outlineLevel="1" x14ac:dyDescent="0.3">
      <c r="B38" s="77" t="s">
        <v>26</v>
      </c>
      <c r="C38" s="83" t="s">
        <v>61</v>
      </c>
      <c r="D38" s="42"/>
      <c r="E38" s="31">
        <f>D38</f>
        <v>0</v>
      </c>
      <c r="F38" s="9">
        <f t="shared" si="44"/>
        <v>0</v>
      </c>
      <c r="G38" s="9">
        <f t="shared" si="44"/>
        <v>0</v>
      </c>
      <c r="H38" s="9">
        <f t="shared" si="44"/>
        <v>0</v>
      </c>
      <c r="I38" s="28">
        <f t="shared" si="44"/>
        <v>0</v>
      </c>
      <c r="J38" s="12">
        <f t="shared" si="44"/>
        <v>0</v>
      </c>
      <c r="K38" s="12">
        <f t="shared" si="44"/>
        <v>0</v>
      </c>
      <c r="L38" s="12">
        <f t="shared" si="44"/>
        <v>0</v>
      </c>
      <c r="M38" s="12">
        <f>K38</f>
        <v>0</v>
      </c>
      <c r="N38" s="12">
        <f t="shared" si="44"/>
        <v>0</v>
      </c>
      <c r="O38" s="12">
        <f t="shared" si="44"/>
        <v>0</v>
      </c>
      <c r="P38" s="12">
        <f t="shared" si="44"/>
        <v>0</v>
      </c>
      <c r="Q38" s="12">
        <f t="shared" si="44"/>
        <v>0</v>
      </c>
      <c r="R38" s="12">
        <f t="shared" si="44"/>
        <v>0</v>
      </c>
      <c r="S38" s="55">
        <f t="shared" si="44"/>
        <v>0</v>
      </c>
      <c r="T38" s="85">
        <f t="shared" si="4"/>
        <v>0</v>
      </c>
      <c r="U38" s="7">
        <f t="shared" si="44"/>
        <v>0</v>
      </c>
    </row>
    <row r="39" spans="2:21" ht="13.8" x14ac:dyDescent="0.3">
      <c r="B39" s="77" t="s">
        <v>27</v>
      </c>
      <c r="C39" s="78" t="s">
        <v>57</v>
      </c>
      <c r="D39" s="42">
        <f>SUM(D40:D41)</f>
        <v>1.4</v>
      </c>
      <c r="E39" s="33">
        <f>SUM(E40:E41)</f>
        <v>1.4</v>
      </c>
      <c r="F39" s="10">
        <f t="shared" ref="F39:U39" si="45">SUM(F40:F41)</f>
        <v>1.4</v>
      </c>
      <c r="G39" s="10">
        <f t="shared" si="45"/>
        <v>1.4</v>
      </c>
      <c r="H39" s="10">
        <f t="shared" si="45"/>
        <v>1.4</v>
      </c>
      <c r="I39" s="29">
        <f>SUM(I40:I41)</f>
        <v>1.4</v>
      </c>
      <c r="J39" s="13">
        <f t="shared" si="45"/>
        <v>1.4</v>
      </c>
      <c r="K39" s="13">
        <f t="shared" si="45"/>
        <v>1.4</v>
      </c>
      <c r="L39" s="13">
        <f t="shared" si="45"/>
        <v>1.4</v>
      </c>
      <c r="M39" s="13">
        <f t="shared" si="45"/>
        <v>1.4</v>
      </c>
      <c r="N39" s="13">
        <f t="shared" si="45"/>
        <v>1.4</v>
      </c>
      <c r="O39" s="13">
        <f t="shared" si="45"/>
        <v>1.4</v>
      </c>
      <c r="P39" s="13">
        <f>SUM(P40:P41)</f>
        <v>1.4</v>
      </c>
      <c r="Q39" s="13">
        <f t="shared" si="45"/>
        <v>1.4</v>
      </c>
      <c r="R39" s="13">
        <f t="shared" si="45"/>
        <v>1.4</v>
      </c>
      <c r="S39" s="56">
        <f t="shared" si="45"/>
        <v>1.4</v>
      </c>
      <c r="T39" s="85">
        <f>_xlfn.MAXIFS(D39:S39,$D$6:$S$6,1)</f>
        <v>1.4</v>
      </c>
      <c r="U39" s="8">
        <f t="shared" si="45"/>
        <v>1.4</v>
      </c>
    </row>
    <row r="40" spans="2:21" ht="13.8" outlineLevel="1" x14ac:dyDescent="0.3">
      <c r="B40" s="77" t="s">
        <v>146</v>
      </c>
      <c r="C40" s="83" t="s">
        <v>60</v>
      </c>
      <c r="D40" s="42">
        <f>Хронометраж!J33</f>
        <v>1.4</v>
      </c>
      <c r="E40" s="31">
        <f>D40</f>
        <v>1.4</v>
      </c>
      <c r="F40" s="9">
        <f t="shared" ref="F40:U41" si="46">E40</f>
        <v>1.4</v>
      </c>
      <c r="G40" s="9">
        <f t="shared" si="46"/>
        <v>1.4</v>
      </c>
      <c r="H40" s="32">
        <f>F40</f>
        <v>1.4</v>
      </c>
      <c r="I40" s="28">
        <f t="shared" si="46"/>
        <v>1.4</v>
      </c>
      <c r="J40" s="12">
        <f t="shared" si="46"/>
        <v>1.4</v>
      </c>
      <c r="K40" s="12">
        <f t="shared" si="46"/>
        <v>1.4</v>
      </c>
      <c r="L40" s="12">
        <f t="shared" si="46"/>
        <v>1.4</v>
      </c>
      <c r="M40" s="12">
        <f>K40</f>
        <v>1.4</v>
      </c>
      <c r="N40" s="12">
        <f t="shared" si="46"/>
        <v>1.4</v>
      </c>
      <c r="O40" s="12">
        <f t="shared" si="46"/>
        <v>1.4</v>
      </c>
      <c r="P40" s="12">
        <f t="shared" si="46"/>
        <v>1.4</v>
      </c>
      <c r="Q40" s="12">
        <f t="shared" si="46"/>
        <v>1.4</v>
      </c>
      <c r="R40" s="12">
        <f t="shared" si="46"/>
        <v>1.4</v>
      </c>
      <c r="S40" s="55">
        <f t="shared" si="46"/>
        <v>1.4</v>
      </c>
      <c r="T40" s="85">
        <f>_xlfn.MAXIFS(D40:S40,$D$6:$S$6,1)</f>
        <v>1.4</v>
      </c>
      <c r="U40" s="7">
        <f t="shared" si="46"/>
        <v>1.4</v>
      </c>
    </row>
    <row r="41" spans="2:21" ht="14.4" outlineLevel="1" thickBot="1" x14ac:dyDescent="0.35">
      <c r="B41" s="79" t="s">
        <v>147</v>
      </c>
      <c r="C41" s="84" t="s">
        <v>69</v>
      </c>
      <c r="D41" s="48"/>
      <c r="E41" s="49">
        <f>D41</f>
        <v>0</v>
      </c>
      <c r="F41" s="50">
        <f t="shared" si="46"/>
        <v>0</v>
      </c>
      <c r="G41" s="50">
        <f t="shared" si="46"/>
        <v>0</v>
      </c>
      <c r="H41" s="51">
        <f>F41</f>
        <v>0</v>
      </c>
      <c r="I41" s="52">
        <f t="shared" si="46"/>
        <v>0</v>
      </c>
      <c r="J41" s="53">
        <f t="shared" si="46"/>
        <v>0</v>
      </c>
      <c r="K41" s="53">
        <f t="shared" si="46"/>
        <v>0</v>
      </c>
      <c r="L41" s="53">
        <f t="shared" si="46"/>
        <v>0</v>
      </c>
      <c r="M41" s="53">
        <f>K41</f>
        <v>0</v>
      </c>
      <c r="N41" s="53">
        <f t="shared" si="46"/>
        <v>0</v>
      </c>
      <c r="O41" s="53">
        <f t="shared" si="46"/>
        <v>0</v>
      </c>
      <c r="P41" s="53">
        <f t="shared" si="46"/>
        <v>0</v>
      </c>
      <c r="Q41" s="53">
        <f t="shared" si="46"/>
        <v>0</v>
      </c>
      <c r="R41" s="53">
        <f t="shared" si="46"/>
        <v>0</v>
      </c>
      <c r="S41" s="57">
        <f t="shared" si="46"/>
        <v>0</v>
      </c>
      <c r="T41" s="85">
        <f>_xlfn.MAXIFS(D41:S41,$D$6:$S$6,1)</f>
        <v>0</v>
      </c>
      <c r="U41" s="7">
        <f t="shared" si="46"/>
        <v>0</v>
      </c>
    </row>
    <row r="42" spans="2:21" s="70" customFormat="1" ht="27" customHeight="1" thickBot="1" x14ac:dyDescent="0.35">
      <c r="B42" s="632" t="s">
        <v>141</v>
      </c>
      <c r="C42" s="633"/>
      <c r="D42" s="62">
        <f>D31+D10+D35</f>
        <v>11.14</v>
      </c>
      <c r="E42" s="63">
        <f>E31+E10+E35+E27</f>
        <v>12.71</v>
      </c>
      <c r="F42" s="64">
        <f t="shared" ref="F42:R42" si="47">F31+F10+F35+F27</f>
        <v>13.71</v>
      </c>
      <c r="G42" s="64">
        <f t="shared" si="47"/>
        <v>12.71</v>
      </c>
      <c r="H42" s="65">
        <f t="shared" si="47"/>
        <v>12.71</v>
      </c>
      <c r="I42" s="66">
        <f t="shared" si="47"/>
        <v>15.950000000000003</v>
      </c>
      <c r="J42" s="67">
        <f t="shared" si="47"/>
        <v>14.360000000000003</v>
      </c>
      <c r="K42" s="67">
        <f t="shared" si="47"/>
        <v>13.480000000000002</v>
      </c>
      <c r="L42" s="67">
        <f t="shared" si="47"/>
        <v>14.07</v>
      </c>
      <c r="M42" s="67">
        <f t="shared" si="47"/>
        <v>13.190000000000001</v>
      </c>
      <c r="N42" s="67">
        <f t="shared" si="47"/>
        <v>13.190000000000001</v>
      </c>
      <c r="O42" s="67">
        <f t="shared" si="47"/>
        <v>13.190000000000001</v>
      </c>
      <c r="P42" s="67">
        <f t="shared" si="47"/>
        <v>13.860000000000003</v>
      </c>
      <c r="Q42" s="67">
        <f>Q31+Q10+Q35+Q27</f>
        <v>13.3</v>
      </c>
      <c r="R42" s="67">
        <f t="shared" si="47"/>
        <v>13.260000000000002</v>
      </c>
      <c r="S42" s="68">
        <f>S31+S10+S35</f>
        <v>10.110000000000001</v>
      </c>
      <c r="T42" s="91">
        <f>T31+T10+T35+T27</f>
        <v>11.14</v>
      </c>
      <c r="U42" s="69" t="e">
        <f>#REF!+U31+U10+U35</f>
        <v>#REF!</v>
      </c>
    </row>
    <row r="43" spans="2:21" ht="24" customHeight="1" thickBot="1" x14ac:dyDescent="0.35">
      <c r="B43" s="661" t="s">
        <v>143</v>
      </c>
      <c r="C43" s="662"/>
      <c r="D43" s="662"/>
      <c r="E43" s="662"/>
      <c r="F43" s="662"/>
      <c r="G43" s="662"/>
      <c r="H43" s="662"/>
      <c r="I43" s="662"/>
      <c r="J43" s="662"/>
      <c r="K43" s="662"/>
      <c r="L43" s="662"/>
      <c r="M43" s="662"/>
      <c r="N43" s="662"/>
      <c r="O43" s="662"/>
      <c r="P43" s="662"/>
      <c r="Q43" s="662"/>
      <c r="R43" s="662"/>
      <c r="S43" s="662"/>
      <c r="T43" s="663"/>
    </row>
    <row r="44" spans="2:21" ht="13.8" x14ac:dyDescent="0.3">
      <c r="B44" s="122" t="s">
        <v>28</v>
      </c>
      <c r="C44" s="141" t="s">
        <v>150</v>
      </c>
      <c r="D44" s="144">
        <v>2</v>
      </c>
      <c r="E44" s="150">
        <v>1</v>
      </c>
      <c r="F44" s="136"/>
      <c r="G44" s="136"/>
      <c r="H44" s="151"/>
      <c r="I44" s="147">
        <v>1</v>
      </c>
      <c r="J44" s="139"/>
      <c r="K44" s="139"/>
      <c r="L44" s="139"/>
      <c r="M44" s="139"/>
      <c r="N44" s="139"/>
      <c r="O44" s="139">
        <v>1</v>
      </c>
      <c r="P44" s="139"/>
      <c r="Q44" s="139"/>
      <c r="R44" s="139"/>
      <c r="S44" s="156"/>
      <c r="T44" s="85">
        <f>SUMIFS(E44:R44,$E$6:$R$6,1)+IF(SUM($E$6:$R$6)=0,D44,0)</f>
        <v>2</v>
      </c>
    </row>
    <row r="45" spans="2:21" ht="13.8" x14ac:dyDescent="0.3">
      <c r="B45" s="200">
        <f>B44+1</f>
        <v>6</v>
      </c>
      <c r="C45" s="142" t="s">
        <v>151</v>
      </c>
      <c r="D45" s="145">
        <v>2</v>
      </c>
      <c r="E45" s="152">
        <v>2</v>
      </c>
      <c r="F45" s="137">
        <v>1</v>
      </c>
      <c r="G45" s="137"/>
      <c r="H45" s="153"/>
      <c r="I45" s="148"/>
      <c r="J45" s="4">
        <v>1</v>
      </c>
      <c r="K45" s="4"/>
      <c r="L45" s="4"/>
      <c r="M45" s="4"/>
      <c r="N45" s="4"/>
      <c r="O45" s="4"/>
      <c r="P45" s="4">
        <v>1</v>
      </c>
      <c r="Q45" s="4"/>
      <c r="R45" s="4"/>
      <c r="S45" s="157"/>
      <c r="T45" s="85">
        <f>SUMIFS(E45:R45,$E$6:$R$6,1)+IF(SUM($E$6:$R$6)=0,D45,0)</f>
        <v>2</v>
      </c>
    </row>
    <row r="46" spans="2:21" ht="13.8" x14ac:dyDescent="0.3">
      <c r="B46" s="200" t="s">
        <v>3</v>
      </c>
      <c r="C46" s="142" t="s">
        <v>148</v>
      </c>
      <c r="D46" s="145"/>
      <c r="E46" s="152"/>
      <c r="F46" s="137">
        <v>2</v>
      </c>
      <c r="G46" s="137"/>
      <c r="H46" s="153"/>
      <c r="I46" s="148"/>
      <c r="J46" s="4"/>
      <c r="K46" s="4">
        <v>1</v>
      </c>
      <c r="L46" s="4"/>
      <c r="M46" s="4"/>
      <c r="N46" s="4"/>
      <c r="O46" s="4"/>
      <c r="P46" s="4"/>
      <c r="Q46" s="4">
        <v>1</v>
      </c>
      <c r="R46" s="4"/>
      <c r="S46" s="157"/>
      <c r="T46" s="85">
        <f t="shared" ref="T46:T49" si="48">SUMIFS(E46:R46,$E$6:$R$6,1)+IF(SUM($E$6:$R$6)=0,D46,0)</f>
        <v>0</v>
      </c>
    </row>
    <row r="47" spans="2:21" ht="13.8" x14ac:dyDescent="0.3">
      <c r="B47" s="200" t="s">
        <v>47</v>
      </c>
      <c r="C47" s="142" t="s">
        <v>149</v>
      </c>
      <c r="D47" s="145"/>
      <c r="E47" s="152"/>
      <c r="F47" s="137">
        <v>3</v>
      </c>
      <c r="G47" s="137">
        <v>1</v>
      </c>
      <c r="H47" s="153"/>
      <c r="I47" s="148"/>
      <c r="J47" s="4"/>
      <c r="K47" s="4"/>
      <c r="L47" s="4">
        <v>1</v>
      </c>
      <c r="M47" s="4"/>
      <c r="N47" s="4"/>
      <c r="O47" s="4"/>
      <c r="P47" s="4"/>
      <c r="Q47" s="4"/>
      <c r="R47" s="4">
        <v>1</v>
      </c>
      <c r="S47" s="157"/>
      <c r="T47" s="85">
        <f t="shared" si="48"/>
        <v>0</v>
      </c>
    </row>
    <row r="48" spans="2:21" ht="13.8" x14ac:dyDescent="0.3">
      <c r="B48" s="200" t="s">
        <v>62</v>
      </c>
      <c r="C48" s="142" t="s">
        <v>152</v>
      </c>
      <c r="D48" s="145"/>
      <c r="E48" s="152"/>
      <c r="F48" s="137"/>
      <c r="G48" s="137">
        <v>2</v>
      </c>
      <c r="H48" s="153"/>
      <c r="I48" s="148"/>
      <c r="J48" s="4"/>
      <c r="K48" s="4"/>
      <c r="L48" s="4"/>
      <c r="M48" s="4">
        <v>1</v>
      </c>
      <c r="N48" s="4"/>
      <c r="O48" s="4"/>
      <c r="P48" s="4"/>
      <c r="Q48" s="4"/>
      <c r="R48" s="4"/>
      <c r="S48" s="157">
        <v>1</v>
      </c>
      <c r="T48" s="85">
        <f t="shared" si="48"/>
        <v>0</v>
      </c>
    </row>
    <row r="49" spans="2:21" ht="14.4" thickBot="1" x14ac:dyDescent="0.35">
      <c r="B49" s="201" t="s">
        <v>63</v>
      </c>
      <c r="C49" s="143" t="s">
        <v>153</v>
      </c>
      <c r="D49" s="146"/>
      <c r="E49" s="154"/>
      <c r="F49" s="138"/>
      <c r="G49" s="138"/>
      <c r="H49" s="155">
        <v>1</v>
      </c>
      <c r="I49" s="149"/>
      <c r="J49" s="140"/>
      <c r="K49" s="140"/>
      <c r="L49" s="140"/>
      <c r="M49" s="140"/>
      <c r="N49" s="140">
        <v>1</v>
      </c>
      <c r="O49" s="140"/>
      <c r="P49" s="140"/>
      <c r="Q49" s="140"/>
      <c r="R49" s="140"/>
      <c r="S49" s="158"/>
      <c r="T49" s="86">
        <f t="shared" si="48"/>
        <v>0</v>
      </c>
    </row>
    <row r="50" spans="2:21" s="70" customFormat="1" ht="27" customHeight="1" collapsed="1" thickBot="1" x14ac:dyDescent="0.35">
      <c r="B50" s="632" t="s">
        <v>209</v>
      </c>
      <c r="C50" s="633"/>
      <c r="D50" s="62">
        <f>D44+D45+D46+D47+D48+D49</f>
        <v>4</v>
      </c>
      <c r="E50" s="63">
        <f>E44+E45+E46+E47+E48+E49</f>
        <v>3</v>
      </c>
      <c r="F50" s="64">
        <f t="shared" ref="F50:H50" si="49">F44+F45+F46+F47+F48+F49</f>
        <v>6</v>
      </c>
      <c r="G50" s="64">
        <f t="shared" si="49"/>
        <v>3</v>
      </c>
      <c r="H50" s="65">
        <f t="shared" si="49"/>
        <v>1</v>
      </c>
      <c r="I50" s="66">
        <f>I44+I45+I46+I47+I48+I49</f>
        <v>1</v>
      </c>
      <c r="J50" s="67">
        <f>J44+J45+J46+J47+J48+J49</f>
        <v>1</v>
      </c>
      <c r="K50" s="67">
        <f t="shared" ref="K50:R50" si="50">K44+K45+K46+K47+K48+K49</f>
        <v>1</v>
      </c>
      <c r="L50" s="67">
        <f t="shared" si="50"/>
        <v>1</v>
      </c>
      <c r="M50" s="67">
        <f t="shared" si="50"/>
        <v>1</v>
      </c>
      <c r="N50" s="67">
        <f t="shared" si="50"/>
        <v>1</v>
      </c>
      <c r="O50" s="67">
        <f t="shared" si="50"/>
        <v>1</v>
      </c>
      <c r="P50" s="67">
        <f t="shared" si="50"/>
        <v>1</v>
      </c>
      <c r="Q50" s="67">
        <f t="shared" si="50"/>
        <v>1</v>
      </c>
      <c r="R50" s="67">
        <f t="shared" si="50"/>
        <v>1</v>
      </c>
      <c r="S50" s="68">
        <f>S44+S45+S46+S47+S48+S49</f>
        <v>1</v>
      </c>
      <c r="T50" s="188">
        <f>SUMIFS(E50:R50,$E$6:$R$6,1)+IF(AND(SUM($E$6:$R$6)=0,D6=1),D50,0)</f>
        <v>4</v>
      </c>
      <c r="U50" s="69"/>
    </row>
    <row r="51" spans="2:21" ht="27.75" customHeight="1" thickBot="1" x14ac:dyDescent="0.35">
      <c r="B51" s="634" t="s">
        <v>68</v>
      </c>
      <c r="C51" s="635"/>
      <c r="D51" s="159">
        <f>D42+D50</f>
        <v>15.14</v>
      </c>
      <c r="E51" s="159">
        <f>E42+E50</f>
        <v>15.71</v>
      </c>
      <c r="F51" s="159">
        <f t="shared" ref="F51:S51" si="51">F42+F50</f>
        <v>19.71</v>
      </c>
      <c r="G51" s="159">
        <f t="shared" si="51"/>
        <v>15.71</v>
      </c>
      <c r="H51" s="159">
        <f t="shared" si="51"/>
        <v>13.71</v>
      </c>
      <c r="I51" s="159">
        <f t="shared" si="51"/>
        <v>16.950000000000003</v>
      </c>
      <c r="J51" s="159">
        <f t="shared" si="51"/>
        <v>15.360000000000003</v>
      </c>
      <c r="K51" s="159">
        <f t="shared" si="51"/>
        <v>14.480000000000002</v>
      </c>
      <c r="L51" s="159">
        <f t="shared" si="51"/>
        <v>15.07</v>
      </c>
      <c r="M51" s="159">
        <f t="shared" si="51"/>
        <v>14.190000000000001</v>
      </c>
      <c r="N51" s="159">
        <f t="shared" si="51"/>
        <v>14.190000000000001</v>
      </c>
      <c r="O51" s="159">
        <f t="shared" si="51"/>
        <v>14.190000000000001</v>
      </c>
      <c r="P51" s="159">
        <f t="shared" si="51"/>
        <v>14.860000000000003</v>
      </c>
      <c r="Q51" s="159">
        <f t="shared" si="51"/>
        <v>14.3</v>
      </c>
      <c r="R51" s="159">
        <f t="shared" si="51"/>
        <v>14.260000000000002</v>
      </c>
      <c r="S51" s="159">
        <f t="shared" si="51"/>
        <v>11.110000000000001</v>
      </c>
      <c r="T51" s="160">
        <f>T42+T50</f>
        <v>15.14</v>
      </c>
    </row>
  </sheetData>
  <mergeCells count="14">
    <mergeCell ref="U7:U8"/>
    <mergeCell ref="B9:T9"/>
    <mergeCell ref="B42:C42"/>
    <mergeCell ref="B43:T43"/>
    <mergeCell ref="B50:C50"/>
    <mergeCell ref="B51:C51"/>
    <mergeCell ref="B4:T4"/>
    <mergeCell ref="B5:T5"/>
    <mergeCell ref="B6:C6"/>
    <mergeCell ref="B7:B8"/>
    <mergeCell ref="C7:C8"/>
    <mergeCell ref="D7:D8"/>
    <mergeCell ref="E7:H7"/>
    <mergeCell ref="I7:T7"/>
  </mergeCells>
  <conditionalFormatting sqref="E8:S8">
    <cfRule type="expression" dxfId="75" priority="37">
      <formula>E$6=1</formula>
    </cfRule>
  </conditionalFormatting>
  <conditionalFormatting sqref="E44:H50 E31:H42 E28:E30 E10:H26">
    <cfRule type="expression" dxfId="74" priority="36">
      <formula>E$6=0</formula>
    </cfRule>
  </conditionalFormatting>
  <conditionalFormatting sqref="I44:S50 I28:S42 I10:S26">
    <cfRule type="expression" dxfId="73" priority="35">
      <formula>I$6=0</formula>
    </cfRule>
  </conditionalFormatting>
  <conditionalFormatting sqref="D44:D50 D10:D26 D28:D42">
    <cfRule type="expression" dxfId="72" priority="34">
      <formula>OR($D$6=0,$E$6=1,$F$6=1,$H$6=1,$I$6=1,$J$6=1,$K$6=1,$M$6=1,$N$6=1,$O$6=1,$P$6=1,$Q$6=1,$R$6=1,$S$6=1)</formula>
    </cfRule>
  </conditionalFormatting>
  <conditionalFormatting sqref="T10:T26 T28:T42">
    <cfRule type="expression" dxfId="71" priority="33">
      <formula>AND($D$6=0,$E$6=0,$F$6=0,$H$6=0,$I$6=0,$J$6=0,$K$6=0,$M$6=0,$N$6=0,$O$6=0,$P$6=0,$Q$6=0,$R$6=0,$S$6=0,$G$6=0)</formula>
    </cfRule>
  </conditionalFormatting>
  <conditionalFormatting sqref="B16:C16 T16">
    <cfRule type="expression" dxfId="70" priority="31">
      <formula>$T$16&gt;0</formula>
    </cfRule>
  </conditionalFormatting>
  <conditionalFormatting sqref="I16">
    <cfRule type="expression" dxfId="69" priority="30">
      <formula>$I6=1</formula>
    </cfRule>
  </conditionalFormatting>
  <conditionalFormatting sqref="J16">
    <cfRule type="expression" dxfId="68" priority="29">
      <formula>$J$6=1</formula>
    </cfRule>
  </conditionalFormatting>
  <conditionalFormatting sqref="K16">
    <cfRule type="expression" dxfId="67" priority="28">
      <formula>$K$6=1</formula>
    </cfRule>
  </conditionalFormatting>
  <conditionalFormatting sqref="L16">
    <cfRule type="expression" dxfId="66" priority="27">
      <formula>$L$6=1</formula>
    </cfRule>
  </conditionalFormatting>
  <conditionalFormatting sqref="M16">
    <cfRule type="expression" dxfId="65" priority="26">
      <formula>M$6=1</formula>
    </cfRule>
  </conditionalFormatting>
  <conditionalFormatting sqref="N16">
    <cfRule type="expression" dxfId="64" priority="25">
      <formula>N$6=1</formula>
    </cfRule>
  </conditionalFormatting>
  <conditionalFormatting sqref="O16">
    <cfRule type="expression" dxfId="63" priority="24">
      <formula>O$6=1</formula>
    </cfRule>
  </conditionalFormatting>
  <conditionalFormatting sqref="P16">
    <cfRule type="expression" dxfId="62" priority="23">
      <formula>P$6=1</formula>
    </cfRule>
  </conditionalFormatting>
  <conditionalFormatting sqref="Q16">
    <cfRule type="expression" dxfId="61" priority="22">
      <formula>Q$6=1</formula>
    </cfRule>
  </conditionalFormatting>
  <conditionalFormatting sqref="R16">
    <cfRule type="expression" dxfId="60" priority="21">
      <formula>R$6=1</formula>
    </cfRule>
  </conditionalFormatting>
  <conditionalFormatting sqref="S16">
    <cfRule type="expression" dxfId="59" priority="20">
      <formula>S$6=1</formula>
    </cfRule>
  </conditionalFormatting>
  <conditionalFormatting sqref="E50:H50">
    <cfRule type="expression" dxfId="58" priority="17">
      <formula>E$6=0</formula>
    </cfRule>
  </conditionalFormatting>
  <conditionalFormatting sqref="I50:S50">
    <cfRule type="expression" dxfId="57" priority="16">
      <formula>I$6=0</formula>
    </cfRule>
  </conditionalFormatting>
  <conditionalFormatting sqref="D50">
    <cfRule type="expression" dxfId="56" priority="15">
      <formula>OR($D$6=0,$E$6=1,$F$6=1,$H$6=1,$I$6=1,$J$6=1,$K$6=1,$M$6=1,$N$6=1,$O$6=1,$P$6=1,$Q$6=1,$R$6=1,$S$6=1)</formula>
    </cfRule>
  </conditionalFormatting>
  <conditionalFormatting sqref="D51">
    <cfRule type="expression" dxfId="55" priority="7">
      <formula>OR($D$6=0,$E$6=1,$F$6=1,$H$6=1,$I$6=1,$J$6=1,$K$6=1,$M$6=1,$N$6=1,$O$6=1,$P$6=1,$Q$6=1,$R$6=1,$S$6=1)</formula>
    </cfRule>
    <cfRule type="expression" dxfId="54" priority="13">
      <formula>$D$6&gt;0</formula>
    </cfRule>
  </conditionalFormatting>
  <conditionalFormatting sqref="E51">
    <cfRule type="expression" dxfId="53" priority="12">
      <formula>E$6&gt;0</formula>
    </cfRule>
  </conditionalFormatting>
  <conditionalFormatting sqref="F51:S51">
    <cfRule type="expression" dxfId="52" priority="11">
      <formula>F$6&gt;0</formula>
    </cfRule>
  </conditionalFormatting>
  <conditionalFormatting sqref="T44:T50">
    <cfRule type="expression" dxfId="51" priority="8">
      <formula>AND($D$6=0,$E$6=0,$F$6=0,$H$6=0,$I$6=0,$J$6=0,$K$6=0,$M$6=0,$N$6=0,$O$6=0,$P$6=0,$Q$6=0,$R$6=0,$S$6=0,$G$6=0,$L$6=0)</formula>
    </cfRule>
  </conditionalFormatting>
  <conditionalFormatting sqref="E27:H27">
    <cfRule type="expression" dxfId="50" priority="6">
      <formula>E$6=0</formula>
    </cfRule>
  </conditionalFormatting>
  <conditionalFormatting sqref="I27:S27">
    <cfRule type="expression" dxfId="49" priority="5">
      <formula>I$6=0</formula>
    </cfRule>
  </conditionalFormatting>
  <conditionalFormatting sqref="D27">
    <cfRule type="expression" dxfId="48" priority="4">
      <formula>OR($D$6=0,$E$6=1,$F$6=1,$H$6=1,$I$6=1,$J$6=1,$K$6=1,$M$6=1,$N$6=1,$O$6=1,$P$6=1,$Q$6=1,$R$6=1,$S$6=1)</formula>
    </cfRule>
  </conditionalFormatting>
  <conditionalFormatting sqref="T27">
    <cfRule type="expression" dxfId="47" priority="3">
      <formula>AND($D$6=0,$E$6=0,$F$6=0,$H$6=0,$I$6=0,$J$6=0,$K$6=0,$M$6=0,$N$6=0,$O$6=0,$P$6=0,$Q$6=0,$R$6=0,$S$6=0,$G$6=0)</formula>
    </cfRule>
  </conditionalFormatting>
  <conditionalFormatting sqref="F28:H30">
    <cfRule type="expression" dxfId="46" priority="2">
      <formula>F$6=0</formula>
    </cfRule>
  </conditionalFormatting>
  <conditionalFormatting sqref="F27:H27">
    <cfRule type="expression" dxfId="45" priority="1">
      <formula>F$6=0</formula>
    </cfRule>
  </conditionalFormatting>
  <dataValidations count="2">
    <dataValidation type="list" allowBlank="1" showInputMessage="1" showErrorMessage="1" sqref="Y10" xr:uid="{00000000-0002-0000-0100-000000000000}">
      <formula1>"↓"</formula1>
    </dataValidation>
    <dataValidation type="list" allowBlank="1" showInputMessage="1" showErrorMessage="1" sqref="D6:S6" xr:uid="{00000000-0002-0000-0100-000001000000}">
      <formula1>"1,0"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4:Y53"/>
  <sheetViews>
    <sheetView showZeros="0" topLeftCell="A4" zoomScale="90" zoomScaleNormal="90" workbookViewId="0">
      <pane ySplit="5" topLeftCell="A9" activePane="bottomLeft" state="frozen"/>
      <selection activeCell="A4" sqref="A4"/>
      <selection pane="bottomLeft" activeCell="D6" sqref="D6"/>
    </sheetView>
  </sheetViews>
  <sheetFormatPr defaultColWidth="9.109375" defaultRowHeight="15.6" outlineLevelRow="1" x14ac:dyDescent="0.3"/>
  <cols>
    <col min="1" max="1" width="1.109375" style="3" customWidth="1"/>
    <col min="2" max="2" width="9.109375" style="1"/>
    <col min="3" max="3" width="37.33203125" style="3" customWidth="1"/>
    <col min="4" max="4" width="9.5546875" style="3" customWidth="1"/>
    <col min="5" max="5" width="13.44140625" style="6" bestFit="1" customWidth="1"/>
    <col min="6" max="6" width="9" style="3" customWidth="1"/>
    <col min="7" max="7" width="11.33203125" style="3" bestFit="1" customWidth="1"/>
    <col min="8" max="8" width="10.33203125" style="3" bestFit="1" customWidth="1"/>
    <col min="9" max="18" width="7.6640625" style="3" bestFit="1" customWidth="1"/>
    <col min="19" max="19" width="12.88671875" style="3" hidden="1" customWidth="1"/>
    <col min="20" max="20" width="13.44140625" style="21" bestFit="1" customWidth="1"/>
    <col min="21" max="21" width="13" style="3" hidden="1" customWidth="1"/>
    <col min="22" max="16384" width="9.109375" style="3"/>
  </cols>
  <sheetData>
    <row r="4" spans="2:25" ht="23.25" customHeight="1" x14ac:dyDescent="0.3">
      <c r="B4" s="602" t="s">
        <v>210</v>
      </c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</row>
    <row r="5" spans="2:25" ht="23.25" customHeight="1" thickBot="1" x14ac:dyDescent="0.35">
      <c r="B5" s="656" t="s">
        <v>244</v>
      </c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</row>
    <row r="6" spans="2:25" s="2" customFormat="1" ht="16.2" thickBot="1" x14ac:dyDescent="0.35">
      <c r="B6" s="657" t="s">
        <v>71</v>
      </c>
      <c r="C6" s="658"/>
      <c r="D6" s="74"/>
      <c r="E6" s="74">
        <v>0</v>
      </c>
      <c r="F6" s="74">
        <v>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>
        <v>0</v>
      </c>
      <c r="T6" s="73"/>
    </row>
    <row r="7" spans="2:25" s="5" customFormat="1" ht="16.2" thickBot="1" x14ac:dyDescent="0.35">
      <c r="B7" s="618" t="s">
        <v>31</v>
      </c>
      <c r="C7" s="659" t="s">
        <v>32</v>
      </c>
      <c r="D7" s="620" t="s">
        <v>66</v>
      </c>
      <c r="E7" s="622"/>
      <c r="F7" s="623"/>
      <c r="G7" s="624"/>
      <c r="H7" s="625"/>
      <c r="I7" s="626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8"/>
      <c r="U7" s="617" t="s">
        <v>68</v>
      </c>
    </row>
    <row r="8" spans="2:25" s="21" customFormat="1" ht="42.75" customHeight="1" thickBot="1" x14ac:dyDescent="0.35">
      <c r="B8" s="619"/>
      <c r="C8" s="660"/>
      <c r="D8" s="621"/>
      <c r="E8" s="132" t="s">
        <v>13</v>
      </c>
      <c r="F8" s="133" t="s">
        <v>14</v>
      </c>
      <c r="G8" s="135" t="s">
        <v>15</v>
      </c>
      <c r="H8" s="134" t="s">
        <v>67</v>
      </c>
      <c r="I8" s="59" t="s">
        <v>17</v>
      </c>
      <c r="J8" s="60" t="s">
        <v>2</v>
      </c>
      <c r="K8" s="60" t="s">
        <v>4</v>
      </c>
      <c r="L8" s="60" t="s">
        <v>119</v>
      </c>
      <c r="M8" s="60" t="s">
        <v>9</v>
      </c>
      <c r="N8" s="60" t="s">
        <v>8</v>
      </c>
      <c r="O8" s="60" t="s">
        <v>10</v>
      </c>
      <c r="P8" s="60" t="s">
        <v>5</v>
      </c>
      <c r="Q8" s="60" t="s">
        <v>6</v>
      </c>
      <c r="R8" s="60" t="s">
        <v>16</v>
      </c>
      <c r="S8" s="61"/>
      <c r="T8" s="58" t="s">
        <v>12</v>
      </c>
      <c r="U8" s="617"/>
    </row>
    <row r="9" spans="2:25" s="21" customFormat="1" ht="22.5" customHeight="1" thickBot="1" x14ac:dyDescent="0.35">
      <c r="B9" s="629" t="s">
        <v>142</v>
      </c>
      <c r="C9" s="630"/>
      <c r="D9" s="630"/>
      <c r="E9" s="630"/>
      <c r="F9" s="630"/>
      <c r="G9" s="630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1"/>
      <c r="U9" s="130"/>
    </row>
    <row r="10" spans="2:25" s="5" customFormat="1" ht="17.399999999999999" x14ac:dyDescent="0.3">
      <c r="B10" s="131" t="s">
        <v>1</v>
      </c>
      <c r="C10" s="92" t="s">
        <v>44</v>
      </c>
      <c r="D10" s="118">
        <f>D11+D12+D13+D19+D20+D21+D24+D25+D26+D14</f>
        <v>8.09</v>
      </c>
      <c r="E10" s="72">
        <f>E11+E12+E13+E15+E19+E20+E21+E24+E25+E26+E14</f>
        <v>9.11</v>
      </c>
      <c r="F10" s="101">
        <f>F11+F12+F13+F15+F19+F20+F21+F24+F25+F26+F14</f>
        <v>9.11</v>
      </c>
      <c r="G10" s="101">
        <f>G11+G12+G13+G15+G19+G20+G21+G24+G25+G26+G14</f>
        <v>9.11</v>
      </c>
      <c r="H10" s="102">
        <f>H11+H12+H13+H15+H19+H20+H21+H24+H25+H26+H14</f>
        <v>9.11</v>
      </c>
      <c r="I10" s="119">
        <f t="shared" ref="I10:R10" si="0">I11+I12+I13+I15+I16+I19+I20+I21+I24+I25+I26+I14</f>
        <v>12.350000000000001</v>
      </c>
      <c r="J10" s="119">
        <f t="shared" si="0"/>
        <v>10.760000000000002</v>
      </c>
      <c r="K10" s="119">
        <f t="shared" si="0"/>
        <v>9.8800000000000008</v>
      </c>
      <c r="L10" s="119">
        <f t="shared" si="0"/>
        <v>10.469999999999999</v>
      </c>
      <c r="M10" s="119">
        <f t="shared" si="0"/>
        <v>9.59</v>
      </c>
      <c r="N10" s="119">
        <f t="shared" si="0"/>
        <v>9.59</v>
      </c>
      <c r="O10" s="119">
        <f t="shared" si="0"/>
        <v>9.59</v>
      </c>
      <c r="P10" s="119">
        <f t="shared" si="0"/>
        <v>10.260000000000002</v>
      </c>
      <c r="Q10" s="119">
        <f t="shared" si="0"/>
        <v>9.6999999999999993</v>
      </c>
      <c r="R10" s="119">
        <f t="shared" si="0"/>
        <v>9.66</v>
      </c>
      <c r="S10" s="119">
        <f>S11+S12+S13+S15+S16+S19+S20+S21+S24+S25+S26</f>
        <v>7.0600000000000005</v>
      </c>
      <c r="T10" s="90">
        <f>T11+T12+T13+T15+T16+T19+T20+T21+T24+T25+T26+T14</f>
        <v>0</v>
      </c>
      <c r="U10" s="25" t="e">
        <f>SUM(U11:U15,U16,U19:U26,#REF!)</f>
        <v>#REF!</v>
      </c>
      <c r="Y10" s="162"/>
    </row>
    <row r="11" spans="2:25" ht="13.8" x14ac:dyDescent="0.3">
      <c r="B11" s="77" t="s">
        <v>34</v>
      </c>
      <c r="C11" s="93" t="s">
        <v>53</v>
      </c>
      <c r="D11" s="110">
        <f>Хронометраж!J5</f>
        <v>0.37</v>
      </c>
      <c r="E11" s="33">
        <f>D11</f>
        <v>0.37</v>
      </c>
      <c r="F11" s="10">
        <f t="shared" ref="F11:U15" si="1">E11</f>
        <v>0.37</v>
      </c>
      <c r="G11" s="10">
        <f>F11</f>
        <v>0.37</v>
      </c>
      <c r="H11" s="34">
        <f>G11</f>
        <v>0.37</v>
      </c>
      <c r="I11" s="114">
        <f t="shared" si="1"/>
        <v>0.37</v>
      </c>
      <c r="J11" s="13">
        <f>I11</f>
        <v>0.37</v>
      </c>
      <c r="K11" s="13">
        <f>J11</f>
        <v>0.37</v>
      </c>
      <c r="L11" s="13">
        <f t="shared" ref="L11:R15" si="2">K11</f>
        <v>0.37</v>
      </c>
      <c r="M11" s="13">
        <f t="shared" si="2"/>
        <v>0.37</v>
      </c>
      <c r="N11" s="13">
        <f t="shared" si="2"/>
        <v>0.37</v>
      </c>
      <c r="O11" s="13">
        <f t="shared" si="2"/>
        <v>0.37</v>
      </c>
      <c r="P11" s="13">
        <f t="shared" si="2"/>
        <v>0.37</v>
      </c>
      <c r="Q11" s="13">
        <f t="shared" si="2"/>
        <v>0.37</v>
      </c>
      <c r="R11" s="13">
        <f t="shared" si="2"/>
        <v>0.37</v>
      </c>
      <c r="S11" s="103">
        <f t="shared" si="1"/>
        <v>0.37</v>
      </c>
      <c r="T11" s="85">
        <f>_xlfn.MAXIFS(D11:S11,$D$6:$S$6,1)</f>
        <v>0</v>
      </c>
      <c r="U11" s="8">
        <f t="shared" si="1"/>
        <v>0</v>
      </c>
    </row>
    <row r="12" spans="2:25" ht="14.4" x14ac:dyDescent="0.3">
      <c r="B12" s="77" t="s">
        <v>76</v>
      </c>
      <c r="C12" s="93" t="s">
        <v>54</v>
      </c>
      <c r="D12" s="110">
        <f>Хронометраж!J6</f>
        <v>0.15</v>
      </c>
      <c r="E12" s="33">
        <f t="shared" ref="E12:S14" si="3">D12</f>
        <v>0.15</v>
      </c>
      <c r="F12" s="10">
        <f t="shared" si="3"/>
        <v>0.15</v>
      </c>
      <c r="G12" s="10">
        <f t="shared" si="3"/>
        <v>0.15</v>
      </c>
      <c r="H12" s="34">
        <f t="shared" si="3"/>
        <v>0.15</v>
      </c>
      <c r="I12" s="114">
        <f t="shared" si="3"/>
        <v>0.15</v>
      </c>
      <c r="J12" s="13">
        <f t="shared" si="3"/>
        <v>0.15</v>
      </c>
      <c r="K12" s="13">
        <f t="shared" si="1"/>
        <v>0.15</v>
      </c>
      <c r="L12" s="13">
        <f t="shared" si="1"/>
        <v>0.15</v>
      </c>
      <c r="M12" s="13">
        <f t="shared" si="2"/>
        <v>0.15</v>
      </c>
      <c r="N12" s="13">
        <f t="shared" si="1"/>
        <v>0.15</v>
      </c>
      <c r="O12" s="13">
        <f t="shared" si="1"/>
        <v>0.15</v>
      </c>
      <c r="P12" s="13">
        <f t="shared" si="1"/>
        <v>0.15</v>
      </c>
      <c r="Q12" s="13">
        <f t="shared" si="1"/>
        <v>0.15</v>
      </c>
      <c r="R12" s="13">
        <f t="shared" si="1"/>
        <v>0.15</v>
      </c>
      <c r="S12" s="103">
        <f t="shared" si="3"/>
        <v>0.15</v>
      </c>
      <c r="T12" s="85">
        <f t="shared" ref="T12:T40" si="4">_xlfn.MAXIFS(D12:S12,$D$6:$S$6,1)</f>
        <v>0</v>
      </c>
      <c r="U12" s="8">
        <f t="shared" si="1"/>
        <v>0</v>
      </c>
      <c r="Y12" s="161"/>
    </row>
    <row r="13" spans="2:25" ht="13.8" x14ac:dyDescent="0.3">
      <c r="B13" s="77" t="s">
        <v>77</v>
      </c>
      <c r="C13" s="93" t="s">
        <v>55</v>
      </c>
      <c r="D13" s="110">
        <f>Хронометраж!J7</f>
        <v>0.08</v>
      </c>
      <c r="E13" s="33">
        <f t="shared" si="3"/>
        <v>0.08</v>
      </c>
      <c r="F13" s="10">
        <f t="shared" si="3"/>
        <v>0.08</v>
      </c>
      <c r="G13" s="10">
        <f t="shared" si="3"/>
        <v>0.08</v>
      </c>
      <c r="H13" s="34">
        <f t="shared" si="3"/>
        <v>0.08</v>
      </c>
      <c r="I13" s="114">
        <f t="shared" si="3"/>
        <v>0.08</v>
      </c>
      <c r="J13" s="13">
        <f t="shared" si="3"/>
        <v>0.08</v>
      </c>
      <c r="K13" s="13">
        <f t="shared" si="1"/>
        <v>0.08</v>
      </c>
      <c r="L13" s="13">
        <f t="shared" si="1"/>
        <v>0.08</v>
      </c>
      <c r="M13" s="13">
        <f t="shared" si="2"/>
        <v>0.08</v>
      </c>
      <c r="N13" s="13">
        <f t="shared" si="1"/>
        <v>0.08</v>
      </c>
      <c r="O13" s="13">
        <f t="shared" si="1"/>
        <v>0.08</v>
      </c>
      <c r="P13" s="13">
        <f t="shared" si="1"/>
        <v>0.08</v>
      </c>
      <c r="Q13" s="13">
        <f t="shared" si="1"/>
        <v>0.08</v>
      </c>
      <c r="R13" s="13">
        <f t="shared" si="1"/>
        <v>0.08</v>
      </c>
      <c r="S13" s="103">
        <f t="shared" si="3"/>
        <v>0.08</v>
      </c>
      <c r="T13" s="85">
        <f t="shared" si="4"/>
        <v>0</v>
      </c>
      <c r="U13" s="8">
        <f t="shared" si="1"/>
        <v>0</v>
      </c>
    </row>
    <row r="14" spans="2:25" ht="13.8" x14ac:dyDescent="0.3">
      <c r="B14" s="77" t="s">
        <v>212</v>
      </c>
      <c r="C14" s="93" t="s">
        <v>37</v>
      </c>
      <c r="D14" s="110">
        <f>Хронометраж!J8</f>
        <v>2.0499999999999998</v>
      </c>
      <c r="E14" s="33">
        <f t="shared" si="3"/>
        <v>2.0499999999999998</v>
      </c>
      <c r="F14" s="10">
        <f t="shared" si="3"/>
        <v>2.0499999999999998</v>
      </c>
      <c r="G14" s="10">
        <f t="shared" si="3"/>
        <v>2.0499999999999998</v>
      </c>
      <c r="H14" s="34">
        <f t="shared" si="3"/>
        <v>2.0499999999999998</v>
      </c>
      <c r="I14" s="114">
        <f t="shared" si="3"/>
        <v>2.0499999999999998</v>
      </c>
      <c r="J14" s="13">
        <f t="shared" si="3"/>
        <v>2.0499999999999998</v>
      </c>
      <c r="K14" s="13">
        <f t="shared" si="1"/>
        <v>2.0499999999999998</v>
      </c>
      <c r="L14" s="13">
        <f t="shared" si="1"/>
        <v>2.0499999999999998</v>
      </c>
      <c r="M14" s="13">
        <f t="shared" si="2"/>
        <v>2.0499999999999998</v>
      </c>
      <c r="N14" s="13">
        <f t="shared" si="1"/>
        <v>2.0499999999999998</v>
      </c>
      <c r="O14" s="13">
        <f t="shared" si="1"/>
        <v>2.0499999999999998</v>
      </c>
      <c r="P14" s="13">
        <f t="shared" si="1"/>
        <v>2.0499999999999998</v>
      </c>
      <c r="Q14" s="13">
        <f t="shared" si="1"/>
        <v>2.0499999999999998</v>
      </c>
      <c r="R14" s="13">
        <f t="shared" si="1"/>
        <v>2.0499999999999998</v>
      </c>
      <c r="S14" s="103">
        <f t="shared" si="3"/>
        <v>2.0499999999999998</v>
      </c>
      <c r="T14" s="85">
        <f>_xlfn.MAXIFS(D14:S14,$D$6:$S$6,1)</f>
        <v>0</v>
      </c>
      <c r="U14" s="8"/>
    </row>
    <row r="15" spans="2:25" s="164" customFormat="1" ht="13.8" x14ac:dyDescent="0.3">
      <c r="B15" s="77" t="s">
        <v>213</v>
      </c>
      <c r="C15" s="165" t="s">
        <v>226</v>
      </c>
      <c r="D15" s="166" t="s">
        <v>70</v>
      </c>
      <c r="E15" s="167">
        <f>Хронометраж!J39</f>
        <v>1.02</v>
      </c>
      <c r="F15" s="168">
        <f>E15</f>
        <v>1.02</v>
      </c>
      <c r="G15" s="168">
        <f>F15</f>
        <v>1.02</v>
      </c>
      <c r="H15" s="169">
        <f>G15</f>
        <v>1.02</v>
      </c>
      <c r="I15" s="170">
        <f>H15</f>
        <v>1.02</v>
      </c>
      <c r="J15" s="170">
        <f t="shared" si="1"/>
        <v>1.02</v>
      </c>
      <c r="K15" s="170">
        <f t="shared" si="1"/>
        <v>1.02</v>
      </c>
      <c r="L15" s="170">
        <f t="shared" si="1"/>
        <v>1.02</v>
      </c>
      <c r="M15" s="170">
        <f t="shared" si="2"/>
        <v>1.02</v>
      </c>
      <c r="N15" s="170">
        <f t="shared" si="1"/>
        <v>1.02</v>
      </c>
      <c r="O15" s="170">
        <f t="shared" si="1"/>
        <v>1.02</v>
      </c>
      <c r="P15" s="170">
        <f t="shared" si="1"/>
        <v>1.02</v>
      </c>
      <c r="Q15" s="170">
        <f t="shared" si="1"/>
        <v>1.02</v>
      </c>
      <c r="R15" s="170">
        <f t="shared" si="1"/>
        <v>1.02</v>
      </c>
      <c r="S15" s="171">
        <f t="shared" si="1"/>
        <v>1.02</v>
      </c>
      <c r="T15" s="172">
        <f t="shared" si="4"/>
        <v>0</v>
      </c>
      <c r="U15" s="173">
        <f t="shared" si="1"/>
        <v>0</v>
      </c>
    </row>
    <row r="16" spans="2:25" ht="13.8" x14ac:dyDescent="0.3">
      <c r="B16" s="77" t="s">
        <v>214</v>
      </c>
      <c r="C16" s="93" t="s">
        <v>48</v>
      </c>
      <c r="D16" s="111" t="s">
        <v>70</v>
      </c>
      <c r="E16" s="37" t="s">
        <v>70</v>
      </c>
      <c r="F16" s="11" t="s">
        <v>70</v>
      </c>
      <c r="G16" s="11" t="s">
        <v>70</v>
      </c>
      <c r="H16" s="38" t="s">
        <v>70</v>
      </c>
      <c r="I16" s="100">
        <f>SUM(I17:I18)</f>
        <v>3.24</v>
      </c>
      <c r="J16" s="12">
        <f t="shared" ref="J16:S16" si="5">SUM(J17:J18)</f>
        <v>1.65</v>
      </c>
      <c r="K16" s="12">
        <f t="shared" si="5"/>
        <v>0.77</v>
      </c>
      <c r="L16" s="12">
        <f t="shared" si="5"/>
        <v>1.36</v>
      </c>
      <c r="M16" s="12">
        <f t="shared" si="5"/>
        <v>0.48</v>
      </c>
      <c r="N16" s="12">
        <f t="shared" si="5"/>
        <v>0.48</v>
      </c>
      <c r="O16" s="12">
        <f t="shared" si="5"/>
        <v>0.48</v>
      </c>
      <c r="P16" s="12">
        <f t="shared" si="5"/>
        <v>1.1499999999999999</v>
      </c>
      <c r="Q16" s="12">
        <f t="shared" si="5"/>
        <v>0.59</v>
      </c>
      <c r="R16" s="12">
        <f t="shared" si="5"/>
        <v>0.55000000000000004</v>
      </c>
      <c r="S16" s="12">
        <f t="shared" si="5"/>
        <v>0</v>
      </c>
      <c r="T16" s="85">
        <f>SUM(T17:T18)</f>
        <v>0</v>
      </c>
      <c r="U16" s="8">
        <f>SUMIF($I$6:$T$6,1,I16:T16)</f>
        <v>0</v>
      </c>
    </row>
    <row r="17" spans="2:25" s="18" customFormat="1" ht="13.8" outlineLevel="1" x14ac:dyDescent="0.3">
      <c r="B17" s="81" t="s">
        <v>215</v>
      </c>
      <c r="C17" s="94" t="s">
        <v>60</v>
      </c>
      <c r="D17" s="112" t="s">
        <v>70</v>
      </c>
      <c r="E17" s="39" t="s">
        <v>70</v>
      </c>
      <c r="F17" s="19" t="s">
        <v>70</v>
      </c>
      <c r="G17" s="19" t="s">
        <v>70</v>
      </c>
      <c r="H17" s="40" t="s">
        <v>70</v>
      </c>
      <c r="I17" s="116">
        <f>Хронометраж!J24</f>
        <v>3.24</v>
      </c>
      <c r="J17" s="20">
        <f>Хронометраж!J15</f>
        <v>1.65</v>
      </c>
      <c r="K17" s="20">
        <f>Хронометраж!J17</f>
        <v>0.77</v>
      </c>
      <c r="L17" s="20">
        <f>Хронометраж!J16</f>
        <v>1.36</v>
      </c>
      <c r="M17" s="20">
        <f>Хронометраж!J18</f>
        <v>0.48</v>
      </c>
      <c r="N17" s="20">
        <f>Хронометраж!J19</f>
        <v>0.48</v>
      </c>
      <c r="O17" s="20">
        <f>Хронометраж!J20</f>
        <v>0.48</v>
      </c>
      <c r="P17" s="20">
        <f>Хронометраж!J21</f>
        <v>1.1499999999999999</v>
      </c>
      <c r="Q17" s="20">
        <f>Хронометраж!J22</f>
        <v>0.59</v>
      </c>
      <c r="R17" s="20">
        <f>Хронометраж!J23</f>
        <v>0.55000000000000004</v>
      </c>
      <c r="S17" s="107"/>
      <c r="T17" s="85">
        <f>SUMIF($I$6:$S$6,1,I17:S17)</f>
        <v>0</v>
      </c>
      <c r="U17" s="26">
        <f t="shared" ref="U17:U18" si="6">SUMIF($I$6:$T$6,1,I17:T17)</f>
        <v>0</v>
      </c>
    </row>
    <row r="18" spans="2:25" s="18" customFormat="1" ht="13.8" outlineLevel="1" x14ac:dyDescent="0.3">
      <c r="B18" s="81" t="s">
        <v>216</v>
      </c>
      <c r="C18" s="94" t="s">
        <v>61</v>
      </c>
      <c r="D18" s="112" t="s">
        <v>70</v>
      </c>
      <c r="E18" s="39" t="s">
        <v>70</v>
      </c>
      <c r="F18" s="19" t="s">
        <v>70</v>
      </c>
      <c r="G18" s="19" t="s">
        <v>70</v>
      </c>
      <c r="H18" s="40" t="s">
        <v>70</v>
      </c>
      <c r="I18" s="116">
        <f>'М-лы'!F16</f>
        <v>0</v>
      </c>
      <c r="J18" s="20">
        <f>'М-лы'!F20</f>
        <v>0</v>
      </c>
      <c r="K18" s="20">
        <f>'М-лы'!F24</f>
        <v>0</v>
      </c>
      <c r="L18" s="20">
        <f>'М-лы'!F28</f>
        <v>0</v>
      </c>
      <c r="M18" s="20">
        <f>'М-лы'!F32</f>
        <v>0</v>
      </c>
      <c r="N18" s="20">
        <f>'М-лы'!F36</f>
        <v>0</v>
      </c>
      <c r="O18" s="20">
        <f>'М-лы'!F40</f>
        <v>0</v>
      </c>
      <c r="P18" s="20">
        <f>'М-лы'!F44</f>
        <v>0</v>
      </c>
      <c r="Q18" s="20">
        <f>'М-лы'!F48</f>
        <v>0</v>
      </c>
      <c r="R18" s="20">
        <f>'М-лы'!F52</f>
        <v>0</v>
      </c>
      <c r="S18" s="107"/>
      <c r="T18" s="85">
        <f>SUMIF($I$6:$S$6,1,I18:S18)</f>
        <v>0</v>
      </c>
      <c r="U18" s="26">
        <f t="shared" si="6"/>
        <v>0</v>
      </c>
    </row>
    <row r="19" spans="2:25" ht="13.8" x14ac:dyDescent="0.3">
      <c r="B19" s="77" t="s">
        <v>217</v>
      </c>
      <c r="C19" s="93" t="s">
        <v>49</v>
      </c>
      <c r="D19" s="110">
        <f>Хронометраж!J27</f>
        <v>1.01</v>
      </c>
      <c r="E19" s="31">
        <f>D19</f>
        <v>1.01</v>
      </c>
      <c r="F19" s="9">
        <f>E19</f>
        <v>1.01</v>
      </c>
      <c r="G19" s="9">
        <f t="shared" ref="G19:S32" si="7">F19</f>
        <v>1.01</v>
      </c>
      <c r="H19" s="32">
        <f>G19</f>
        <v>1.01</v>
      </c>
      <c r="I19" s="100">
        <f t="shared" si="7"/>
        <v>1.01</v>
      </c>
      <c r="J19" s="12">
        <f t="shared" si="7"/>
        <v>1.01</v>
      </c>
      <c r="K19" s="12">
        <f t="shared" si="7"/>
        <v>1.01</v>
      </c>
      <c r="L19" s="12">
        <f t="shared" si="7"/>
        <v>1.01</v>
      </c>
      <c r="M19" s="12">
        <f t="shared" si="7"/>
        <v>1.01</v>
      </c>
      <c r="N19" s="12">
        <f t="shared" si="7"/>
        <v>1.01</v>
      </c>
      <c r="O19" s="12">
        <f t="shared" si="7"/>
        <v>1.01</v>
      </c>
      <c r="P19" s="12">
        <f t="shared" si="7"/>
        <v>1.01</v>
      </c>
      <c r="Q19" s="12">
        <f t="shared" si="7"/>
        <v>1.01</v>
      </c>
      <c r="R19" s="12">
        <f t="shared" si="7"/>
        <v>1.01</v>
      </c>
      <c r="S19" s="106">
        <f t="shared" si="7"/>
        <v>1.01</v>
      </c>
      <c r="T19" s="85">
        <f>_xlfn.MAXIFS(D19:S19,$D$6:$S$6,1)</f>
        <v>0</v>
      </c>
      <c r="U19" s="7">
        <f>T19</f>
        <v>0</v>
      </c>
    </row>
    <row r="20" spans="2:25" ht="13.8" x14ac:dyDescent="0.3">
      <c r="B20" s="77" t="s">
        <v>218</v>
      </c>
      <c r="C20" s="93" t="s">
        <v>50</v>
      </c>
      <c r="D20" s="110">
        <f>Хронометраж!J28</f>
        <v>3.45</v>
      </c>
      <c r="E20" s="31">
        <f t="shared" ref="E20:S32" si="8">D20</f>
        <v>3.45</v>
      </c>
      <c r="F20" s="9">
        <f t="shared" si="8"/>
        <v>3.45</v>
      </c>
      <c r="G20" s="9">
        <f>F20</f>
        <v>3.45</v>
      </c>
      <c r="H20" s="32">
        <f t="shared" si="8"/>
        <v>3.45</v>
      </c>
      <c r="I20" s="100">
        <f t="shared" si="8"/>
        <v>3.45</v>
      </c>
      <c r="J20" s="12">
        <f t="shared" si="8"/>
        <v>3.45</v>
      </c>
      <c r="K20" s="12">
        <f t="shared" si="7"/>
        <v>3.45</v>
      </c>
      <c r="L20" s="12">
        <f t="shared" si="7"/>
        <v>3.45</v>
      </c>
      <c r="M20" s="12">
        <f t="shared" si="7"/>
        <v>3.45</v>
      </c>
      <c r="N20" s="12">
        <f t="shared" si="7"/>
        <v>3.45</v>
      </c>
      <c r="O20" s="12">
        <f t="shared" si="7"/>
        <v>3.45</v>
      </c>
      <c r="P20" s="12">
        <f t="shared" si="7"/>
        <v>3.45</v>
      </c>
      <c r="Q20" s="12">
        <f t="shared" si="8"/>
        <v>3.45</v>
      </c>
      <c r="R20" s="12">
        <f t="shared" si="8"/>
        <v>3.45</v>
      </c>
      <c r="S20" s="106">
        <f t="shared" si="8"/>
        <v>3.45</v>
      </c>
      <c r="T20" s="85">
        <f t="shared" si="4"/>
        <v>0</v>
      </c>
      <c r="U20" s="7">
        <f t="shared" ref="U20:U21" si="9">T20</f>
        <v>0</v>
      </c>
    </row>
    <row r="21" spans="2:25" ht="13.8" x14ac:dyDescent="0.3">
      <c r="B21" s="77" t="s">
        <v>219</v>
      </c>
      <c r="C21" s="93" t="s">
        <v>51</v>
      </c>
      <c r="D21" s="110">
        <f>SUM(D22:D23)</f>
        <v>0.9</v>
      </c>
      <c r="E21" s="31">
        <f>SUM(E22:E23)</f>
        <v>0.9</v>
      </c>
      <c r="F21" s="9">
        <f t="shared" ref="F21:H21" si="10">SUM(F22:F23)</f>
        <v>0.9</v>
      </c>
      <c r="G21" s="9">
        <f t="shared" si="10"/>
        <v>0.9</v>
      </c>
      <c r="H21" s="32">
        <f t="shared" si="10"/>
        <v>0.9</v>
      </c>
      <c r="I21" s="100">
        <f>SUM(I22:I23)</f>
        <v>0.9</v>
      </c>
      <c r="J21" s="100">
        <f t="shared" ref="J21:R21" si="11">SUM(J22:J23)</f>
        <v>0.9</v>
      </c>
      <c r="K21" s="100">
        <f t="shared" si="11"/>
        <v>0.9</v>
      </c>
      <c r="L21" s="100">
        <f t="shared" si="11"/>
        <v>0.9</v>
      </c>
      <c r="M21" s="100">
        <f t="shared" si="11"/>
        <v>0.9</v>
      </c>
      <c r="N21" s="100">
        <f t="shared" si="11"/>
        <v>0.9</v>
      </c>
      <c r="O21" s="100">
        <f t="shared" si="11"/>
        <v>0.9</v>
      </c>
      <c r="P21" s="100">
        <f t="shared" si="11"/>
        <v>0.9</v>
      </c>
      <c r="Q21" s="100">
        <f t="shared" si="11"/>
        <v>0.9</v>
      </c>
      <c r="R21" s="100">
        <f t="shared" si="11"/>
        <v>0.9</v>
      </c>
      <c r="S21" s="106">
        <f t="shared" si="8"/>
        <v>0.9</v>
      </c>
      <c r="T21" s="85">
        <f>SUM(T22:T23)</f>
        <v>0</v>
      </c>
      <c r="U21" s="7">
        <f t="shared" si="9"/>
        <v>0</v>
      </c>
    </row>
    <row r="22" spans="2:25" ht="13.8" outlineLevel="1" x14ac:dyDescent="0.3">
      <c r="B22" s="77" t="s">
        <v>242</v>
      </c>
      <c r="C22" s="94" t="s">
        <v>60</v>
      </c>
      <c r="D22" s="110">
        <f>Хронометраж!J29</f>
        <v>0.9</v>
      </c>
      <c r="E22" s="31">
        <f>D22</f>
        <v>0.9</v>
      </c>
      <c r="F22" s="9">
        <f t="shared" ref="F22:H23" si="12">E22</f>
        <v>0.9</v>
      </c>
      <c r="G22" s="9">
        <f t="shared" si="12"/>
        <v>0.9</v>
      </c>
      <c r="H22" s="32">
        <f t="shared" si="12"/>
        <v>0.9</v>
      </c>
      <c r="I22" s="100">
        <f>H22</f>
        <v>0.9</v>
      </c>
      <c r="J22" s="100">
        <f t="shared" ref="J22:R23" si="13">I22</f>
        <v>0.9</v>
      </c>
      <c r="K22" s="100">
        <f t="shared" si="13"/>
        <v>0.9</v>
      </c>
      <c r="L22" s="100">
        <f t="shared" si="13"/>
        <v>0.9</v>
      </c>
      <c r="M22" s="100">
        <f t="shared" si="13"/>
        <v>0.9</v>
      </c>
      <c r="N22" s="100">
        <f t="shared" si="13"/>
        <v>0.9</v>
      </c>
      <c r="O22" s="100">
        <f t="shared" si="13"/>
        <v>0.9</v>
      </c>
      <c r="P22" s="100">
        <f t="shared" si="13"/>
        <v>0.9</v>
      </c>
      <c r="Q22" s="100">
        <f t="shared" si="13"/>
        <v>0.9</v>
      </c>
      <c r="R22" s="100">
        <f t="shared" si="13"/>
        <v>0.9</v>
      </c>
      <c r="S22" s="106">
        <f t="shared" si="8"/>
        <v>0.9</v>
      </c>
      <c r="T22" s="85">
        <f t="shared" si="4"/>
        <v>0</v>
      </c>
      <c r="U22" s="7"/>
    </row>
    <row r="23" spans="2:25" ht="13.8" outlineLevel="1" x14ac:dyDescent="0.3">
      <c r="B23" s="77" t="s">
        <v>243</v>
      </c>
      <c r="C23" s="94" t="s">
        <v>61</v>
      </c>
      <c r="D23" s="110"/>
      <c r="E23" s="31">
        <f>D23</f>
        <v>0</v>
      </c>
      <c r="F23" s="9">
        <f t="shared" si="12"/>
        <v>0</v>
      </c>
      <c r="G23" s="9">
        <f t="shared" si="12"/>
        <v>0</v>
      </c>
      <c r="H23" s="32">
        <f t="shared" si="12"/>
        <v>0</v>
      </c>
      <c r="I23" s="100">
        <f>H23</f>
        <v>0</v>
      </c>
      <c r="J23" s="100">
        <f t="shared" si="13"/>
        <v>0</v>
      </c>
      <c r="K23" s="100">
        <f t="shared" si="13"/>
        <v>0</v>
      </c>
      <c r="L23" s="100">
        <f t="shared" si="13"/>
        <v>0</v>
      </c>
      <c r="M23" s="100">
        <f t="shared" si="13"/>
        <v>0</v>
      </c>
      <c r="N23" s="100">
        <f t="shared" si="13"/>
        <v>0</v>
      </c>
      <c r="O23" s="100">
        <f t="shared" si="13"/>
        <v>0</v>
      </c>
      <c r="P23" s="100">
        <f t="shared" si="13"/>
        <v>0</v>
      </c>
      <c r="Q23" s="100">
        <f t="shared" si="13"/>
        <v>0</v>
      </c>
      <c r="R23" s="100">
        <f t="shared" si="13"/>
        <v>0</v>
      </c>
      <c r="S23" s="106">
        <f t="shared" si="8"/>
        <v>0</v>
      </c>
      <c r="T23" s="85">
        <f t="shared" si="4"/>
        <v>0</v>
      </c>
      <c r="U23" s="7"/>
    </row>
    <row r="24" spans="2:25" ht="13.8" x14ac:dyDescent="0.3">
      <c r="B24" s="77" t="s">
        <v>220</v>
      </c>
      <c r="C24" s="93" t="s">
        <v>35</v>
      </c>
      <c r="D24" s="110">
        <f>Хронометраж!J34</f>
        <v>0</v>
      </c>
      <c r="E24" s="31">
        <f t="shared" si="8"/>
        <v>0</v>
      </c>
      <c r="F24" s="9">
        <f t="shared" si="8"/>
        <v>0</v>
      </c>
      <c r="G24" s="9">
        <f t="shared" si="8"/>
        <v>0</v>
      </c>
      <c r="H24" s="32">
        <f t="shared" si="8"/>
        <v>0</v>
      </c>
      <c r="I24" s="100">
        <f t="shared" si="8"/>
        <v>0</v>
      </c>
      <c r="J24" s="12">
        <f t="shared" si="8"/>
        <v>0</v>
      </c>
      <c r="K24" s="12">
        <f t="shared" si="7"/>
        <v>0</v>
      </c>
      <c r="L24" s="12">
        <f t="shared" si="7"/>
        <v>0</v>
      </c>
      <c r="M24" s="12">
        <f t="shared" si="7"/>
        <v>0</v>
      </c>
      <c r="N24" s="12">
        <f t="shared" si="7"/>
        <v>0</v>
      </c>
      <c r="O24" s="12">
        <f t="shared" si="7"/>
        <v>0</v>
      </c>
      <c r="P24" s="12">
        <f t="shared" si="7"/>
        <v>0</v>
      </c>
      <c r="Q24" s="12">
        <f t="shared" si="8"/>
        <v>0</v>
      </c>
      <c r="R24" s="12">
        <f t="shared" si="8"/>
        <v>0</v>
      </c>
      <c r="S24" s="12">
        <f t="shared" si="8"/>
        <v>0</v>
      </c>
      <c r="T24" s="85">
        <f t="shared" si="4"/>
        <v>0</v>
      </c>
      <c r="U24" s="7">
        <f t="shared" ref="U24:U26" si="14">T24</f>
        <v>0</v>
      </c>
    </row>
    <row r="25" spans="2:25" ht="13.8" x14ac:dyDescent="0.3">
      <c r="B25" s="77" t="s">
        <v>223</v>
      </c>
      <c r="C25" s="93" t="s">
        <v>58</v>
      </c>
      <c r="D25" s="110">
        <f>Хронометраж!J35</f>
        <v>0</v>
      </c>
      <c r="E25" s="31">
        <f t="shared" si="8"/>
        <v>0</v>
      </c>
      <c r="F25" s="9">
        <f t="shared" si="8"/>
        <v>0</v>
      </c>
      <c r="G25" s="9">
        <f t="shared" si="8"/>
        <v>0</v>
      </c>
      <c r="H25" s="32">
        <f t="shared" si="8"/>
        <v>0</v>
      </c>
      <c r="I25" s="100">
        <f t="shared" si="8"/>
        <v>0</v>
      </c>
      <c r="J25" s="12">
        <f t="shared" si="8"/>
        <v>0</v>
      </c>
      <c r="K25" s="12">
        <f t="shared" si="7"/>
        <v>0</v>
      </c>
      <c r="L25" s="12">
        <f t="shared" si="7"/>
        <v>0</v>
      </c>
      <c r="M25" s="12">
        <f t="shared" si="7"/>
        <v>0</v>
      </c>
      <c r="N25" s="12">
        <f t="shared" si="7"/>
        <v>0</v>
      </c>
      <c r="O25" s="12">
        <f t="shared" si="7"/>
        <v>0</v>
      </c>
      <c r="P25" s="12">
        <f t="shared" si="7"/>
        <v>0</v>
      </c>
      <c r="Q25" s="12">
        <f t="shared" si="8"/>
        <v>0</v>
      </c>
      <c r="R25" s="12">
        <f t="shared" si="8"/>
        <v>0</v>
      </c>
      <c r="S25" s="106">
        <f t="shared" si="8"/>
        <v>0</v>
      </c>
      <c r="T25" s="85">
        <f t="shared" si="4"/>
        <v>0</v>
      </c>
      <c r="U25" s="7">
        <f t="shared" si="14"/>
        <v>0</v>
      </c>
    </row>
    <row r="26" spans="2:25" ht="14.4" thickBot="1" x14ac:dyDescent="0.35">
      <c r="B26" s="176" t="s">
        <v>224</v>
      </c>
      <c r="C26" s="189" t="s">
        <v>59</v>
      </c>
      <c r="D26" s="190">
        <f>Хронометраж!J36</f>
        <v>0.08</v>
      </c>
      <c r="E26" s="179">
        <f t="shared" si="8"/>
        <v>0.08</v>
      </c>
      <c r="F26" s="180">
        <f t="shared" si="8"/>
        <v>0.08</v>
      </c>
      <c r="G26" s="180">
        <f t="shared" si="8"/>
        <v>0.08</v>
      </c>
      <c r="H26" s="191">
        <f t="shared" si="8"/>
        <v>0.08</v>
      </c>
      <c r="I26" s="192">
        <f>H26</f>
        <v>0.08</v>
      </c>
      <c r="J26" s="182">
        <f t="shared" si="8"/>
        <v>0.08</v>
      </c>
      <c r="K26" s="182">
        <f t="shared" si="7"/>
        <v>0.08</v>
      </c>
      <c r="L26" s="182">
        <f t="shared" si="7"/>
        <v>0.08</v>
      </c>
      <c r="M26" s="182">
        <f t="shared" si="7"/>
        <v>0.08</v>
      </c>
      <c r="N26" s="182">
        <f t="shared" si="7"/>
        <v>0.08</v>
      </c>
      <c r="O26" s="182">
        <f t="shared" si="7"/>
        <v>0.08</v>
      </c>
      <c r="P26" s="182">
        <f t="shared" si="7"/>
        <v>0.08</v>
      </c>
      <c r="Q26" s="182">
        <f t="shared" si="8"/>
        <v>0.08</v>
      </c>
      <c r="R26" s="182">
        <f t="shared" si="8"/>
        <v>0.08</v>
      </c>
      <c r="S26" s="193">
        <f t="shared" si="8"/>
        <v>0.08</v>
      </c>
      <c r="T26" s="86">
        <f t="shared" si="4"/>
        <v>0</v>
      </c>
      <c r="U26" s="7">
        <f t="shared" si="14"/>
        <v>0</v>
      </c>
    </row>
    <row r="27" spans="2:25" s="5" customFormat="1" ht="17.399999999999999" x14ac:dyDescent="0.3">
      <c r="B27" s="131" t="s">
        <v>23</v>
      </c>
      <c r="C27" s="92" t="s">
        <v>234</v>
      </c>
      <c r="D27" s="206" t="s">
        <v>70</v>
      </c>
      <c r="E27" s="194">
        <f>E28</f>
        <v>0.55000000000000004</v>
      </c>
      <c r="F27" s="101">
        <f t="shared" ref="F27:R27" si="15">F28</f>
        <v>0.55000000000000004</v>
      </c>
      <c r="G27" s="101">
        <f t="shared" si="15"/>
        <v>0.55000000000000004</v>
      </c>
      <c r="H27" s="102">
        <f t="shared" si="15"/>
        <v>0.55000000000000004</v>
      </c>
      <c r="I27" s="198">
        <f t="shared" si="15"/>
        <v>0.55000000000000004</v>
      </c>
      <c r="J27" s="199">
        <f t="shared" si="15"/>
        <v>0.55000000000000004</v>
      </c>
      <c r="K27" s="199">
        <f t="shared" si="15"/>
        <v>0.55000000000000004</v>
      </c>
      <c r="L27" s="199">
        <f t="shared" si="15"/>
        <v>0.55000000000000004</v>
      </c>
      <c r="M27" s="199">
        <f t="shared" si="15"/>
        <v>0.55000000000000004</v>
      </c>
      <c r="N27" s="199">
        <f t="shared" si="15"/>
        <v>0.55000000000000004</v>
      </c>
      <c r="O27" s="199">
        <f t="shared" si="15"/>
        <v>0.55000000000000004</v>
      </c>
      <c r="P27" s="199">
        <f t="shared" si="15"/>
        <v>0.55000000000000004</v>
      </c>
      <c r="Q27" s="199">
        <f t="shared" si="15"/>
        <v>0.55000000000000004</v>
      </c>
      <c r="R27" s="199">
        <f t="shared" si="15"/>
        <v>0.55000000000000004</v>
      </c>
      <c r="S27" s="119">
        <f t="shared" si="8"/>
        <v>0.55000000000000004</v>
      </c>
      <c r="T27" s="90">
        <f>T28</f>
        <v>0</v>
      </c>
      <c r="U27" s="25"/>
      <c r="Y27" s="162"/>
    </row>
    <row r="28" spans="2:25" ht="13.8" x14ac:dyDescent="0.3">
      <c r="B28" s="77" t="s">
        <v>40</v>
      </c>
      <c r="C28" s="93" t="s">
        <v>235</v>
      </c>
      <c r="D28" s="203" t="s">
        <v>70</v>
      </c>
      <c r="E28" s="31">
        <f>SUM(E29:E30)</f>
        <v>0.55000000000000004</v>
      </c>
      <c r="F28" s="9">
        <f t="shared" ref="F28:R28" si="16">SUM(F29:F30)</f>
        <v>0.55000000000000004</v>
      </c>
      <c r="G28" s="9">
        <f t="shared" si="16"/>
        <v>0.55000000000000004</v>
      </c>
      <c r="H28" s="32">
        <f t="shared" si="16"/>
        <v>0.55000000000000004</v>
      </c>
      <c r="I28" s="28">
        <f t="shared" si="16"/>
        <v>0.55000000000000004</v>
      </c>
      <c r="J28" s="12">
        <f t="shared" si="16"/>
        <v>0.55000000000000004</v>
      </c>
      <c r="K28" s="12">
        <f t="shared" si="16"/>
        <v>0.55000000000000004</v>
      </c>
      <c r="L28" s="12">
        <f t="shared" si="16"/>
        <v>0.55000000000000004</v>
      </c>
      <c r="M28" s="12">
        <f t="shared" si="16"/>
        <v>0.55000000000000004</v>
      </c>
      <c r="N28" s="12">
        <f t="shared" si="16"/>
        <v>0.55000000000000004</v>
      </c>
      <c r="O28" s="12">
        <f t="shared" si="16"/>
        <v>0.55000000000000004</v>
      </c>
      <c r="P28" s="12">
        <f t="shared" si="16"/>
        <v>0.55000000000000004</v>
      </c>
      <c r="Q28" s="12">
        <f t="shared" si="16"/>
        <v>0.55000000000000004</v>
      </c>
      <c r="R28" s="12">
        <f t="shared" si="16"/>
        <v>0.55000000000000004</v>
      </c>
      <c r="S28" s="175">
        <f t="shared" si="8"/>
        <v>0.55000000000000004</v>
      </c>
      <c r="T28" s="87">
        <f>SUM(T29:T30)</f>
        <v>0</v>
      </c>
      <c r="U28" s="7"/>
    </row>
    <row r="29" spans="2:25" ht="13.8" x14ac:dyDescent="0.3">
      <c r="B29" s="77" t="s">
        <v>237</v>
      </c>
      <c r="C29" s="196" t="s">
        <v>60</v>
      </c>
      <c r="D29" s="203" t="s">
        <v>70</v>
      </c>
      <c r="E29" s="31">
        <f>Хронометраж!$J$38</f>
        <v>0.55000000000000004</v>
      </c>
      <c r="F29" s="9">
        <f>Хронометраж!$J$38</f>
        <v>0.55000000000000004</v>
      </c>
      <c r="G29" s="9">
        <f>Хронометраж!$J$38</f>
        <v>0.55000000000000004</v>
      </c>
      <c r="H29" s="32">
        <f>Хронометраж!$J$38</f>
        <v>0.55000000000000004</v>
      </c>
      <c r="I29" s="28">
        <f>Хронометраж!$J$38</f>
        <v>0.55000000000000004</v>
      </c>
      <c r="J29" s="12">
        <f>Хронометраж!$J$38</f>
        <v>0.55000000000000004</v>
      </c>
      <c r="K29" s="12">
        <f>Хронометраж!$J$38</f>
        <v>0.55000000000000004</v>
      </c>
      <c r="L29" s="12">
        <f>Хронометраж!$J$38</f>
        <v>0.55000000000000004</v>
      </c>
      <c r="M29" s="12">
        <f>Хронометраж!$J$38</f>
        <v>0.55000000000000004</v>
      </c>
      <c r="N29" s="12">
        <f>Хронометраж!$J$38</f>
        <v>0.55000000000000004</v>
      </c>
      <c r="O29" s="12">
        <f>Хронометраж!$J$38</f>
        <v>0.55000000000000004</v>
      </c>
      <c r="P29" s="12">
        <f>Хронометраж!$J$38</f>
        <v>0.55000000000000004</v>
      </c>
      <c r="Q29" s="12">
        <f>Хронометраж!$J$38</f>
        <v>0.55000000000000004</v>
      </c>
      <c r="R29" s="12">
        <f>Хронометраж!$J$38</f>
        <v>0.55000000000000004</v>
      </c>
      <c r="S29" s="175"/>
      <c r="T29" s="85">
        <f>_xlfn.MAXIFS(E29:H29,$E$6:$H$6,1)</f>
        <v>0</v>
      </c>
      <c r="U29" s="7"/>
    </row>
    <row r="30" spans="2:25" ht="14.4" thickBot="1" x14ac:dyDescent="0.35">
      <c r="B30" s="79" t="s">
        <v>238</v>
      </c>
      <c r="C30" s="197" t="s">
        <v>236</v>
      </c>
      <c r="D30" s="207" t="s">
        <v>70</v>
      </c>
      <c r="E30" s="49">
        <f>'М-лы'!F63</f>
        <v>0</v>
      </c>
      <c r="F30" s="50">
        <f>'М-лы'!G63</f>
        <v>0</v>
      </c>
      <c r="G30" s="50">
        <f>'М-лы'!H63</f>
        <v>0</v>
      </c>
      <c r="H30" s="51">
        <f>'М-лы'!I63</f>
        <v>0</v>
      </c>
      <c r="I30" s="52">
        <f>'М-лы'!J63</f>
        <v>0</v>
      </c>
      <c r="J30" s="53">
        <f>'М-лы'!K63</f>
        <v>0</v>
      </c>
      <c r="K30" s="53">
        <f>'М-лы'!L63</f>
        <v>0</v>
      </c>
      <c r="L30" s="53">
        <f>'М-лы'!M63</f>
        <v>0</v>
      </c>
      <c r="M30" s="53">
        <f>'М-лы'!N63</f>
        <v>0</v>
      </c>
      <c r="N30" s="53">
        <f>'М-лы'!O63</f>
        <v>0</v>
      </c>
      <c r="O30" s="53">
        <f>'М-лы'!P63</f>
        <v>0</v>
      </c>
      <c r="P30" s="53">
        <f>'М-лы'!Q63</f>
        <v>0</v>
      </c>
      <c r="Q30" s="53">
        <f>'М-лы'!R63</f>
        <v>0</v>
      </c>
      <c r="R30" s="53">
        <f>'М-лы'!S63</f>
        <v>0</v>
      </c>
      <c r="S30" s="175"/>
      <c r="T30" s="85">
        <f>_xlfn.MAXIFS(E30:H30,$E$6:$H$6,1)</f>
        <v>0</v>
      </c>
      <c r="U30" s="7"/>
    </row>
    <row r="31" spans="2:25" s="5" customFormat="1" x14ac:dyDescent="0.3">
      <c r="B31" s="131" t="s">
        <v>19</v>
      </c>
      <c r="C31" s="76" t="s">
        <v>227</v>
      </c>
      <c r="D31" s="43">
        <f>D32</f>
        <v>2.09</v>
      </c>
      <c r="E31" s="174">
        <f>E32</f>
        <v>2.09</v>
      </c>
      <c r="F31" s="22">
        <f t="shared" ref="F31:H31" si="17">F32</f>
        <v>2.09</v>
      </c>
      <c r="G31" s="22">
        <f t="shared" si="17"/>
        <v>2.09</v>
      </c>
      <c r="H31" s="208">
        <f t="shared" si="17"/>
        <v>2.09</v>
      </c>
      <c r="I31" s="46">
        <f>I32</f>
        <v>2.09</v>
      </c>
      <c r="J31" s="47">
        <f t="shared" si="8"/>
        <v>2.09</v>
      </c>
      <c r="K31" s="47">
        <f t="shared" si="7"/>
        <v>2.09</v>
      </c>
      <c r="L31" s="47">
        <f t="shared" si="7"/>
        <v>2.09</v>
      </c>
      <c r="M31" s="47">
        <f t="shared" si="7"/>
        <v>2.09</v>
      </c>
      <c r="N31" s="47">
        <f t="shared" si="7"/>
        <v>2.09</v>
      </c>
      <c r="O31" s="47">
        <f t="shared" si="7"/>
        <v>2.09</v>
      </c>
      <c r="P31" s="47">
        <f t="shared" si="7"/>
        <v>2.09</v>
      </c>
      <c r="Q31" s="47">
        <f t="shared" si="8"/>
        <v>2.09</v>
      </c>
      <c r="R31" s="47">
        <f t="shared" si="8"/>
        <v>2.09</v>
      </c>
      <c r="S31" s="54">
        <f t="shared" si="8"/>
        <v>2.09</v>
      </c>
      <c r="T31" s="195">
        <f t="shared" si="4"/>
        <v>0</v>
      </c>
      <c r="U31" s="24"/>
      <c r="W31" s="15"/>
    </row>
    <row r="32" spans="2:25" ht="14.4" thickBot="1" x14ac:dyDescent="0.35">
      <c r="B32" s="79" t="s">
        <v>20</v>
      </c>
      <c r="C32" s="80" t="s">
        <v>228</v>
      </c>
      <c r="D32" s="113">
        <f>Хронометраж!J37</f>
        <v>2.09</v>
      </c>
      <c r="E32" s="179">
        <f>D32</f>
        <v>2.09</v>
      </c>
      <c r="F32" s="50">
        <f t="shared" ref="F32:H32" si="18">E32</f>
        <v>2.09</v>
      </c>
      <c r="G32" s="50">
        <f t="shared" si="18"/>
        <v>2.09</v>
      </c>
      <c r="H32" s="51">
        <f t="shared" si="18"/>
        <v>2.09</v>
      </c>
      <c r="I32" s="52">
        <f>H32</f>
        <v>2.09</v>
      </c>
      <c r="J32" s="117">
        <f t="shared" si="8"/>
        <v>2.09</v>
      </c>
      <c r="K32" s="117">
        <f t="shared" si="7"/>
        <v>2.09</v>
      </c>
      <c r="L32" s="117">
        <f t="shared" si="7"/>
        <v>2.09</v>
      </c>
      <c r="M32" s="117">
        <f t="shared" si="7"/>
        <v>2.09</v>
      </c>
      <c r="N32" s="117">
        <f t="shared" si="7"/>
        <v>2.09</v>
      </c>
      <c r="O32" s="117">
        <f t="shared" si="7"/>
        <v>2.09</v>
      </c>
      <c r="P32" s="117">
        <f t="shared" si="7"/>
        <v>2.09</v>
      </c>
      <c r="Q32" s="117">
        <f t="shared" si="8"/>
        <v>2.09</v>
      </c>
      <c r="R32" s="117">
        <f t="shared" si="8"/>
        <v>2.09</v>
      </c>
      <c r="S32" s="57">
        <f t="shared" si="8"/>
        <v>2.09</v>
      </c>
      <c r="T32" s="184">
        <f t="shared" si="4"/>
        <v>0</v>
      </c>
      <c r="U32" s="7"/>
    </row>
    <row r="33" spans="2:23" s="5" customFormat="1" ht="17.399999999999999" x14ac:dyDescent="0.3">
      <c r="B33" s="131" t="s">
        <v>7</v>
      </c>
      <c r="C33" s="76" t="s">
        <v>36</v>
      </c>
      <c r="D33" s="43">
        <f t="shared" ref="D33:T33" si="19">SUM(D34:D36)</f>
        <v>1.33</v>
      </c>
      <c r="E33" s="44">
        <f t="shared" si="19"/>
        <v>1.33</v>
      </c>
      <c r="F33" s="45">
        <f t="shared" si="19"/>
        <v>1.33</v>
      </c>
      <c r="G33" s="45">
        <f t="shared" si="19"/>
        <v>1.33</v>
      </c>
      <c r="H33" s="45">
        <f t="shared" si="19"/>
        <v>1.33</v>
      </c>
      <c r="I33" s="46">
        <f t="shared" si="19"/>
        <v>1.33</v>
      </c>
      <c r="J33" s="47">
        <f t="shared" si="19"/>
        <v>1.33</v>
      </c>
      <c r="K33" s="47">
        <f t="shared" si="19"/>
        <v>1.33</v>
      </c>
      <c r="L33" s="47">
        <f t="shared" si="19"/>
        <v>1.33</v>
      </c>
      <c r="M33" s="47">
        <f t="shared" si="19"/>
        <v>1.33</v>
      </c>
      <c r="N33" s="47">
        <f t="shared" si="19"/>
        <v>1.33</v>
      </c>
      <c r="O33" s="47">
        <f t="shared" si="19"/>
        <v>1.33</v>
      </c>
      <c r="P33" s="47">
        <f t="shared" si="19"/>
        <v>1.33</v>
      </c>
      <c r="Q33" s="47">
        <f t="shared" si="19"/>
        <v>1.33</v>
      </c>
      <c r="R33" s="47">
        <f t="shared" si="19"/>
        <v>1.33</v>
      </c>
      <c r="S33" s="54">
        <f t="shared" si="19"/>
        <v>1.33</v>
      </c>
      <c r="T33" s="90">
        <f t="shared" si="19"/>
        <v>0</v>
      </c>
      <c r="U33" s="24">
        <f>T33</f>
        <v>0</v>
      </c>
      <c r="W33" s="15"/>
    </row>
    <row r="34" spans="2:23" ht="13.8" x14ac:dyDescent="0.3">
      <c r="B34" s="77" t="s">
        <v>24</v>
      </c>
      <c r="C34" s="78" t="s">
        <v>38</v>
      </c>
      <c r="D34" s="42">
        <f>Хронометраж!J30</f>
        <v>1.2</v>
      </c>
      <c r="E34" s="31">
        <f t="shared" ref="E34:S34" si="20">D34</f>
        <v>1.2</v>
      </c>
      <c r="F34" s="9">
        <f t="shared" si="20"/>
        <v>1.2</v>
      </c>
      <c r="G34" s="9">
        <f t="shared" si="20"/>
        <v>1.2</v>
      </c>
      <c r="H34" s="9">
        <f t="shared" si="20"/>
        <v>1.2</v>
      </c>
      <c r="I34" s="28">
        <f t="shared" si="20"/>
        <v>1.2</v>
      </c>
      <c r="J34" s="12">
        <f t="shared" si="20"/>
        <v>1.2</v>
      </c>
      <c r="K34" s="12">
        <f t="shared" si="20"/>
        <v>1.2</v>
      </c>
      <c r="L34" s="12">
        <f t="shared" si="20"/>
        <v>1.2</v>
      </c>
      <c r="M34" s="12">
        <f t="shared" si="20"/>
        <v>1.2</v>
      </c>
      <c r="N34" s="12">
        <f t="shared" si="20"/>
        <v>1.2</v>
      </c>
      <c r="O34" s="12">
        <f t="shared" si="20"/>
        <v>1.2</v>
      </c>
      <c r="P34" s="12">
        <f t="shared" si="20"/>
        <v>1.2</v>
      </c>
      <c r="Q34" s="12">
        <f t="shared" si="20"/>
        <v>1.2</v>
      </c>
      <c r="R34" s="12">
        <f t="shared" si="20"/>
        <v>1.2</v>
      </c>
      <c r="S34" s="55">
        <f t="shared" si="20"/>
        <v>1.2</v>
      </c>
      <c r="T34" s="85">
        <f>_xlfn.MAXIFS(D34:S34,$D$6:$S$6,1)</f>
        <v>0</v>
      </c>
      <c r="U34" s="8">
        <f>T34</f>
        <v>0</v>
      </c>
    </row>
    <row r="35" spans="2:23" ht="13.8" x14ac:dyDescent="0.3">
      <c r="B35" s="77" t="s">
        <v>25</v>
      </c>
      <c r="C35" s="78" t="s">
        <v>39</v>
      </c>
      <c r="D35" s="42">
        <f>Хронометраж!J31</f>
        <v>0.13</v>
      </c>
      <c r="E35" s="31">
        <f t="shared" ref="E35:S35" si="21">D35</f>
        <v>0.13</v>
      </c>
      <c r="F35" s="9">
        <f t="shared" si="21"/>
        <v>0.13</v>
      </c>
      <c r="G35" s="9">
        <f t="shared" si="21"/>
        <v>0.13</v>
      </c>
      <c r="H35" s="9">
        <f t="shared" si="21"/>
        <v>0.13</v>
      </c>
      <c r="I35" s="28">
        <f t="shared" si="21"/>
        <v>0.13</v>
      </c>
      <c r="J35" s="12">
        <f t="shared" si="21"/>
        <v>0.13</v>
      </c>
      <c r="K35" s="12">
        <f t="shared" si="21"/>
        <v>0.13</v>
      </c>
      <c r="L35" s="12">
        <f t="shared" si="21"/>
        <v>0.13</v>
      </c>
      <c r="M35" s="12">
        <f t="shared" si="21"/>
        <v>0.13</v>
      </c>
      <c r="N35" s="12">
        <f t="shared" si="21"/>
        <v>0.13</v>
      </c>
      <c r="O35" s="12">
        <f t="shared" si="21"/>
        <v>0.13</v>
      </c>
      <c r="P35" s="12">
        <f t="shared" si="21"/>
        <v>0.13</v>
      </c>
      <c r="Q35" s="12">
        <f t="shared" si="21"/>
        <v>0.13</v>
      </c>
      <c r="R35" s="12">
        <f t="shared" si="21"/>
        <v>0.13</v>
      </c>
      <c r="S35" s="55">
        <f t="shared" si="21"/>
        <v>0.13</v>
      </c>
      <c r="T35" s="85">
        <f>_xlfn.MAXIFS(D35:S35,$D$6:$S$6,1)</f>
        <v>0</v>
      </c>
      <c r="U35" s="8">
        <f>T35</f>
        <v>0</v>
      </c>
    </row>
    <row r="36" spans="2:23" ht="14.4" thickBot="1" x14ac:dyDescent="0.35">
      <c r="B36" s="77" t="s">
        <v>26</v>
      </c>
      <c r="C36" s="177" t="s">
        <v>75</v>
      </c>
      <c r="D36" s="178"/>
      <c r="E36" s="179">
        <f t="shared" ref="E36:S36" si="22">D36</f>
        <v>0</v>
      </c>
      <c r="F36" s="180">
        <f t="shared" si="22"/>
        <v>0</v>
      </c>
      <c r="G36" s="180">
        <f t="shared" si="22"/>
        <v>0</v>
      </c>
      <c r="H36" s="180">
        <f t="shared" si="22"/>
        <v>0</v>
      </c>
      <c r="I36" s="181">
        <f t="shared" si="22"/>
        <v>0</v>
      </c>
      <c r="J36" s="182">
        <f t="shared" si="22"/>
        <v>0</v>
      </c>
      <c r="K36" s="182">
        <f t="shared" si="22"/>
        <v>0</v>
      </c>
      <c r="L36" s="182">
        <f t="shared" si="22"/>
        <v>0</v>
      </c>
      <c r="M36" s="182">
        <f t="shared" si="22"/>
        <v>0</v>
      </c>
      <c r="N36" s="182">
        <f t="shared" si="22"/>
        <v>0</v>
      </c>
      <c r="O36" s="182">
        <f t="shared" si="22"/>
        <v>0</v>
      </c>
      <c r="P36" s="182">
        <f t="shared" si="22"/>
        <v>0</v>
      </c>
      <c r="Q36" s="182">
        <f t="shared" si="22"/>
        <v>0</v>
      </c>
      <c r="R36" s="182">
        <f t="shared" si="22"/>
        <v>0</v>
      </c>
      <c r="S36" s="183">
        <f t="shared" si="22"/>
        <v>0</v>
      </c>
      <c r="T36" s="86">
        <f>_xlfn.MAXIFS(D36:S36,$D$6:$S$6,1)</f>
        <v>0</v>
      </c>
      <c r="U36" s="8">
        <f>T36</f>
        <v>0</v>
      </c>
    </row>
    <row r="37" spans="2:23" s="5" customFormat="1" ht="17.399999999999999" x14ac:dyDescent="0.3">
      <c r="B37" s="131" t="s">
        <v>28</v>
      </c>
      <c r="C37" s="76" t="s">
        <v>52</v>
      </c>
      <c r="D37" s="43">
        <f>D38+D41</f>
        <v>1.72</v>
      </c>
      <c r="E37" s="44">
        <f t="shared" ref="E37:U37" si="23">E38+E41</f>
        <v>1.72</v>
      </c>
      <c r="F37" s="45">
        <f t="shared" si="23"/>
        <v>1.72</v>
      </c>
      <c r="G37" s="45">
        <f t="shared" si="23"/>
        <v>1.72</v>
      </c>
      <c r="H37" s="45">
        <f t="shared" si="23"/>
        <v>1.72</v>
      </c>
      <c r="I37" s="46">
        <f t="shared" si="23"/>
        <v>1.72</v>
      </c>
      <c r="J37" s="47">
        <f t="shared" si="23"/>
        <v>1.72</v>
      </c>
      <c r="K37" s="47">
        <f t="shared" si="23"/>
        <v>1.72</v>
      </c>
      <c r="L37" s="47">
        <f t="shared" si="23"/>
        <v>1.72</v>
      </c>
      <c r="M37" s="47">
        <f t="shared" si="23"/>
        <v>1.72</v>
      </c>
      <c r="N37" s="47">
        <f t="shared" si="23"/>
        <v>1.72</v>
      </c>
      <c r="O37" s="47">
        <f t="shared" si="23"/>
        <v>1.72</v>
      </c>
      <c r="P37" s="47">
        <f t="shared" si="23"/>
        <v>1.72</v>
      </c>
      <c r="Q37" s="47">
        <f t="shared" si="23"/>
        <v>1.72</v>
      </c>
      <c r="R37" s="47">
        <f t="shared" si="23"/>
        <v>1.72</v>
      </c>
      <c r="S37" s="54">
        <f t="shared" si="23"/>
        <v>1.72</v>
      </c>
      <c r="T37" s="90">
        <f>T38+T41</f>
        <v>0</v>
      </c>
      <c r="U37" s="24">
        <f t="shared" si="23"/>
        <v>0</v>
      </c>
    </row>
    <row r="38" spans="2:23" ht="13.8" x14ac:dyDescent="0.3">
      <c r="B38" s="77" t="s">
        <v>29</v>
      </c>
      <c r="C38" s="78" t="s">
        <v>56</v>
      </c>
      <c r="D38" s="42">
        <f>SUM(D39:D40)</f>
        <v>0.32</v>
      </c>
      <c r="E38" s="33">
        <f>SUM(E39:E40)</f>
        <v>0.32</v>
      </c>
      <c r="F38" s="10">
        <f>SUM(F39:F40)</f>
        <v>0.32</v>
      </c>
      <c r="G38" s="10">
        <f t="shared" ref="G38:U38" si="24">SUM(G39:G40)</f>
        <v>0.32</v>
      </c>
      <c r="H38" s="10">
        <f t="shared" si="24"/>
        <v>0.32</v>
      </c>
      <c r="I38" s="29">
        <f t="shared" si="24"/>
        <v>0.32</v>
      </c>
      <c r="J38" s="13">
        <f t="shared" si="24"/>
        <v>0.32</v>
      </c>
      <c r="K38" s="13">
        <f t="shared" si="24"/>
        <v>0.32</v>
      </c>
      <c r="L38" s="13">
        <f t="shared" si="24"/>
        <v>0.32</v>
      </c>
      <c r="M38" s="13">
        <f t="shared" si="24"/>
        <v>0.32</v>
      </c>
      <c r="N38" s="13">
        <f t="shared" si="24"/>
        <v>0.32</v>
      </c>
      <c r="O38" s="13">
        <f t="shared" si="24"/>
        <v>0.32</v>
      </c>
      <c r="P38" s="13">
        <f t="shared" si="24"/>
        <v>0.32</v>
      </c>
      <c r="Q38" s="13">
        <f t="shared" si="24"/>
        <v>0.32</v>
      </c>
      <c r="R38" s="13">
        <f t="shared" si="24"/>
        <v>0.32</v>
      </c>
      <c r="S38" s="56">
        <f t="shared" si="24"/>
        <v>0.32</v>
      </c>
      <c r="T38" s="85">
        <f t="shared" si="4"/>
        <v>0</v>
      </c>
      <c r="U38" s="8">
        <f t="shared" si="24"/>
        <v>0</v>
      </c>
    </row>
    <row r="39" spans="2:23" ht="13.8" outlineLevel="1" x14ac:dyDescent="0.3">
      <c r="B39" s="77" t="s">
        <v>144</v>
      </c>
      <c r="C39" s="83" t="s">
        <v>60</v>
      </c>
      <c r="D39" s="42">
        <f>Хронометраж!J32</f>
        <v>0.32</v>
      </c>
      <c r="E39" s="31">
        <f>D39</f>
        <v>0.32</v>
      </c>
      <c r="F39" s="9">
        <f t="shared" ref="F39:U40" si="25">E39</f>
        <v>0.32</v>
      </c>
      <c r="G39" s="9">
        <f t="shared" si="25"/>
        <v>0.32</v>
      </c>
      <c r="H39" s="9">
        <f t="shared" si="25"/>
        <v>0.32</v>
      </c>
      <c r="I39" s="28">
        <f t="shared" si="25"/>
        <v>0.32</v>
      </c>
      <c r="J39" s="12">
        <f t="shared" si="25"/>
        <v>0.32</v>
      </c>
      <c r="K39" s="12">
        <f t="shared" si="25"/>
        <v>0.32</v>
      </c>
      <c r="L39" s="12">
        <f t="shared" si="25"/>
        <v>0.32</v>
      </c>
      <c r="M39" s="12">
        <f>K39</f>
        <v>0.32</v>
      </c>
      <c r="N39" s="12">
        <f t="shared" si="25"/>
        <v>0.32</v>
      </c>
      <c r="O39" s="12">
        <f t="shared" si="25"/>
        <v>0.32</v>
      </c>
      <c r="P39" s="12">
        <f t="shared" si="25"/>
        <v>0.32</v>
      </c>
      <c r="Q39" s="12">
        <f t="shared" si="25"/>
        <v>0.32</v>
      </c>
      <c r="R39" s="12">
        <f t="shared" si="25"/>
        <v>0.32</v>
      </c>
      <c r="S39" s="55">
        <f t="shared" si="25"/>
        <v>0.32</v>
      </c>
      <c r="T39" s="85">
        <f t="shared" si="4"/>
        <v>0</v>
      </c>
      <c r="U39" s="7">
        <f t="shared" si="25"/>
        <v>0</v>
      </c>
    </row>
    <row r="40" spans="2:23" ht="13.8" outlineLevel="1" x14ac:dyDescent="0.3">
      <c r="B40" s="77" t="s">
        <v>145</v>
      </c>
      <c r="C40" s="83" t="s">
        <v>61</v>
      </c>
      <c r="D40" s="42"/>
      <c r="E40" s="31">
        <f>D40</f>
        <v>0</v>
      </c>
      <c r="F40" s="9">
        <f t="shared" si="25"/>
        <v>0</v>
      </c>
      <c r="G40" s="9">
        <f t="shared" si="25"/>
        <v>0</v>
      </c>
      <c r="H40" s="9">
        <f t="shared" si="25"/>
        <v>0</v>
      </c>
      <c r="I40" s="28">
        <f t="shared" si="25"/>
        <v>0</v>
      </c>
      <c r="J40" s="12">
        <f t="shared" si="25"/>
        <v>0</v>
      </c>
      <c r="K40" s="12">
        <f t="shared" si="25"/>
        <v>0</v>
      </c>
      <c r="L40" s="12">
        <f t="shared" si="25"/>
        <v>0</v>
      </c>
      <c r="M40" s="12">
        <f>K40</f>
        <v>0</v>
      </c>
      <c r="N40" s="12">
        <f t="shared" si="25"/>
        <v>0</v>
      </c>
      <c r="O40" s="12">
        <f t="shared" si="25"/>
        <v>0</v>
      </c>
      <c r="P40" s="12">
        <f t="shared" si="25"/>
        <v>0</v>
      </c>
      <c r="Q40" s="12">
        <f t="shared" si="25"/>
        <v>0</v>
      </c>
      <c r="R40" s="12">
        <f t="shared" si="25"/>
        <v>0</v>
      </c>
      <c r="S40" s="55">
        <f t="shared" si="25"/>
        <v>0</v>
      </c>
      <c r="T40" s="85">
        <f t="shared" si="4"/>
        <v>0</v>
      </c>
      <c r="U40" s="7">
        <f t="shared" si="25"/>
        <v>0</v>
      </c>
    </row>
    <row r="41" spans="2:23" ht="13.8" x14ac:dyDescent="0.3">
      <c r="B41" s="77" t="s">
        <v>30</v>
      </c>
      <c r="C41" s="78" t="s">
        <v>57</v>
      </c>
      <c r="D41" s="42">
        <f>SUM(D42:D43)</f>
        <v>1.4</v>
      </c>
      <c r="E41" s="33">
        <f>SUM(E42:E43)</f>
        <v>1.4</v>
      </c>
      <c r="F41" s="10">
        <f t="shared" ref="F41:U41" si="26">SUM(F42:F43)</f>
        <v>1.4</v>
      </c>
      <c r="G41" s="10">
        <f t="shared" si="26"/>
        <v>1.4</v>
      </c>
      <c r="H41" s="10">
        <f t="shared" si="26"/>
        <v>1.4</v>
      </c>
      <c r="I41" s="29">
        <f>SUM(I42:I43)</f>
        <v>1.4</v>
      </c>
      <c r="J41" s="13">
        <f t="shared" si="26"/>
        <v>1.4</v>
      </c>
      <c r="K41" s="13">
        <f t="shared" si="26"/>
        <v>1.4</v>
      </c>
      <c r="L41" s="13">
        <f t="shared" si="26"/>
        <v>1.4</v>
      </c>
      <c r="M41" s="13">
        <f t="shared" si="26"/>
        <v>1.4</v>
      </c>
      <c r="N41" s="13">
        <f t="shared" si="26"/>
        <v>1.4</v>
      </c>
      <c r="O41" s="13">
        <f t="shared" si="26"/>
        <v>1.4</v>
      </c>
      <c r="P41" s="13">
        <f>SUM(P42:P43)</f>
        <v>1.4</v>
      </c>
      <c r="Q41" s="13">
        <f t="shared" si="26"/>
        <v>1.4</v>
      </c>
      <c r="R41" s="13">
        <f t="shared" si="26"/>
        <v>1.4</v>
      </c>
      <c r="S41" s="56">
        <f t="shared" si="26"/>
        <v>1.4</v>
      </c>
      <c r="T41" s="85">
        <f>_xlfn.MAXIFS(D41:S41,$D$6:$S$6,1)</f>
        <v>0</v>
      </c>
      <c r="U41" s="8">
        <f t="shared" si="26"/>
        <v>0</v>
      </c>
    </row>
    <row r="42" spans="2:23" ht="13.8" outlineLevel="1" x14ac:dyDescent="0.3">
      <c r="B42" s="77" t="s">
        <v>146</v>
      </c>
      <c r="C42" s="83" t="s">
        <v>60</v>
      </c>
      <c r="D42" s="42">
        <f>Хронометраж!J33</f>
        <v>1.4</v>
      </c>
      <c r="E42" s="31">
        <f>D42</f>
        <v>1.4</v>
      </c>
      <c r="F42" s="9">
        <f t="shared" ref="F42:U43" si="27">E42</f>
        <v>1.4</v>
      </c>
      <c r="G42" s="9">
        <f t="shared" si="27"/>
        <v>1.4</v>
      </c>
      <c r="H42" s="32">
        <f>F42</f>
        <v>1.4</v>
      </c>
      <c r="I42" s="28">
        <f t="shared" si="27"/>
        <v>1.4</v>
      </c>
      <c r="J42" s="12">
        <f t="shared" si="27"/>
        <v>1.4</v>
      </c>
      <c r="K42" s="12">
        <f t="shared" si="27"/>
        <v>1.4</v>
      </c>
      <c r="L42" s="12">
        <f t="shared" si="27"/>
        <v>1.4</v>
      </c>
      <c r="M42" s="12">
        <f>K42</f>
        <v>1.4</v>
      </c>
      <c r="N42" s="12">
        <f t="shared" si="27"/>
        <v>1.4</v>
      </c>
      <c r="O42" s="12">
        <f t="shared" si="27"/>
        <v>1.4</v>
      </c>
      <c r="P42" s="12">
        <f t="shared" si="27"/>
        <v>1.4</v>
      </c>
      <c r="Q42" s="12">
        <f t="shared" si="27"/>
        <v>1.4</v>
      </c>
      <c r="R42" s="12">
        <f t="shared" si="27"/>
        <v>1.4</v>
      </c>
      <c r="S42" s="55">
        <f t="shared" si="27"/>
        <v>1.4</v>
      </c>
      <c r="T42" s="85">
        <f>_xlfn.MAXIFS(D42:S42,$D$6:$S$6,1)</f>
        <v>0</v>
      </c>
      <c r="U42" s="7">
        <f t="shared" si="27"/>
        <v>0</v>
      </c>
    </row>
    <row r="43" spans="2:23" ht="14.4" outlineLevel="1" thickBot="1" x14ac:dyDescent="0.35">
      <c r="B43" s="79" t="s">
        <v>147</v>
      </c>
      <c r="C43" s="84" t="s">
        <v>69</v>
      </c>
      <c r="D43" s="48"/>
      <c r="E43" s="49">
        <f>D43</f>
        <v>0</v>
      </c>
      <c r="F43" s="50">
        <f t="shared" si="27"/>
        <v>0</v>
      </c>
      <c r="G43" s="50">
        <f t="shared" si="27"/>
        <v>0</v>
      </c>
      <c r="H43" s="51">
        <f>F43</f>
        <v>0</v>
      </c>
      <c r="I43" s="52">
        <f t="shared" si="27"/>
        <v>0</v>
      </c>
      <c r="J43" s="53">
        <f t="shared" si="27"/>
        <v>0</v>
      </c>
      <c r="K43" s="53">
        <f t="shared" si="27"/>
        <v>0</v>
      </c>
      <c r="L43" s="53">
        <f t="shared" si="27"/>
        <v>0</v>
      </c>
      <c r="M43" s="53">
        <f>K43</f>
        <v>0</v>
      </c>
      <c r="N43" s="53">
        <f t="shared" si="27"/>
        <v>0</v>
      </c>
      <c r="O43" s="53">
        <f t="shared" si="27"/>
        <v>0</v>
      </c>
      <c r="P43" s="53">
        <f t="shared" si="27"/>
        <v>0</v>
      </c>
      <c r="Q43" s="53">
        <f t="shared" si="27"/>
        <v>0</v>
      </c>
      <c r="R43" s="53">
        <f t="shared" si="27"/>
        <v>0</v>
      </c>
      <c r="S43" s="57">
        <f t="shared" si="27"/>
        <v>0</v>
      </c>
      <c r="T43" s="85">
        <f>_xlfn.MAXIFS(D43:S43,$D$6:$S$6,1)</f>
        <v>0</v>
      </c>
      <c r="U43" s="7">
        <f t="shared" si="27"/>
        <v>0</v>
      </c>
    </row>
    <row r="44" spans="2:23" s="70" customFormat="1" ht="27" customHeight="1" thickBot="1" x14ac:dyDescent="0.35">
      <c r="B44" s="632" t="s">
        <v>141</v>
      </c>
      <c r="C44" s="633"/>
      <c r="D44" s="62">
        <f>D33+D10+D37+D31</f>
        <v>13.23</v>
      </c>
      <c r="E44" s="63">
        <f t="shared" ref="E44:R44" si="28">E33+E10+E37+E31+E27</f>
        <v>14.8</v>
      </c>
      <c r="F44" s="64">
        <f t="shared" si="28"/>
        <v>14.8</v>
      </c>
      <c r="G44" s="64">
        <f t="shared" si="28"/>
        <v>14.8</v>
      </c>
      <c r="H44" s="65">
        <f t="shared" si="28"/>
        <v>14.8</v>
      </c>
      <c r="I44" s="66">
        <f t="shared" si="28"/>
        <v>18.040000000000003</v>
      </c>
      <c r="J44" s="67">
        <f t="shared" si="28"/>
        <v>16.450000000000003</v>
      </c>
      <c r="K44" s="67">
        <f t="shared" si="28"/>
        <v>15.570000000000002</v>
      </c>
      <c r="L44" s="67">
        <f t="shared" si="28"/>
        <v>16.16</v>
      </c>
      <c r="M44" s="67">
        <f t="shared" si="28"/>
        <v>15.280000000000001</v>
      </c>
      <c r="N44" s="67">
        <f t="shared" si="28"/>
        <v>15.280000000000001</v>
      </c>
      <c r="O44" s="67">
        <f t="shared" si="28"/>
        <v>15.280000000000001</v>
      </c>
      <c r="P44" s="67">
        <f t="shared" si="28"/>
        <v>15.950000000000003</v>
      </c>
      <c r="Q44" s="67">
        <f t="shared" si="28"/>
        <v>15.39</v>
      </c>
      <c r="R44" s="67">
        <f t="shared" si="28"/>
        <v>15.350000000000001</v>
      </c>
      <c r="S44" s="68">
        <f>S33+S10+S37</f>
        <v>10.110000000000001</v>
      </c>
      <c r="T44" s="91">
        <f>T33+T10+T37+T31+T27</f>
        <v>0</v>
      </c>
      <c r="U44" s="69" t="e">
        <f>#REF!+U33+U10+U37</f>
        <v>#REF!</v>
      </c>
    </row>
    <row r="45" spans="2:23" ht="24" customHeight="1" thickBot="1" x14ac:dyDescent="0.35">
      <c r="B45" s="661" t="s">
        <v>143</v>
      </c>
      <c r="C45" s="662"/>
      <c r="D45" s="662"/>
      <c r="E45" s="662"/>
      <c r="F45" s="662"/>
      <c r="G45" s="662"/>
      <c r="H45" s="662"/>
      <c r="I45" s="662"/>
      <c r="J45" s="662"/>
      <c r="K45" s="662"/>
      <c r="L45" s="662"/>
      <c r="M45" s="662"/>
      <c r="N45" s="662"/>
      <c r="O45" s="662"/>
      <c r="P45" s="662"/>
      <c r="Q45" s="662"/>
      <c r="R45" s="662"/>
      <c r="S45" s="662"/>
      <c r="T45" s="663"/>
    </row>
    <row r="46" spans="2:23" ht="13.8" x14ac:dyDescent="0.3">
      <c r="B46" s="122" t="s">
        <v>3</v>
      </c>
      <c r="C46" s="141" t="s">
        <v>150</v>
      </c>
      <c r="D46" s="144">
        <v>2</v>
      </c>
      <c r="E46" s="150">
        <v>1</v>
      </c>
      <c r="F46" s="136"/>
      <c r="G46" s="136"/>
      <c r="H46" s="151"/>
      <c r="I46" s="147">
        <v>1</v>
      </c>
      <c r="J46" s="139"/>
      <c r="K46" s="139"/>
      <c r="L46" s="139"/>
      <c r="M46" s="139"/>
      <c r="N46" s="139"/>
      <c r="O46" s="139">
        <v>1</v>
      </c>
      <c r="P46" s="139"/>
      <c r="Q46" s="139"/>
      <c r="R46" s="139"/>
      <c r="S46" s="156"/>
      <c r="T46" s="85">
        <f>SUMIFS(E46:R46,$E$6:$R$6,1)+IF(SUM($E$6:$R$6)=0,D46,0)</f>
        <v>2</v>
      </c>
    </row>
    <row r="47" spans="2:23" ht="13.8" x14ac:dyDescent="0.3">
      <c r="B47" s="205">
        <f>B46+1</f>
        <v>7</v>
      </c>
      <c r="C47" s="142" t="s">
        <v>151</v>
      </c>
      <c r="D47" s="145">
        <v>2</v>
      </c>
      <c r="E47" s="152">
        <v>2</v>
      </c>
      <c r="F47" s="137">
        <v>1</v>
      </c>
      <c r="G47" s="137"/>
      <c r="H47" s="153"/>
      <c r="I47" s="148"/>
      <c r="J47" s="4">
        <v>1</v>
      </c>
      <c r="K47" s="4"/>
      <c r="L47" s="4"/>
      <c r="M47" s="4"/>
      <c r="N47" s="4"/>
      <c r="O47" s="4"/>
      <c r="P47" s="4">
        <v>1</v>
      </c>
      <c r="Q47" s="4"/>
      <c r="R47" s="4"/>
      <c r="S47" s="157"/>
      <c r="T47" s="85">
        <f>SUMIFS(E47:R47,$E$6:$R$6,1)+IF(SUM($E$6:$R$6)=0,D47,0)</f>
        <v>2</v>
      </c>
    </row>
    <row r="48" spans="2:23" ht="13.8" x14ac:dyDescent="0.3">
      <c r="B48" s="205">
        <f t="shared" ref="B48:B51" si="29">B47+1</f>
        <v>8</v>
      </c>
      <c r="C48" s="142" t="s">
        <v>148</v>
      </c>
      <c r="D48" s="145"/>
      <c r="E48" s="152"/>
      <c r="F48" s="137">
        <v>2</v>
      </c>
      <c r="G48" s="137"/>
      <c r="H48" s="153"/>
      <c r="I48" s="148"/>
      <c r="J48" s="4"/>
      <c r="K48" s="4">
        <v>1</v>
      </c>
      <c r="L48" s="4"/>
      <c r="M48" s="4"/>
      <c r="N48" s="4"/>
      <c r="O48" s="4"/>
      <c r="P48" s="4"/>
      <c r="Q48" s="4">
        <v>1</v>
      </c>
      <c r="R48" s="4"/>
      <c r="S48" s="157"/>
      <c r="T48" s="85">
        <f t="shared" ref="T48:T51" si="30">SUMIFS(E48:R48,$E$6:$R$6,1)+IF(SUM($E$6:$R$6)=0,D48,0)</f>
        <v>0</v>
      </c>
    </row>
    <row r="49" spans="2:21" ht="13.8" x14ac:dyDescent="0.3">
      <c r="B49" s="205">
        <f t="shared" si="29"/>
        <v>9</v>
      </c>
      <c r="C49" s="142" t="s">
        <v>149</v>
      </c>
      <c r="D49" s="145"/>
      <c r="E49" s="152"/>
      <c r="F49" s="137">
        <v>3</v>
      </c>
      <c r="G49" s="137">
        <v>1</v>
      </c>
      <c r="H49" s="153"/>
      <c r="I49" s="148"/>
      <c r="J49" s="4"/>
      <c r="K49" s="4"/>
      <c r="L49" s="4">
        <v>1</v>
      </c>
      <c r="M49" s="4"/>
      <c r="N49" s="4"/>
      <c r="O49" s="4"/>
      <c r="P49" s="4"/>
      <c r="Q49" s="4"/>
      <c r="R49" s="4">
        <v>1</v>
      </c>
      <c r="S49" s="157"/>
      <c r="T49" s="85">
        <f t="shared" si="30"/>
        <v>0</v>
      </c>
    </row>
    <row r="50" spans="2:21" ht="13.8" x14ac:dyDescent="0.3">
      <c r="B50" s="205">
        <f t="shared" si="29"/>
        <v>10</v>
      </c>
      <c r="C50" s="142" t="s">
        <v>152</v>
      </c>
      <c r="D50" s="145"/>
      <c r="E50" s="152"/>
      <c r="F50" s="137"/>
      <c r="G50" s="137">
        <v>2</v>
      </c>
      <c r="H50" s="153"/>
      <c r="I50" s="148"/>
      <c r="J50" s="4"/>
      <c r="K50" s="4"/>
      <c r="L50" s="4"/>
      <c r="M50" s="4">
        <v>1</v>
      </c>
      <c r="N50" s="4"/>
      <c r="O50" s="4"/>
      <c r="P50" s="4"/>
      <c r="Q50" s="4"/>
      <c r="R50" s="4"/>
      <c r="S50" s="157">
        <v>1</v>
      </c>
      <c r="T50" s="85">
        <f t="shared" si="30"/>
        <v>0</v>
      </c>
    </row>
    <row r="51" spans="2:21" ht="14.4" thickBot="1" x14ac:dyDescent="0.35">
      <c r="B51" s="205">
        <f t="shared" si="29"/>
        <v>11</v>
      </c>
      <c r="C51" s="143" t="s">
        <v>153</v>
      </c>
      <c r="D51" s="146"/>
      <c r="E51" s="154"/>
      <c r="F51" s="138"/>
      <c r="G51" s="138"/>
      <c r="H51" s="155">
        <v>1</v>
      </c>
      <c r="I51" s="149"/>
      <c r="J51" s="140"/>
      <c r="K51" s="140"/>
      <c r="L51" s="140"/>
      <c r="M51" s="140"/>
      <c r="N51" s="140">
        <v>1</v>
      </c>
      <c r="O51" s="140"/>
      <c r="P51" s="140"/>
      <c r="Q51" s="140"/>
      <c r="R51" s="140"/>
      <c r="S51" s="158"/>
      <c r="T51" s="86">
        <f t="shared" si="30"/>
        <v>0</v>
      </c>
    </row>
    <row r="52" spans="2:21" s="70" customFormat="1" ht="27" customHeight="1" collapsed="1" thickBot="1" x14ac:dyDescent="0.35">
      <c r="B52" s="632" t="s">
        <v>209</v>
      </c>
      <c r="C52" s="633"/>
      <c r="D52" s="62">
        <f>D46+D47+D48+D49+D50+D51</f>
        <v>4</v>
      </c>
      <c r="E52" s="63">
        <f>E46+E47+E48+E49+E50+E51</f>
        <v>3</v>
      </c>
      <c r="F52" s="64">
        <f t="shared" ref="F52:H52" si="31">F46+F47+F48+F49+F50+F51</f>
        <v>6</v>
      </c>
      <c r="G52" s="64">
        <f t="shared" si="31"/>
        <v>3</v>
      </c>
      <c r="H52" s="65">
        <f t="shared" si="31"/>
        <v>1</v>
      </c>
      <c r="I52" s="66">
        <f>I46+I47+I48+I49+I50+I51</f>
        <v>1</v>
      </c>
      <c r="J52" s="67">
        <f>J46+J47+J48+J49+J50+J51</f>
        <v>1</v>
      </c>
      <c r="K52" s="67">
        <f t="shared" ref="K52:R52" si="32">K46+K47+K48+K49+K50+K51</f>
        <v>1</v>
      </c>
      <c r="L52" s="67">
        <f t="shared" si="32"/>
        <v>1</v>
      </c>
      <c r="M52" s="67">
        <f t="shared" si="32"/>
        <v>1</v>
      </c>
      <c r="N52" s="67">
        <f t="shared" si="32"/>
        <v>1</v>
      </c>
      <c r="O52" s="67">
        <f t="shared" si="32"/>
        <v>1</v>
      </c>
      <c r="P52" s="67">
        <f t="shared" si="32"/>
        <v>1</v>
      </c>
      <c r="Q52" s="67">
        <f t="shared" si="32"/>
        <v>1</v>
      </c>
      <c r="R52" s="67">
        <f t="shared" si="32"/>
        <v>1</v>
      </c>
      <c r="S52" s="68">
        <f>S46+S47+S48+S49+S50+S51</f>
        <v>1</v>
      </c>
      <c r="T52" s="188">
        <f>SUMIFS(E52:R52,$E$6:$R$6,1)+IF(AND(SUM($E$6:$R$6)=0,D6=1),D52,0)</f>
        <v>0</v>
      </c>
      <c r="U52" s="69"/>
    </row>
    <row r="53" spans="2:21" ht="27.75" customHeight="1" thickBot="1" x14ac:dyDescent="0.35">
      <c r="B53" s="634" t="s">
        <v>68</v>
      </c>
      <c r="C53" s="635"/>
      <c r="D53" s="159">
        <f>D44+D52</f>
        <v>17.23</v>
      </c>
      <c r="E53" s="159">
        <f t="shared" ref="E53:S53" si="33">E44+E52</f>
        <v>17.8</v>
      </c>
      <c r="F53" s="159">
        <f t="shared" si="33"/>
        <v>20.8</v>
      </c>
      <c r="G53" s="159">
        <f t="shared" si="33"/>
        <v>17.8</v>
      </c>
      <c r="H53" s="159">
        <f t="shared" si="33"/>
        <v>15.8</v>
      </c>
      <c r="I53" s="159">
        <f t="shared" si="33"/>
        <v>19.040000000000003</v>
      </c>
      <c r="J53" s="159">
        <f t="shared" si="33"/>
        <v>17.450000000000003</v>
      </c>
      <c r="K53" s="159">
        <f t="shared" si="33"/>
        <v>16.57</v>
      </c>
      <c r="L53" s="159">
        <f t="shared" si="33"/>
        <v>17.16</v>
      </c>
      <c r="M53" s="159">
        <f t="shared" si="33"/>
        <v>16.28</v>
      </c>
      <c r="N53" s="159">
        <f t="shared" si="33"/>
        <v>16.28</v>
      </c>
      <c r="O53" s="159">
        <f t="shared" si="33"/>
        <v>16.28</v>
      </c>
      <c r="P53" s="159">
        <f t="shared" si="33"/>
        <v>16.950000000000003</v>
      </c>
      <c r="Q53" s="159">
        <f t="shared" si="33"/>
        <v>16.39</v>
      </c>
      <c r="R53" s="159">
        <f t="shared" si="33"/>
        <v>16.350000000000001</v>
      </c>
      <c r="S53" s="159">
        <f t="shared" si="33"/>
        <v>11.110000000000001</v>
      </c>
      <c r="T53" s="160">
        <f>T44+T52</f>
        <v>0</v>
      </c>
    </row>
  </sheetData>
  <mergeCells count="14">
    <mergeCell ref="U7:U8"/>
    <mergeCell ref="B9:T9"/>
    <mergeCell ref="B44:C44"/>
    <mergeCell ref="B45:T45"/>
    <mergeCell ref="B52:C52"/>
    <mergeCell ref="B53:C53"/>
    <mergeCell ref="B4:T4"/>
    <mergeCell ref="B5:T5"/>
    <mergeCell ref="B6:C6"/>
    <mergeCell ref="B7:B8"/>
    <mergeCell ref="C7:C8"/>
    <mergeCell ref="D7:D8"/>
    <mergeCell ref="E7:H7"/>
    <mergeCell ref="I7:T7"/>
  </mergeCells>
  <conditionalFormatting sqref="E8:S8">
    <cfRule type="expression" dxfId="44" priority="45">
      <formula>E$6=1</formula>
    </cfRule>
  </conditionalFormatting>
  <conditionalFormatting sqref="E46:H52 E10:H44">
    <cfRule type="expression" dxfId="43" priority="44">
      <formula>E$6=0</formula>
    </cfRule>
  </conditionalFormatting>
  <conditionalFormatting sqref="I10:R44 I46:R52">
    <cfRule type="expression" dxfId="42" priority="43">
      <formula>I$6=0</formula>
    </cfRule>
  </conditionalFormatting>
  <conditionalFormatting sqref="D46:D52 D32:D44 D10:D26">
    <cfRule type="expression" dxfId="41" priority="42">
      <formula>OR($D$6=0,$E$6=1,$F$6=1,$H$6=1,$I$6=1,$J$6=1,$K$6=1,$M$6=1,$N$6=1,$O$6=1,$P$6=1,$Q$6=1,$R$6=1,$S$6=1)</formula>
    </cfRule>
  </conditionalFormatting>
  <conditionalFormatting sqref="T46:T52 T10:T44">
    <cfRule type="expression" dxfId="40" priority="41">
      <formula>AND($D$6=0,$E$6=0,$F$6=0,$H$6=0,$I$6=0,$J$6=0,$K$6=0,$M$6=0,$N$6=0,$O$6=0,$P$6=0,$Q$6=0,$R$6=0,$S$6=0,$G$6=0)</formula>
    </cfRule>
  </conditionalFormatting>
  <conditionalFormatting sqref="B16:C16 T16">
    <cfRule type="expression" dxfId="39" priority="39">
      <formula>$T$16&gt;0</formula>
    </cfRule>
  </conditionalFormatting>
  <conditionalFormatting sqref="I16">
    <cfRule type="expression" dxfId="38" priority="38">
      <formula>$I6=1</formula>
    </cfRule>
  </conditionalFormatting>
  <conditionalFormatting sqref="J16">
    <cfRule type="expression" dxfId="37" priority="37">
      <formula>$J$6=1</formula>
    </cfRule>
  </conditionalFormatting>
  <conditionalFormatting sqref="K16">
    <cfRule type="expression" dxfId="36" priority="36">
      <formula>$K$6=1</formula>
    </cfRule>
  </conditionalFormatting>
  <conditionalFormatting sqref="L16">
    <cfRule type="expression" dxfId="35" priority="35">
      <formula>$L$6=1</formula>
    </cfRule>
  </conditionalFormatting>
  <conditionalFormatting sqref="M16">
    <cfRule type="expression" dxfId="34" priority="34">
      <formula>M$6=1</formula>
    </cfRule>
  </conditionalFormatting>
  <conditionalFormatting sqref="N16">
    <cfRule type="expression" dxfId="33" priority="33">
      <formula>N$6=1</formula>
    </cfRule>
  </conditionalFormatting>
  <conditionalFormatting sqref="O16">
    <cfRule type="expression" dxfId="32" priority="32">
      <formula>O$6=1</formula>
    </cfRule>
  </conditionalFormatting>
  <conditionalFormatting sqref="P16">
    <cfRule type="expression" dxfId="31" priority="31">
      <formula>P$6=1</formula>
    </cfRule>
  </conditionalFormatting>
  <conditionalFormatting sqref="Q16">
    <cfRule type="expression" dxfId="30" priority="30">
      <formula>Q$6=1</formula>
    </cfRule>
  </conditionalFormatting>
  <conditionalFormatting sqref="R16">
    <cfRule type="expression" dxfId="29" priority="29">
      <formula>R$6=1</formula>
    </cfRule>
  </conditionalFormatting>
  <conditionalFormatting sqref="S16">
    <cfRule type="expression" dxfId="28" priority="28">
      <formula>S$6=1</formula>
    </cfRule>
  </conditionalFormatting>
  <conditionalFormatting sqref="E52:H52">
    <cfRule type="expression" dxfId="27" priority="25">
      <formula>E$6=0</formula>
    </cfRule>
  </conditionalFormatting>
  <conditionalFormatting sqref="I52:S52">
    <cfRule type="expression" dxfId="26" priority="24">
      <formula>I$6=0</formula>
    </cfRule>
  </conditionalFormatting>
  <conditionalFormatting sqref="D52">
    <cfRule type="expression" dxfId="25" priority="23">
      <formula>OR($D$6=0,$E$6=1,$F$6=1,$H$6=1,$I$6=1,$J$6=1,$K$6=1,$M$6=1,$N$6=1,$O$6=1,$P$6=1,$Q$6=1,$R$6=1,$S$6=1)</formula>
    </cfRule>
  </conditionalFormatting>
  <conditionalFormatting sqref="D53">
    <cfRule type="expression" dxfId="24" priority="18">
      <formula>OR($D$6=0,$E$6=1,$F$6=1,$H$6=1,$I$6=1,$J$6=1,$K$6=1,$M$6=1,$N$6=1,$O$6=1,$P$6=1,$Q$6=1,$R$6=1,$S$6=1)</formula>
    </cfRule>
    <cfRule type="expression" dxfId="23" priority="22">
      <formula>$D$6&gt;0</formula>
    </cfRule>
  </conditionalFormatting>
  <conditionalFormatting sqref="E53">
    <cfRule type="expression" dxfId="22" priority="21">
      <formula>E$6&gt;0</formula>
    </cfRule>
  </conditionalFormatting>
  <conditionalFormatting sqref="F53:S53">
    <cfRule type="expression" dxfId="21" priority="20">
      <formula>F$6&gt;0</formula>
    </cfRule>
  </conditionalFormatting>
  <conditionalFormatting sqref="T46:T52">
    <cfRule type="expression" dxfId="20" priority="19">
      <formula>AND($D$6=0,$E$6=0,$F$6=0,$H$6=0,$I$6=0,$J$6=0,$K$6=0,$M$6=0,$N$6=0,$O$6=0,$P$6=0,$Q$6=0,$R$6=0,$S$6=0,$G$6=0,$L$6=0)</formula>
    </cfRule>
  </conditionalFormatting>
  <conditionalFormatting sqref="I31:S31">
    <cfRule type="expression" dxfId="19" priority="16">
      <formula>I$6=0</formula>
    </cfRule>
  </conditionalFormatting>
  <conditionalFormatting sqref="D31">
    <cfRule type="expression" dxfId="18" priority="15">
      <formula>OR($D$6=0,$E$6=1,$F$6=1,$H$6=1,$I$6=1,$J$6=1,$K$6=1,$M$6=1,$N$6=1,$O$6=1,$P$6=1,$Q$6=1,$R$6=1,$S$6=1)</formula>
    </cfRule>
  </conditionalFormatting>
  <conditionalFormatting sqref="T31:T32">
    <cfRule type="expression" dxfId="17" priority="13">
      <formula>AND($D$6=0,$E$6=0,$F$6=0,$H$6=0,$I$6=0,$J$6=0,$K$6=0,$M$6=0,$N$6=0,$O$6=0,$P$6=0,$Q$6=0,$R$6=0,$S$6=0,$G$6=0)</formula>
    </cfRule>
  </conditionalFormatting>
  <conditionalFormatting sqref="D27:D30">
    <cfRule type="expression" dxfId="16" priority="2">
      <formula>OR($D$6=0,$E$6=1,$F$6=1,$H$6=1,$I$6=1,$J$6=1,$K$6=1,$M$6=1,$N$6=1,$O$6=1,$P$6=1,$Q$6=1,$R$6=1,$S$6=1)</formula>
    </cfRule>
  </conditionalFormatting>
  <dataValidations count="2">
    <dataValidation type="list" allowBlank="1" showInputMessage="1" showErrorMessage="1" sqref="D6:S6" xr:uid="{00000000-0002-0000-0200-000000000000}">
      <formula1>"1,0"</formula1>
    </dataValidation>
    <dataValidation type="list" allowBlank="1" showInputMessage="1" showErrorMessage="1" sqref="Y10" xr:uid="{00000000-0002-0000-0200-000001000000}">
      <formula1>"↓"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EA929F49-B7FA-4B52-876C-820BA6D0503B}">
            <xm:f>'1т 3ф'!I$6=0</xm:f>
            <x14:dxf>
              <font>
                <color theme="9" tint="0.79998168889431442"/>
              </font>
            </x14:dxf>
          </x14:cfRule>
          <xm:sqref>I27:S30</xm:sqref>
        </x14:conditionalFormatting>
        <x14:conditionalFormatting xmlns:xm="http://schemas.microsoft.com/office/excel/2006/main">
          <x14:cfRule type="expression" priority="9" id="{16600EAA-5B0A-416B-AFBC-45E7A47EB2F7}">
            <xm:f>AND('1т 3ф'!$D$6=0,'1т 3ф'!$E$6=0,'1т 3ф'!$F$6=0,'1т 3ф'!$H$6=0,'1т 3ф'!$I$6=0,'1т 3ф'!$J$6=0,'1т 3ф'!$K$6=0,'1т 3ф'!$M$6=0,'1т 3ф'!$N$6=0,'1т 3ф'!$O$6=0,'1т 3ф'!$P$6=0,'1т 3ф'!$Q$6=0,'1т 3ф'!$R$6=0,'1т 3ф'!$S$6=0,'1т 3ф'!$G$6=0)</xm:f>
            <x14:dxf>
              <font>
                <color theme="9" tint="0.79998168889431442"/>
              </font>
            </x14:dxf>
          </x14:cfRule>
          <xm:sqref>T28:T30</xm:sqref>
        </x14:conditionalFormatting>
        <x14:conditionalFormatting xmlns:xm="http://schemas.microsoft.com/office/excel/2006/main">
          <x14:cfRule type="expression" priority="5" id="{3DDCB53D-1EEC-411A-AC31-2CF292C54EF3}">
            <xm:f>AND('1т 3ф'!$D$6=0,'1т 3ф'!$E$6=0,'1т 3ф'!$F$6=0,'1т 3ф'!$H$6=0,'1т 3ф'!$I$6=0,'1т 3ф'!$J$6=0,'1т 3ф'!$K$6=0,'1т 3ф'!$M$6=0,'1т 3ф'!$N$6=0,'1т 3ф'!$O$6=0,'1т 3ф'!$P$6=0,'1т 3ф'!$Q$6=0,'1т 3ф'!$R$6=0,'1т 3ф'!$S$6=0,'1т 3ф'!$G$6=0)</xm:f>
            <x14:dxf>
              <font>
                <color theme="9" tint="0.79998168889431442"/>
              </font>
            </x14:dxf>
          </x14:cfRule>
          <xm:sqref>T27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23"/>
  <sheetViews>
    <sheetView showGridLines="0" showZeros="0" workbookViewId="0">
      <selection activeCell="B3" sqref="B3"/>
    </sheetView>
  </sheetViews>
  <sheetFormatPr defaultColWidth="9.109375" defaultRowHeight="15.6" x14ac:dyDescent="0.3"/>
  <cols>
    <col min="1" max="1" width="1.5546875" style="389" customWidth="1"/>
    <col min="2" max="2" width="34.88671875" style="389" bestFit="1" customWidth="1"/>
    <col min="3" max="3" width="12.88671875" style="544" bestFit="1" customWidth="1"/>
    <col min="4" max="4" width="10.88671875" style="389" customWidth="1"/>
    <col min="5" max="5" width="12.88671875" style="389" hidden="1" customWidth="1"/>
    <col min="6" max="6" width="10" style="389" customWidth="1"/>
    <col min="7" max="7" width="10.5546875" style="389" customWidth="1"/>
    <col min="8" max="8" width="10.5546875" style="389" hidden="1" customWidth="1"/>
    <col min="9" max="9" width="10.5546875" style="389" customWidth="1"/>
    <col min="10" max="10" width="9.109375" style="389" customWidth="1"/>
    <col min="11" max="11" width="9.109375" style="389" hidden="1" customWidth="1"/>
    <col min="12" max="12" width="12.44140625" style="389" customWidth="1"/>
    <col min="13" max="13" width="9" style="125" bestFit="1" customWidth="1"/>
    <col min="14" max="14" width="11" style="5" customWidth="1"/>
    <col min="15" max="16384" width="9.109375" style="389"/>
  </cols>
  <sheetData>
    <row r="1" spans="2:16" ht="20.399999999999999" x14ac:dyDescent="0.3">
      <c r="B1" s="667" t="s">
        <v>379</v>
      </c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</row>
    <row r="2" spans="2:16" ht="13.8" x14ac:dyDescent="0.3">
      <c r="B2" s="668" t="s">
        <v>576</v>
      </c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</row>
    <row r="3" spans="2:16" x14ac:dyDescent="0.3">
      <c r="B3" s="389" t="s">
        <v>573</v>
      </c>
      <c r="N3" s="565">
        <f ca="1">TODAY()</f>
        <v>43979</v>
      </c>
    </row>
    <row r="4" spans="2:16" ht="30.75" customHeight="1" x14ac:dyDescent="0.3">
      <c r="B4" s="573"/>
      <c r="C4" s="574"/>
      <c r="D4" s="676" t="s">
        <v>44</v>
      </c>
      <c r="E4" s="677"/>
      <c r="F4" s="677"/>
      <c r="G4" s="677"/>
      <c r="H4" s="677"/>
      <c r="I4" s="677"/>
      <c r="J4" s="677"/>
      <c r="K4" s="677"/>
      <c r="L4" s="677"/>
      <c r="M4" s="677"/>
      <c r="N4" s="678"/>
    </row>
    <row r="5" spans="2:16" ht="30" customHeight="1" x14ac:dyDescent="0.3">
      <c r="B5" s="575"/>
      <c r="C5" s="576"/>
      <c r="D5" s="670" t="s">
        <v>551</v>
      </c>
      <c r="E5" s="670"/>
      <c r="F5" s="670"/>
      <c r="G5" s="670" t="s">
        <v>483</v>
      </c>
      <c r="H5" s="670"/>
      <c r="I5" s="670"/>
      <c r="J5" s="670" t="s">
        <v>555</v>
      </c>
      <c r="K5" s="670"/>
      <c r="L5" s="670"/>
      <c r="M5" s="672" t="s">
        <v>12</v>
      </c>
      <c r="N5" s="673"/>
    </row>
    <row r="6" spans="2:16" ht="42.75" customHeight="1" x14ac:dyDescent="0.3">
      <c r="B6" s="669" t="s">
        <v>561</v>
      </c>
      <c r="C6" s="669"/>
      <c r="D6" s="671">
        <v>30240</v>
      </c>
      <c r="E6" s="671"/>
      <c r="F6" s="671"/>
      <c r="G6" s="671">
        <f>SUMIFS(ЗП!L9:L33,ЗП!B9:B33,"СЦ",ЗП!C9:C33,"Ремонтник")*60</f>
        <v>100800</v>
      </c>
      <c r="H6" s="671"/>
      <c r="I6" s="671"/>
      <c r="J6" s="671">
        <f>SUMIFS(ЗП!L9:L33,ЗП!B9:B33,"СЦ",ЗП!C9:C33,"приемщица")*60</f>
        <v>20160</v>
      </c>
      <c r="K6" s="671"/>
      <c r="L6" s="671"/>
      <c r="M6" s="674">
        <f>SUM(D6:L6)</f>
        <v>151200</v>
      </c>
      <c r="N6" s="675"/>
    </row>
    <row r="7" spans="2:16" ht="31.2" x14ac:dyDescent="0.3">
      <c r="B7" s="126" t="s">
        <v>553</v>
      </c>
      <c r="C7" s="547" t="s">
        <v>556</v>
      </c>
      <c r="D7" s="126" t="s">
        <v>550</v>
      </c>
      <c r="E7" s="121"/>
      <c r="F7" s="127" t="s">
        <v>552</v>
      </c>
      <c r="G7" s="126" t="s">
        <v>550</v>
      </c>
      <c r="H7" s="121"/>
      <c r="I7" s="127" t="s">
        <v>552</v>
      </c>
      <c r="J7" s="126" t="s">
        <v>550</v>
      </c>
      <c r="K7" s="121"/>
      <c r="L7" s="561" t="s">
        <v>552</v>
      </c>
      <c r="M7" s="126" t="s">
        <v>550</v>
      </c>
      <c r="N7" s="566" t="s">
        <v>552</v>
      </c>
    </row>
    <row r="8" spans="2:16" x14ac:dyDescent="0.3">
      <c r="B8" s="537" t="s">
        <v>549</v>
      </c>
      <c r="C8" s="545">
        <f>Лист1!D4</f>
        <v>0.41141466053556935</v>
      </c>
      <c r="D8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</f>
        <v>6.2000000000000011</v>
      </c>
      <c r="E8" s="539">
        <f>$C8*D8*100</f>
        <v>255.07708953205307</v>
      </c>
      <c r="F8" s="540">
        <f t="shared" ref="F8:F17" si="0">$E$19*C8</f>
        <v>2042.9913951915673</v>
      </c>
      <c r="G8" s="538">
        <f>(SUMIF(Таблица5[Наименование операции]," - замена DA1",Таблица5[К-во])+SUMIF(Таблица5[Наименование операции],"Юстировка",Таблица5[К-во]))</f>
        <v>2.66</v>
      </c>
      <c r="H8" s="539">
        <f>$C8*G8*100</f>
        <v>109.43629970246145</v>
      </c>
      <c r="I8" s="540">
        <f>$H$19*C8</f>
        <v>17979.271573348095</v>
      </c>
      <c r="J8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8" s="539">
        <f>$C8*J8*100</f>
        <v>27.976196916418711</v>
      </c>
      <c r="L8" s="562">
        <f>$K$19*C8</f>
        <v>12197.234641760408</v>
      </c>
      <c r="M8" s="541">
        <f>D8+G8+J8</f>
        <v>9.5400000000000009</v>
      </c>
      <c r="N8" s="567">
        <f>MIN(F8,I8,L8)</f>
        <v>2042.9913951915673</v>
      </c>
      <c r="P8" s="227"/>
    </row>
    <row r="9" spans="2:16" x14ac:dyDescent="0.3">
      <c r="B9" s="537" t="s">
        <v>530</v>
      </c>
      <c r="C9" s="545">
        <f>Лист1!D11</f>
        <v>6.3565052745469294E-2</v>
      </c>
      <c r="D9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кожух",Таблица5[К-во])</f>
        <v>6.6500000000000012</v>
      </c>
      <c r="E9" s="539">
        <f t="shared" ref="E9:E17" si="1">$C9*D9*100</f>
        <v>42.270760075737087</v>
      </c>
      <c r="F9" s="540">
        <f t="shared" si="0"/>
        <v>315.64955809994626</v>
      </c>
      <c r="G9" s="538">
        <f>(SUMIF(Таблица5[Наименование операции]," - замена DA1",Таблица5[К-во])+SUMIF(Таблица5[Наименование операции],"Юстировка",Таблица5[К-во]))</f>
        <v>2.66</v>
      </c>
      <c r="H9" s="539">
        <f t="shared" ref="H9:H17" si="2">$C9*G9*100</f>
        <v>16.908304030294833</v>
      </c>
      <c r="I9" s="540">
        <f t="shared" ref="I9:I17" si="3">$H$19*C9</f>
        <v>2777.8624718848141</v>
      </c>
      <c r="J9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9" s="539">
        <f t="shared" ref="K9:K17" si="4">$C9*J9*100</f>
        <v>4.3224235866919116</v>
      </c>
      <c r="L9" s="562">
        <f t="shared" ref="L9:L17" si="5">$K$19*C9</f>
        <v>1884.5168578656778</v>
      </c>
      <c r="M9" s="541">
        <f t="shared" ref="M9:M17" si="6">D9+G9+J9</f>
        <v>9.990000000000002</v>
      </c>
      <c r="N9" s="567">
        <f t="shared" ref="N9:N18" si="7">MIN(F9,I9,L9)</f>
        <v>315.64955809994626</v>
      </c>
    </row>
    <row r="10" spans="2:16" x14ac:dyDescent="0.3">
      <c r="B10" s="474" t="s">
        <v>531</v>
      </c>
      <c r="C10" s="545">
        <f>Лист1!D18</f>
        <v>2.2315390857451989E-2</v>
      </c>
      <c r="D10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кожух",Таблица5[К-во])+SUMIF(Таблица5[Наименование операции]," - цоколь",Таблица5[К-во])</f>
        <v>8.7500000000000018</v>
      </c>
      <c r="E10" s="539">
        <f t="shared" si="1"/>
        <v>19.525967000270494</v>
      </c>
      <c r="F10" s="540">
        <f t="shared" si="0"/>
        <v>110.8131427372152</v>
      </c>
      <c r="G10" s="538">
        <f>(SUMIF(Таблица5[Наименование операции]," - замена DA1",Таблица5[К-во])+SUMIF(Таблица5[Наименование операции],"Юстировка",Таблица5[К-во]))</f>
        <v>2.66</v>
      </c>
      <c r="H10" s="539">
        <f t="shared" si="2"/>
        <v>5.9358939680822296</v>
      </c>
      <c r="I10" s="540">
        <f t="shared" si="3"/>
        <v>975.20703800211561</v>
      </c>
      <c r="J10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0" s="539">
        <f t="shared" si="4"/>
        <v>1.517446578306735</v>
      </c>
      <c r="L10" s="562">
        <f t="shared" si="5"/>
        <v>661.58570542092946</v>
      </c>
      <c r="M10" s="541">
        <f t="shared" si="6"/>
        <v>12.090000000000002</v>
      </c>
      <c r="N10" s="567">
        <f t="shared" si="7"/>
        <v>110.8131427372152</v>
      </c>
    </row>
    <row r="11" spans="2:16" x14ac:dyDescent="0.3">
      <c r="B11" s="474" t="s">
        <v>532</v>
      </c>
      <c r="C11" s="545">
        <f>Лист1!D19</f>
        <v>5.1528266161752774E-2</v>
      </c>
      <c r="D11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</f>
        <v>6.2000000000000011</v>
      </c>
      <c r="E11" s="539">
        <f t="shared" si="1"/>
        <v>31.947525020286726</v>
      </c>
      <c r="F11" s="540">
        <f t="shared" si="0"/>
        <v>255.87762050229691</v>
      </c>
      <c r="G11" s="538">
        <f>(SUMIF(Таблица5[Наименование операции]," - замена DA1",Таблица5[К-во])+SUMIF(Таблица5[Наименование операции],"Юстировка",Таблица5[К-во]))+SUMIF(Таблица5[Наименование операции]," - замена C19",Таблица5[К-во])</f>
        <v>3.43</v>
      </c>
      <c r="H11" s="539">
        <f t="shared" si="2"/>
        <v>17.674195293481201</v>
      </c>
      <c r="I11" s="540">
        <f t="shared" si="3"/>
        <v>2251.8417059321578</v>
      </c>
      <c r="J11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1" s="539">
        <f t="shared" si="4"/>
        <v>3.5039220989991882</v>
      </c>
      <c r="L11" s="562">
        <f t="shared" si="5"/>
        <v>1527.6615379719644</v>
      </c>
      <c r="M11" s="541">
        <f t="shared" si="6"/>
        <v>10.31</v>
      </c>
      <c r="N11" s="567">
        <f t="shared" si="7"/>
        <v>255.87762050229691</v>
      </c>
    </row>
    <row r="12" spans="2:16" x14ac:dyDescent="0.3">
      <c r="B12" s="474" t="s">
        <v>533</v>
      </c>
      <c r="C12" s="545">
        <f>Лист1!D20</f>
        <v>7.519610494995943E-2</v>
      </c>
      <c r="D12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</f>
        <v>6.2000000000000011</v>
      </c>
      <c r="E12" s="539">
        <f t="shared" si="1"/>
        <v>46.621585068974852</v>
      </c>
      <c r="F12" s="540">
        <f t="shared" si="0"/>
        <v>373.40671128419183</v>
      </c>
      <c r="G12" s="538">
        <f>(SUMIF(Таблица5[Наименование операции]," - замена C19",Таблица5[К-во])+SUMIF(Таблица5[Наименование операции],"Юстировка",Таблица5[К-во]))</f>
        <v>1.78</v>
      </c>
      <c r="H12" s="539">
        <f t="shared" si="2"/>
        <v>13.384906681092779</v>
      </c>
      <c r="I12" s="540">
        <f t="shared" si="3"/>
        <v>3286.1522007828867</v>
      </c>
      <c r="J12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2" s="539">
        <f t="shared" si="4"/>
        <v>5.1133351365972404</v>
      </c>
      <c r="L12" s="562">
        <f t="shared" si="5"/>
        <v>2229.3433467517384</v>
      </c>
      <c r="M12" s="541">
        <f t="shared" si="6"/>
        <v>8.6600000000000019</v>
      </c>
      <c r="N12" s="567">
        <f t="shared" si="7"/>
        <v>373.40671128419183</v>
      </c>
    </row>
    <row r="13" spans="2:16" x14ac:dyDescent="0.3">
      <c r="B13" s="474" t="s">
        <v>534</v>
      </c>
      <c r="C13" s="545">
        <f>Лист1!D21</f>
        <v>3.1782526372734647E-2</v>
      </c>
      <c r="D13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</f>
        <v>6.2000000000000011</v>
      </c>
      <c r="E13" s="539">
        <f t="shared" si="1"/>
        <v>19.705166351095485</v>
      </c>
      <c r="F13" s="540">
        <f t="shared" si="0"/>
        <v>157.82477904997313</v>
      </c>
      <c r="G13" s="538">
        <f>(SUMIF(Таблица5[Наименование операции]," - замена C19",Таблица5[К-во])+SUMIF(Таблица5[Наименование операции],"Юстировка",Таблица5[К-во]))+SUMIF(Таблица5[Наименование операции]," - замена HL2",Таблица5[К-во])</f>
        <v>2.2599999999999998</v>
      </c>
      <c r="H13" s="539">
        <f t="shared" si="2"/>
        <v>7.1828509602380297</v>
      </c>
      <c r="I13" s="540">
        <f t="shared" si="3"/>
        <v>1388.9312359424071</v>
      </c>
      <c r="J13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3" s="539">
        <f t="shared" si="4"/>
        <v>2.1612117933459558</v>
      </c>
      <c r="L13" s="562">
        <f t="shared" si="5"/>
        <v>942.25842893283891</v>
      </c>
      <c r="M13" s="541">
        <f t="shared" si="6"/>
        <v>9.14</v>
      </c>
      <c r="N13" s="567">
        <f t="shared" si="7"/>
        <v>157.82477904997313</v>
      </c>
    </row>
    <row r="14" spans="2:16" x14ac:dyDescent="0.3">
      <c r="B14" s="474" t="s">
        <v>535</v>
      </c>
      <c r="C14" s="545">
        <f>Лист1!D22</f>
        <v>3.0700568028130915E-2</v>
      </c>
      <c r="D14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клемная колодка",Таблица5[К-во])</f>
        <v>12.5</v>
      </c>
      <c r="E14" s="539">
        <f t="shared" si="1"/>
        <v>38.37571003516365</v>
      </c>
      <c r="F14" s="540">
        <f t="shared" si="0"/>
        <v>152.45202061422938</v>
      </c>
      <c r="G14" s="538">
        <f>SUMIF(Таблица5[Наименование операции],"Юстировка",Таблица5[К-во])</f>
        <v>1.01</v>
      </c>
      <c r="H14" s="539">
        <f t="shared" si="2"/>
        <v>3.1007573708412224</v>
      </c>
      <c r="I14" s="540">
        <f t="shared" si="3"/>
        <v>1341.6484704635166</v>
      </c>
      <c r="J14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4" s="539">
        <f t="shared" si="4"/>
        <v>2.0876386259129021</v>
      </c>
      <c r="L14" s="562">
        <f t="shared" si="5"/>
        <v>910.18154624576357</v>
      </c>
      <c r="M14" s="541">
        <f t="shared" si="6"/>
        <v>14.19</v>
      </c>
      <c r="N14" s="567">
        <f t="shared" si="7"/>
        <v>152.45202061422938</v>
      </c>
    </row>
    <row r="15" spans="2:16" x14ac:dyDescent="0.3">
      <c r="B15" s="474" t="s">
        <v>536</v>
      </c>
      <c r="C15" s="545">
        <f>Лист1!D23</f>
        <v>6.0319177711658102E-2</v>
      </c>
      <c r="D15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</f>
        <v>6.2000000000000011</v>
      </c>
      <c r="E15" s="539">
        <f t="shared" si="1"/>
        <v>37.397890181228028</v>
      </c>
      <c r="F15" s="540">
        <f t="shared" si="0"/>
        <v>299.53128279271499</v>
      </c>
      <c r="G15" s="538">
        <f>(SUMIF(Таблица5[Наименование операции]," - замена платы",Таблица5[К-во])+SUMIF(Таблица5[Наименование операции],"Юстировка",Таблица5[К-во]))</f>
        <v>4.25</v>
      </c>
      <c r="H15" s="539">
        <f t="shared" si="2"/>
        <v>25.635650527454697</v>
      </c>
      <c r="I15" s="540">
        <f t="shared" si="3"/>
        <v>2636.0141754481429</v>
      </c>
      <c r="J15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5" s="539">
        <f t="shared" si="4"/>
        <v>4.1017040843927512</v>
      </c>
      <c r="L15" s="562">
        <f t="shared" si="5"/>
        <v>1788.2862098044518</v>
      </c>
      <c r="M15" s="541">
        <f t="shared" si="6"/>
        <v>11.13</v>
      </c>
      <c r="N15" s="567">
        <f t="shared" si="7"/>
        <v>299.53128279271499</v>
      </c>
    </row>
    <row r="16" spans="2:16" x14ac:dyDescent="0.3">
      <c r="B16" s="474" t="s">
        <v>537</v>
      </c>
      <c r="C16" s="545">
        <f>Лист1!D24</f>
        <v>1.7987557479037058E-2</v>
      </c>
      <c r="D16" s="538">
        <f>SUMIF(Таблица5[Наименование операции],"Разборка",Таблица5[К-во])+SUMIF(Таблица5[Наименование операции],"Сборка",Таблица5[К-во])+SUMIF(Таблица5[Наименование операции],"Очистка",Таблица5[К-во])+SUMIF(Таблица5[Наименование операции],"Вязка пломб",Таблица5[К-во])+SUMIF(Таблица5[Наименование операции]," - кожух",Таблица5[К-во])+SUMIF(Таблица5[Наименование операции]," - цоколь",Таблица5[К-во])</f>
        <v>8.7500000000000018</v>
      </c>
      <c r="E16" s="539">
        <f t="shared" si="1"/>
        <v>15.739112794157428</v>
      </c>
      <c r="F16" s="540">
        <f t="shared" si="0"/>
        <v>89.322108994240125</v>
      </c>
      <c r="G16" s="538">
        <f>(SUMIF(Таблица5[Наименование операции]," - замена платы",Таблица5[К-во])+SUMIF(Таблица5[Наименование операции],"Юстировка",Таблица5[К-во]))</f>
        <v>4.25</v>
      </c>
      <c r="H16" s="539">
        <f t="shared" si="2"/>
        <v>7.6447119285907501</v>
      </c>
      <c r="I16" s="540">
        <f t="shared" si="3"/>
        <v>786.07597608655385</v>
      </c>
      <c r="J16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6" s="539">
        <f t="shared" si="4"/>
        <v>1.2231539085745198</v>
      </c>
      <c r="L16" s="562">
        <f t="shared" si="5"/>
        <v>533.27817467262798</v>
      </c>
      <c r="M16" s="541">
        <f t="shared" si="6"/>
        <v>13.680000000000001</v>
      </c>
      <c r="N16" s="567">
        <f t="shared" si="7"/>
        <v>89.322108994240125</v>
      </c>
    </row>
    <row r="17" spans="2:14" x14ac:dyDescent="0.3">
      <c r="B17" s="474" t="s">
        <v>538</v>
      </c>
      <c r="C17" s="545">
        <f>Лист1!D25</f>
        <v>0.2351906951582364</v>
      </c>
      <c r="D17" s="538">
        <f>SUMIF(Таблица5[Наименование операции],"Очистка",Таблица5[К-во])+SUMIF(Таблица5[Наименование операции],"Вязка пломб",Таблица5[К-во])</f>
        <v>4.3500000000000005</v>
      </c>
      <c r="E17" s="539">
        <f t="shared" si="1"/>
        <v>102.30795239383286</v>
      </c>
      <c r="F17" s="540">
        <f t="shared" si="0"/>
        <v>1167.9033649698013</v>
      </c>
      <c r="G17" s="538">
        <f>SUMIF(Таблица5[Наименование операции],"Юстировка",Таблица5[К-во])</f>
        <v>1.01</v>
      </c>
      <c r="H17" s="539">
        <f t="shared" si="2"/>
        <v>23.754260210981876</v>
      </c>
      <c r="I17" s="540">
        <f t="shared" si="3"/>
        <v>10278.091145973813</v>
      </c>
      <c r="J17" s="121">
        <f>SUMIF(Таблица5[Наименование операции],"Распаковка",Таблица5[К-во])+SUMIF(Таблица5[Наименование операции],"Сканирование (регистрация)",Таблица5[К-во])+SUMIF(Таблица5[Наименование операции],"Сортировка",Таблица5[К-во])+SUMIF(Таблица5[Наименование операции],"Отгрузка",Таблица5[К-во])</f>
        <v>0.67999999999999994</v>
      </c>
      <c r="K17" s="539">
        <f t="shared" si="4"/>
        <v>15.992967270760076</v>
      </c>
      <c r="L17" s="562">
        <f t="shared" si="5"/>
        <v>6972.7123741030082</v>
      </c>
      <c r="M17" s="541">
        <f t="shared" si="6"/>
        <v>6.04</v>
      </c>
      <c r="N17" s="567">
        <f t="shared" si="7"/>
        <v>1167.9033649698013</v>
      </c>
    </row>
    <row r="18" spans="2:14" s="213" customFormat="1" x14ac:dyDescent="0.3">
      <c r="B18" s="396" t="s">
        <v>12</v>
      </c>
      <c r="C18" s="546">
        <f>SUM(C8:C17)</f>
        <v>0.99999999999999989</v>
      </c>
      <c r="D18" s="541" t="s">
        <v>70</v>
      </c>
      <c r="E18" s="542">
        <f>SUM(E8:E17)/100</f>
        <v>6.0896875845279972</v>
      </c>
      <c r="F18" s="569">
        <f>SUM(F8:F17)</f>
        <v>4965.7719842361757</v>
      </c>
      <c r="G18" s="541" t="s">
        <v>70</v>
      </c>
      <c r="H18" s="542">
        <f>SUM(H8:H17)/100</f>
        <v>2.3065783067351906</v>
      </c>
      <c r="I18" s="543">
        <f>SUM(I8:I17)</f>
        <v>43701.095993864503</v>
      </c>
      <c r="J18" s="129" t="s">
        <v>70</v>
      </c>
      <c r="K18" s="542">
        <f>SUM(K8:K17)/100</f>
        <v>0.68</v>
      </c>
      <c r="L18" s="563">
        <f>SUM(L8:L17)</f>
        <v>29647.058823529413</v>
      </c>
      <c r="M18" s="564" t="s">
        <v>70</v>
      </c>
      <c r="N18" s="570">
        <f t="shared" si="7"/>
        <v>4965.7719842361757</v>
      </c>
    </row>
    <row r="19" spans="2:14" hidden="1" x14ac:dyDescent="0.3">
      <c r="E19" s="390">
        <f>D6/E18</f>
        <v>4965.7719842361766</v>
      </c>
      <c r="G19" s="89"/>
      <c r="H19" s="390">
        <f>G6/H18</f>
        <v>43701.095993864503</v>
      </c>
      <c r="K19" s="390">
        <f>J6/K18</f>
        <v>29647.058823529409</v>
      </c>
      <c r="M19" s="129"/>
      <c r="N19" s="568"/>
    </row>
    <row r="20" spans="2:14" ht="36.75" customHeight="1" x14ac:dyDescent="0.3">
      <c r="B20" s="679" t="s">
        <v>565</v>
      </c>
      <c r="C20" s="679"/>
      <c r="D20" s="666">
        <f>SUMPRODUCT(D8:D17,F8:F17)</f>
        <v>30239.999999999996</v>
      </c>
      <c r="E20" s="666"/>
      <c r="F20" s="666"/>
      <c r="G20" s="666">
        <f>SUMPRODUCT(G8:G17,F8:F17)</f>
        <v>11453.941935032528</v>
      </c>
      <c r="H20" s="666"/>
      <c r="I20" s="666"/>
      <c r="J20" s="666">
        <f>SUMPRODUCT(J8:J17,F8:F17)</f>
        <v>3376.7249492806</v>
      </c>
      <c r="K20" s="666"/>
      <c r="L20" s="666"/>
      <c r="M20" s="664">
        <f>SUM(D20:L20)</f>
        <v>45070.666884313127</v>
      </c>
      <c r="N20" s="665"/>
    </row>
    <row r="21" spans="2:14" ht="22.5" customHeight="1" x14ac:dyDescent="0.3">
      <c r="B21" s="680" t="s">
        <v>554</v>
      </c>
      <c r="C21" s="571" t="s">
        <v>558</v>
      </c>
      <c r="D21" s="681">
        <f>D6-D20</f>
        <v>0</v>
      </c>
      <c r="E21" s="680"/>
      <c r="F21" s="680"/>
      <c r="G21" s="681">
        <f>G6-G20</f>
        <v>89346.058064967467</v>
      </c>
      <c r="H21" s="680"/>
      <c r="I21" s="680"/>
      <c r="J21" s="681">
        <f>J6-J20</f>
        <v>16783.2750507194</v>
      </c>
      <c r="K21" s="680"/>
      <c r="L21" s="680"/>
      <c r="M21" s="682">
        <f>M6-M20</f>
        <v>106129.33311568687</v>
      </c>
      <c r="N21" s="683"/>
    </row>
    <row r="22" spans="2:14" ht="22.5" customHeight="1" x14ac:dyDescent="0.3">
      <c r="B22" s="680"/>
      <c r="C22" s="572" t="s">
        <v>559</v>
      </c>
      <c r="D22" s="680">
        <f>D21/60</f>
        <v>0</v>
      </c>
      <c r="E22" s="680"/>
      <c r="F22" s="680"/>
      <c r="G22" s="681">
        <f>G21/60</f>
        <v>1489.1009677494578</v>
      </c>
      <c r="H22" s="681"/>
      <c r="I22" s="681"/>
      <c r="J22" s="681">
        <f>J21/60</f>
        <v>279.72125084532331</v>
      </c>
      <c r="K22" s="681"/>
      <c r="L22" s="681"/>
      <c r="M22" s="682">
        <f>M21/60</f>
        <v>1768.8222185947811</v>
      </c>
      <c r="N22" s="682"/>
    </row>
    <row r="23" spans="2:14" ht="22.5" customHeight="1" x14ac:dyDescent="0.3">
      <c r="B23" s="680"/>
      <c r="C23" s="572" t="s">
        <v>560</v>
      </c>
      <c r="D23" s="680"/>
      <c r="E23" s="680"/>
      <c r="F23" s="680"/>
      <c r="G23" s="684">
        <f>G22/8/21</f>
        <v>8.863696236603916</v>
      </c>
      <c r="H23" s="684"/>
      <c r="I23" s="684"/>
      <c r="J23" s="684">
        <f>J22/8/21</f>
        <v>1.6650074455078769</v>
      </c>
      <c r="K23" s="684"/>
      <c r="L23" s="684"/>
      <c r="M23" s="685">
        <f>M22/8/21</f>
        <v>10.528703682111793</v>
      </c>
      <c r="N23" s="685"/>
    </row>
  </sheetData>
  <mergeCells count="30">
    <mergeCell ref="D20:F20"/>
    <mergeCell ref="B21:B23"/>
    <mergeCell ref="D22:F22"/>
    <mergeCell ref="G22:I22"/>
    <mergeCell ref="M21:N21"/>
    <mergeCell ref="D21:F21"/>
    <mergeCell ref="G21:I21"/>
    <mergeCell ref="M22:N22"/>
    <mergeCell ref="D23:F23"/>
    <mergeCell ref="G23:I23"/>
    <mergeCell ref="J23:L23"/>
    <mergeCell ref="M23:N23"/>
    <mergeCell ref="J21:L21"/>
    <mergeCell ref="J22:L22"/>
    <mergeCell ref="M20:N20"/>
    <mergeCell ref="G20:I20"/>
    <mergeCell ref="B1:N1"/>
    <mergeCell ref="B2:N2"/>
    <mergeCell ref="B6:C6"/>
    <mergeCell ref="D5:F5"/>
    <mergeCell ref="D6:F6"/>
    <mergeCell ref="G5:I5"/>
    <mergeCell ref="G6:I6"/>
    <mergeCell ref="M5:N5"/>
    <mergeCell ref="M6:N6"/>
    <mergeCell ref="D4:N4"/>
    <mergeCell ref="J5:L5"/>
    <mergeCell ref="J6:L6"/>
    <mergeCell ref="J20:L20"/>
    <mergeCell ref="B20:C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8"/>
  <sheetViews>
    <sheetView zoomScale="90" zoomScaleNormal="90" workbookViewId="0">
      <pane ySplit="4" topLeftCell="A5" activePane="bottomLeft" state="frozen"/>
      <selection pane="bottomLeft" activeCell="C10" sqref="C10"/>
    </sheetView>
  </sheetViews>
  <sheetFormatPr defaultColWidth="9.109375" defaultRowHeight="13.8" outlineLevelCol="1" x14ac:dyDescent="0.3"/>
  <cols>
    <col min="1" max="1" width="7.44140625" style="1" bestFit="1" customWidth="1"/>
    <col min="2" max="3" width="11.6640625" style="1" customWidth="1"/>
    <col min="4" max="4" width="33.33203125" style="96" bestFit="1" customWidth="1"/>
    <col min="5" max="5" width="11.6640625" style="2" customWidth="1"/>
    <col min="6" max="6" width="17.6640625" style="2" customWidth="1" outlineLevel="1"/>
    <col min="7" max="7" width="15.88671875" style="2" customWidth="1" outlineLevel="1"/>
    <col min="8" max="9" width="12.5546875" style="2" customWidth="1" outlineLevel="1"/>
    <col min="10" max="10" width="11.6640625" style="89" customWidth="1"/>
    <col min="11" max="16384" width="9.109375" style="2"/>
  </cols>
  <sheetData>
    <row r="1" spans="1:13" ht="20.399999999999999" x14ac:dyDescent="0.3">
      <c r="A1" s="689" t="s">
        <v>562</v>
      </c>
      <c r="B1" s="689"/>
      <c r="C1" s="689"/>
      <c r="D1" s="689"/>
      <c r="E1" s="689"/>
      <c r="F1" s="689"/>
      <c r="G1" s="689"/>
      <c r="H1" s="689"/>
      <c r="I1" s="689"/>
      <c r="J1" s="689"/>
    </row>
    <row r="2" spans="1:13" ht="15.6" x14ac:dyDescent="0.3">
      <c r="A2" s="690" t="s">
        <v>563</v>
      </c>
      <c r="B2" s="690"/>
      <c r="C2" s="690"/>
      <c r="D2" s="690"/>
      <c r="E2" s="690"/>
      <c r="F2" s="690"/>
      <c r="G2" s="690"/>
      <c r="H2" s="690"/>
      <c r="I2" s="690"/>
      <c r="J2" s="690"/>
    </row>
    <row r="3" spans="1:13" ht="22.5" customHeight="1" x14ac:dyDescent="0.3">
      <c r="A3" s="686" t="s">
        <v>572</v>
      </c>
      <c r="B3" s="686"/>
      <c r="C3" s="686"/>
      <c r="D3" s="686"/>
      <c r="E3" s="686"/>
      <c r="F3" s="687">
        <f ca="1">TODAY()</f>
        <v>43979</v>
      </c>
      <c r="G3" s="688"/>
      <c r="H3" s="688"/>
      <c r="I3" s="688"/>
      <c r="J3" s="688"/>
    </row>
    <row r="4" spans="1:13" ht="29.25" customHeight="1" x14ac:dyDescent="0.3">
      <c r="A4" s="363" t="s">
        <v>31</v>
      </c>
      <c r="B4" s="363" t="s">
        <v>543</v>
      </c>
      <c r="C4" s="363" t="s">
        <v>564</v>
      </c>
      <c r="D4" s="364" t="s">
        <v>89</v>
      </c>
      <c r="E4" s="364" t="s">
        <v>90</v>
      </c>
      <c r="F4" s="366" t="s">
        <v>542</v>
      </c>
      <c r="G4" s="366" t="s">
        <v>475</v>
      </c>
      <c r="H4" s="366" t="s">
        <v>476</v>
      </c>
      <c r="I4" s="366" t="s">
        <v>477</v>
      </c>
      <c r="J4" s="365" t="s">
        <v>11</v>
      </c>
      <c r="M4" s="109"/>
    </row>
    <row r="5" spans="1:13" x14ac:dyDescent="0.3">
      <c r="A5" s="356">
        <v>1</v>
      </c>
      <c r="B5" s="357" t="s">
        <v>544</v>
      </c>
      <c r="C5" s="357" t="s">
        <v>247</v>
      </c>
      <c r="D5" s="98" t="s">
        <v>88</v>
      </c>
      <c r="E5" s="97" t="s">
        <v>118</v>
      </c>
      <c r="F5" s="367" t="s">
        <v>363</v>
      </c>
      <c r="G5" s="367" t="s">
        <v>363</v>
      </c>
      <c r="H5" s="367" t="s">
        <v>363</v>
      </c>
      <c r="I5" s="367" t="s">
        <v>363</v>
      </c>
      <c r="J5" s="358">
        <v>0.37</v>
      </c>
    </row>
    <row r="6" spans="1:13" x14ac:dyDescent="0.3">
      <c r="A6" s="356">
        <v>2</v>
      </c>
      <c r="B6" s="357" t="s">
        <v>544</v>
      </c>
      <c r="C6" s="357" t="s">
        <v>247</v>
      </c>
      <c r="D6" s="98" t="s">
        <v>91</v>
      </c>
      <c r="E6" s="97" t="s">
        <v>118</v>
      </c>
      <c r="F6" s="367" t="s">
        <v>363</v>
      </c>
      <c r="G6" s="367" t="s">
        <v>363</v>
      </c>
      <c r="H6" s="367" t="s">
        <v>363</v>
      </c>
      <c r="I6" s="367" t="s">
        <v>363</v>
      </c>
      <c r="J6" s="358">
        <v>0.15</v>
      </c>
    </row>
    <row r="7" spans="1:13" x14ac:dyDescent="0.3">
      <c r="A7" s="356">
        <v>3</v>
      </c>
      <c r="B7" s="357" t="s">
        <v>544</v>
      </c>
      <c r="C7" s="357" t="s">
        <v>247</v>
      </c>
      <c r="D7" s="98" t="s">
        <v>92</v>
      </c>
      <c r="E7" s="97" t="s">
        <v>118</v>
      </c>
      <c r="F7" s="367" t="s">
        <v>363</v>
      </c>
      <c r="G7" s="367" t="s">
        <v>363</v>
      </c>
      <c r="H7" s="367" t="s">
        <v>363</v>
      </c>
      <c r="I7" s="367" t="s">
        <v>363</v>
      </c>
      <c r="J7" s="358">
        <v>0.08</v>
      </c>
    </row>
    <row r="8" spans="1:13" x14ac:dyDescent="0.3">
      <c r="A8" s="356">
        <v>4</v>
      </c>
      <c r="B8" s="356" t="s">
        <v>547</v>
      </c>
      <c r="C8" s="357" t="s">
        <v>247</v>
      </c>
      <c r="D8" s="98" t="s">
        <v>93</v>
      </c>
      <c r="E8" s="97" t="s">
        <v>118</v>
      </c>
      <c r="F8" s="367" t="s">
        <v>36</v>
      </c>
      <c r="G8" s="367" t="s">
        <v>36</v>
      </c>
      <c r="H8" s="367" t="s">
        <v>363</v>
      </c>
      <c r="I8" s="367" t="s">
        <v>363</v>
      </c>
      <c r="J8" s="358">
        <v>2.0499999999999998</v>
      </c>
    </row>
    <row r="9" spans="1:13" x14ac:dyDescent="0.3">
      <c r="A9" s="356">
        <v>5</v>
      </c>
      <c r="B9" s="356" t="s">
        <v>545</v>
      </c>
      <c r="C9" s="357" t="s">
        <v>247</v>
      </c>
      <c r="D9" s="98" t="s">
        <v>94</v>
      </c>
      <c r="E9" s="97" t="s">
        <v>118</v>
      </c>
      <c r="F9" s="367" t="s">
        <v>363</v>
      </c>
      <c r="G9" s="367" t="s">
        <v>363</v>
      </c>
      <c r="H9" s="367" t="s">
        <v>363</v>
      </c>
      <c r="I9" s="367" t="s">
        <v>363</v>
      </c>
      <c r="J9" s="358">
        <v>0.85</v>
      </c>
    </row>
    <row r="10" spans="1:13" x14ac:dyDescent="0.3">
      <c r="A10" s="356">
        <v>6</v>
      </c>
      <c r="B10" s="356" t="s">
        <v>545</v>
      </c>
      <c r="C10" s="357" t="s">
        <v>247</v>
      </c>
      <c r="D10" s="98" t="s">
        <v>95</v>
      </c>
      <c r="E10" s="97" t="s">
        <v>118</v>
      </c>
      <c r="F10" s="367" t="s">
        <v>363</v>
      </c>
      <c r="G10" s="367" t="s">
        <v>363</v>
      </c>
      <c r="H10" s="367" t="s">
        <v>363</v>
      </c>
      <c r="I10" s="367" t="s">
        <v>363</v>
      </c>
      <c r="J10" s="358"/>
    </row>
    <row r="11" spans="1:13" x14ac:dyDescent="0.3">
      <c r="A11" s="356" t="s">
        <v>123</v>
      </c>
      <c r="B11" s="356" t="s">
        <v>545</v>
      </c>
      <c r="C11" s="357" t="s">
        <v>247</v>
      </c>
      <c r="D11" s="98" t="s">
        <v>97</v>
      </c>
      <c r="E11" s="97" t="s">
        <v>118</v>
      </c>
      <c r="F11" s="367" t="s">
        <v>363</v>
      </c>
      <c r="G11" s="367" t="s">
        <v>363</v>
      </c>
      <c r="H11" s="367" t="s">
        <v>363</v>
      </c>
      <c r="I11" s="367" t="s">
        <v>363</v>
      </c>
      <c r="J11" s="358">
        <v>2.1</v>
      </c>
    </row>
    <row r="12" spans="1:13" x14ac:dyDescent="0.3">
      <c r="A12" s="356" t="s">
        <v>124</v>
      </c>
      <c r="B12" s="356" t="s">
        <v>545</v>
      </c>
      <c r="C12" s="357" t="s">
        <v>247</v>
      </c>
      <c r="D12" s="98" t="s">
        <v>98</v>
      </c>
      <c r="E12" s="97" t="s">
        <v>118</v>
      </c>
      <c r="F12" s="367" t="s">
        <v>363</v>
      </c>
      <c r="G12" s="367" t="s">
        <v>363</v>
      </c>
      <c r="H12" s="367" t="s">
        <v>363</v>
      </c>
      <c r="I12" s="367" t="s">
        <v>363</v>
      </c>
      <c r="J12" s="358">
        <v>0.45</v>
      </c>
    </row>
    <row r="13" spans="1:13" x14ac:dyDescent="0.3">
      <c r="A13" s="356" t="s">
        <v>125</v>
      </c>
      <c r="B13" s="356" t="s">
        <v>545</v>
      </c>
      <c r="C13" s="357" t="s">
        <v>247</v>
      </c>
      <c r="D13" s="98" t="s">
        <v>99</v>
      </c>
      <c r="E13" s="97" t="s">
        <v>118</v>
      </c>
      <c r="F13" s="367" t="s">
        <v>363</v>
      </c>
      <c r="G13" s="367" t="s">
        <v>363</v>
      </c>
      <c r="H13" s="367" t="s">
        <v>363</v>
      </c>
      <c r="I13" s="367" t="s">
        <v>363</v>
      </c>
      <c r="J13" s="358">
        <v>6.3</v>
      </c>
    </row>
    <row r="14" spans="1:13" x14ac:dyDescent="0.3">
      <c r="A14" s="356" t="s">
        <v>47</v>
      </c>
      <c r="B14" s="356" t="s">
        <v>546</v>
      </c>
      <c r="C14" s="357" t="s">
        <v>247</v>
      </c>
      <c r="D14" s="98" t="s">
        <v>100</v>
      </c>
      <c r="E14" s="97" t="s">
        <v>118</v>
      </c>
      <c r="F14" s="367" t="s">
        <v>363</v>
      </c>
      <c r="G14" s="367" t="s">
        <v>363</v>
      </c>
      <c r="H14" s="367" t="s">
        <v>363</v>
      </c>
      <c r="I14" s="367" t="s">
        <v>363</v>
      </c>
      <c r="J14" s="358"/>
    </row>
    <row r="15" spans="1:13" x14ac:dyDescent="0.3">
      <c r="A15" s="356" t="s">
        <v>126</v>
      </c>
      <c r="B15" s="356" t="s">
        <v>546</v>
      </c>
      <c r="C15" s="357" t="s">
        <v>247</v>
      </c>
      <c r="D15" s="98" t="s">
        <v>101</v>
      </c>
      <c r="E15" s="97" t="s">
        <v>118</v>
      </c>
      <c r="F15" s="367" t="s">
        <v>363</v>
      </c>
      <c r="G15" s="367" t="s">
        <v>363</v>
      </c>
      <c r="H15" s="367" t="s">
        <v>363</v>
      </c>
      <c r="I15" s="367" t="s">
        <v>363</v>
      </c>
      <c r="J15" s="358">
        <v>1.65</v>
      </c>
    </row>
    <row r="16" spans="1:13" x14ac:dyDescent="0.3">
      <c r="A16" s="356" t="s">
        <v>127</v>
      </c>
      <c r="B16" s="356" t="s">
        <v>546</v>
      </c>
      <c r="C16" s="357" t="s">
        <v>247</v>
      </c>
      <c r="D16" s="98" t="s">
        <v>102</v>
      </c>
      <c r="E16" s="97" t="s">
        <v>118</v>
      </c>
      <c r="F16" s="367" t="s">
        <v>363</v>
      </c>
      <c r="G16" s="367" t="s">
        <v>363</v>
      </c>
      <c r="H16" s="367" t="s">
        <v>363</v>
      </c>
      <c r="I16" s="367" t="s">
        <v>363</v>
      </c>
      <c r="J16" s="358">
        <v>1.36</v>
      </c>
    </row>
    <row r="17" spans="1:10" x14ac:dyDescent="0.3">
      <c r="A17" s="356" t="s">
        <v>128</v>
      </c>
      <c r="B17" s="356" t="s">
        <v>546</v>
      </c>
      <c r="C17" s="357" t="s">
        <v>247</v>
      </c>
      <c r="D17" s="98" t="s">
        <v>103</v>
      </c>
      <c r="E17" s="97" t="s">
        <v>118</v>
      </c>
      <c r="F17" s="367" t="s">
        <v>363</v>
      </c>
      <c r="G17" s="367" t="s">
        <v>363</v>
      </c>
      <c r="H17" s="367" t="s">
        <v>363</v>
      </c>
      <c r="I17" s="367" t="s">
        <v>363</v>
      </c>
      <c r="J17" s="358">
        <v>0.77</v>
      </c>
    </row>
    <row r="18" spans="1:10" x14ac:dyDescent="0.3">
      <c r="A18" s="356" t="s">
        <v>129</v>
      </c>
      <c r="B18" s="356" t="s">
        <v>546</v>
      </c>
      <c r="C18" s="357" t="s">
        <v>247</v>
      </c>
      <c r="D18" s="98" t="s">
        <v>104</v>
      </c>
      <c r="E18" s="97" t="s">
        <v>118</v>
      </c>
      <c r="F18" s="367" t="s">
        <v>363</v>
      </c>
      <c r="G18" s="367" t="s">
        <v>363</v>
      </c>
      <c r="H18" s="367" t="s">
        <v>363</v>
      </c>
      <c r="I18" s="367" t="s">
        <v>363</v>
      </c>
      <c r="J18" s="358">
        <v>0.48</v>
      </c>
    </row>
    <row r="19" spans="1:10" x14ac:dyDescent="0.3">
      <c r="A19" s="356" t="s">
        <v>130</v>
      </c>
      <c r="B19" s="356" t="s">
        <v>546</v>
      </c>
      <c r="C19" s="357" t="s">
        <v>247</v>
      </c>
      <c r="D19" s="98" t="s">
        <v>105</v>
      </c>
      <c r="E19" s="97" t="s">
        <v>118</v>
      </c>
      <c r="F19" s="367" t="s">
        <v>363</v>
      </c>
      <c r="G19" s="367" t="s">
        <v>363</v>
      </c>
      <c r="H19" s="367" t="s">
        <v>363</v>
      </c>
      <c r="I19" s="367" t="s">
        <v>363</v>
      </c>
      <c r="J19" s="358">
        <v>0.48</v>
      </c>
    </row>
    <row r="20" spans="1:10" x14ac:dyDescent="0.3">
      <c r="A20" s="356" t="s">
        <v>131</v>
      </c>
      <c r="B20" s="356" t="s">
        <v>546</v>
      </c>
      <c r="C20" s="357" t="s">
        <v>247</v>
      </c>
      <c r="D20" s="98" t="s">
        <v>106</v>
      </c>
      <c r="E20" s="97" t="s">
        <v>118</v>
      </c>
      <c r="F20" s="367" t="s">
        <v>363</v>
      </c>
      <c r="G20" s="367" t="s">
        <v>363</v>
      </c>
      <c r="H20" s="367" t="s">
        <v>363</v>
      </c>
      <c r="I20" s="367" t="s">
        <v>363</v>
      </c>
      <c r="J20" s="358">
        <v>0.48</v>
      </c>
    </row>
    <row r="21" spans="1:10" x14ac:dyDescent="0.3">
      <c r="A21" s="356" t="s">
        <v>132</v>
      </c>
      <c r="B21" s="356" t="s">
        <v>546</v>
      </c>
      <c r="C21" s="357" t="s">
        <v>247</v>
      </c>
      <c r="D21" s="98" t="s">
        <v>107</v>
      </c>
      <c r="E21" s="97" t="s">
        <v>118</v>
      </c>
      <c r="F21" s="367" t="s">
        <v>363</v>
      </c>
      <c r="G21" s="367" t="s">
        <v>363</v>
      </c>
      <c r="H21" s="367" t="s">
        <v>363</v>
      </c>
      <c r="I21" s="367" t="s">
        <v>363</v>
      </c>
      <c r="J21" s="358">
        <v>1.1499999999999999</v>
      </c>
    </row>
    <row r="22" spans="1:10" x14ac:dyDescent="0.3">
      <c r="A22" s="356" t="s">
        <v>133</v>
      </c>
      <c r="B22" s="356" t="s">
        <v>546</v>
      </c>
      <c r="C22" s="357" t="s">
        <v>247</v>
      </c>
      <c r="D22" s="98" t="s">
        <v>108</v>
      </c>
      <c r="E22" s="97" t="s">
        <v>118</v>
      </c>
      <c r="F22" s="367" t="s">
        <v>363</v>
      </c>
      <c r="G22" s="367" t="s">
        <v>363</v>
      </c>
      <c r="H22" s="367" t="s">
        <v>363</v>
      </c>
      <c r="I22" s="367" t="s">
        <v>363</v>
      </c>
      <c r="J22" s="358">
        <v>0.59</v>
      </c>
    </row>
    <row r="23" spans="1:10" x14ac:dyDescent="0.3">
      <c r="A23" s="356" t="s">
        <v>134</v>
      </c>
      <c r="B23" s="356" t="s">
        <v>546</v>
      </c>
      <c r="C23" s="357" t="s">
        <v>247</v>
      </c>
      <c r="D23" s="98" t="s">
        <v>109</v>
      </c>
      <c r="E23" s="309" t="s">
        <v>118</v>
      </c>
      <c r="F23" s="367" t="s">
        <v>363</v>
      </c>
      <c r="G23" s="367" t="s">
        <v>363</v>
      </c>
      <c r="H23" s="367" t="s">
        <v>363</v>
      </c>
      <c r="I23" s="367" t="s">
        <v>363</v>
      </c>
      <c r="J23" s="358">
        <v>0.55000000000000004</v>
      </c>
    </row>
    <row r="24" spans="1:10" x14ac:dyDescent="0.3">
      <c r="A24" s="356" t="s">
        <v>135</v>
      </c>
      <c r="B24" s="356" t="s">
        <v>546</v>
      </c>
      <c r="C24" s="357" t="s">
        <v>247</v>
      </c>
      <c r="D24" s="98" t="s">
        <v>110</v>
      </c>
      <c r="E24" s="97" t="s">
        <v>118</v>
      </c>
      <c r="F24" s="367" t="s">
        <v>363</v>
      </c>
      <c r="G24" s="367" t="s">
        <v>363</v>
      </c>
      <c r="H24" s="367" t="s">
        <v>363</v>
      </c>
      <c r="I24" s="367" t="s">
        <v>363</v>
      </c>
      <c r="J24" s="358">
        <v>3.24</v>
      </c>
    </row>
    <row r="25" spans="1:10" x14ac:dyDescent="0.3">
      <c r="A25" s="356" t="s">
        <v>136</v>
      </c>
      <c r="B25" s="356" t="s">
        <v>545</v>
      </c>
      <c r="C25" s="357" t="s">
        <v>247</v>
      </c>
      <c r="D25" s="98" t="s">
        <v>111</v>
      </c>
      <c r="E25" s="309" t="s">
        <v>118</v>
      </c>
      <c r="F25" s="367" t="s">
        <v>363</v>
      </c>
      <c r="G25" s="367" t="s">
        <v>363</v>
      </c>
      <c r="H25" s="367" t="s">
        <v>363</v>
      </c>
      <c r="I25" s="367" t="s">
        <v>363</v>
      </c>
      <c r="J25" s="358">
        <v>2.36</v>
      </c>
    </row>
    <row r="26" spans="1:10" s="204" customFormat="1" x14ac:dyDescent="0.3">
      <c r="A26" s="465" t="s">
        <v>62</v>
      </c>
      <c r="B26" s="356" t="s">
        <v>545</v>
      </c>
      <c r="C26" s="357" t="s">
        <v>247</v>
      </c>
      <c r="D26" s="466" t="s">
        <v>488</v>
      </c>
      <c r="E26" s="467" t="s">
        <v>118</v>
      </c>
      <c r="F26" s="468" t="s">
        <v>363</v>
      </c>
      <c r="G26" s="468" t="s">
        <v>363</v>
      </c>
      <c r="H26" s="469"/>
      <c r="I26" s="470"/>
      <c r="J26" s="471">
        <v>1</v>
      </c>
    </row>
    <row r="27" spans="1:10" x14ac:dyDescent="0.3">
      <c r="A27" s="357" t="s">
        <v>63</v>
      </c>
      <c r="B27" s="356" t="s">
        <v>546</v>
      </c>
      <c r="C27" s="357" t="s">
        <v>247</v>
      </c>
      <c r="D27" s="98" t="s">
        <v>72</v>
      </c>
      <c r="E27" s="309" t="s">
        <v>118</v>
      </c>
      <c r="F27" s="367" t="s">
        <v>363</v>
      </c>
      <c r="G27" s="367" t="s">
        <v>363</v>
      </c>
      <c r="H27" s="367" t="s">
        <v>363</v>
      </c>
      <c r="I27" s="367" t="s">
        <v>363</v>
      </c>
      <c r="J27" s="358">
        <v>1.01</v>
      </c>
    </row>
    <row r="28" spans="1:10" x14ac:dyDescent="0.3">
      <c r="A28" s="357" t="s">
        <v>64</v>
      </c>
      <c r="B28" s="356" t="s">
        <v>545</v>
      </c>
      <c r="C28" s="357" t="s">
        <v>247</v>
      </c>
      <c r="D28" s="98" t="s">
        <v>112</v>
      </c>
      <c r="E28" s="97" t="s">
        <v>118</v>
      </c>
      <c r="F28" s="367" t="s">
        <v>363</v>
      </c>
      <c r="G28" s="367" t="s">
        <v>363</v>
      </c>
      <c r="H28" s="367" t="s">
        <v>363</v>
      </c>
      <c r="I28" s="367" t="s">
        <v>363</v>
      </c>
      <c r="J28" s="358">
        <v>3.45</v>
      </c>
    </row>
    <row r="29" spans="1:10" x14ac:dyDescent="0.3">
      <c r="A29" s="357" t="s">
        <v>65</v>
      </c>
      <c r="B29" s="356" t="s">
        <v>545</v>
      </c>
      <c r="C29" s="357" t="s">
        <v>247</v>
      </c>
      <c r="D29" s="98" t="s">
        <v>113</v>
      </c>
      <c r="E29" s="97" t="s">
        <v>118</v>
      </c>
      <c r="F29" s="367" t="s">
        <v>363</v>
      </c>
      <c r="G29" s="367" t="s">
        <v>363</v>
      </c>
      <c r="H29" s="367" t="s">
        <v>363</v>
      </c>
      <c r="I29" s="367" t="s">
        <v>363</v>
      </c>
      <c r="J29" s="358">
        <v>0.9</v>
      </c>
    </row>
    <row r="30" spans="1:10" x14ac:dyDescent="0.3">
      <c r="A30" s="357" t="s">
        <v>86</v>
      </c>
      <c r="B30" s="356" t="s">
        <v>547</v>
      </c>
      <c r="C30" s="357" t="s">
        <v>247</v>
      </c>
      <c r="D30" s="98" t="s">
        <v>18</v>
      </c>
      <c r="E30" s="309" t="s">
        <v>118</v>
      </c>
      <c r="F30" s="367" t="s">
        <v>36</v>
      </c>
      <c r="G30" s="367" t="s">
        <v>36</v>
      </c>
      <c r="H30" s="367" t="s">
        <v>36</v>
      </c>
      <c r="I30" s="367" t="s">
        <v>36</v>
      </c>
      <c r="J30" s="358">
        <v>1.2</v>
      </c>
    </row>
    <row r="31" spans="1:10" x14ac:dyDescent="0.3">
      <c r="A31" s="357" t="s">
        <v>87</v>
      </c>
      <c r="B31" s="356" t="s">
        <v>547</v>
      </c>
      <c r="C31" s="357" t="s">
        <v>247</v>
      </c>
      <c r="D31" s="98" t="s">
        <v>73</v>
      </c>
      <c r="E31" s="97" t="s">
        <v>118</v>
      </c>
      <c r="F31" s="367" t="s">
        <v>36</v>
      </c>
      <c r="G31" s="367" t="s">
        <v>36</v>
      </c>
      <c r="H31" s="367" t="s">
        <v>36</v>
      </c>
      <c r="I31" s="367" t="s">
        <v>36</v>
      </c>
      <c r="J31" s="358">
        <v>0.13</v>
      </c>
    </row>
    <row r="32" spans="1:10" x14ac:dyDescent="0.3">
      <c r="A32" s="357" t="s">
        <v>137</v>
      </c>
      <c r="B32" s="367" t="s">
        <v>471</v>
      </c>
      <c r="C32" s="357" t="s">
        <v>247</v>
      </c>
      <c r="D32" s="98" t="s">
        <v>114</v>
      </c>
      <c r="E32" s="97" t="s">
        <v>118</v>
      </c>
      <c r="F32" s="367" t="s">
        <v>471</v>
      </c>
      <c r="G32" s="367" t="s">
        <v>471</v>
      </c>
      <c r="H32" s="367" t="s">
        <v>471</v>
      </c>
      <c r="I32" s="367" t="s">
        <v>471</v>
      </c>
      <c r="J32" s="358">
        <v>0.32</v>
      </c>
    </row>
    <row r="33" spans="1:10" x14ac:dyDescent="0.3">
      <c r="A33" s="357" t="s">
        <v>138</v>
      </c>
      <c r="B33" s="367" t="s">
        <v>471</v>
      </c>
      <c r="C33" s="357" t="s">
        <v>247</v>
      </c>
      <c r="D33" s="98" t="s">
        <v>74</v>
      </c>
      <c r="E33" s="309" t="s">
        <v>118</v>
      </c>
      <c r="F33" s="367" t="s">
        <v>471</v>
      </c>
      <c r="G33" s="367" t="s">
        <v>471</v>
      </c>
      <c r="H33" s="367" t="s">
        <v>471</v>
      </c>
      <c r="I33" s="367" t="s">
        <v>471</v>
      </c>
      <c r="J33" s="358">
        <v>1.4</v>
      </c>
    </row>
    <row r="34" spans="1:10" x14ac:dyDescent="0.3">
      <c r="A34" s="357" t="s">
        <v>139</v>
      </c>
      <c r="B34" s="357"/>
      <c r="C34" s="357" t="s">
        <v>247</v>
      </c>
      <c r="D34" s="98" t="s">
        <v>115</v>
      </c>
      <c r="E34" s="309" t="s">
        <v>118</v>
      </c>
      <c r="F34" s="367"/>
      <c r="G34" s="367"/>
      <c r="H34" s="367"/>
      <c r="I34" s="367"/>
      <c r="J34" s="358"/>
    </row>
    <row r="35" spans="1:10" x14ac:dyDescent="0.3">
      <c r="A35" s="357" t="s">
        <v>140</v>
      </c>
      <c r="B35" s="357"/>
      <c r="C35" s="357" t="s">
        <v>247</v>
      </c>
      <c r="D35" s="98" t="s">
        <v>116</v>
      </c>
      <c r="E35" s="97" t="s">
        <v>118</v>
      </c>
      <c r="F35" s="367"/>
      <c r="G35" s="367"/>
      <c r="H35" s="367"/>
      <c r="I35" s="367"/>
      <c r="J35" s="358"/>
    </row>
    <row r="36" spans="1:10" s="204" customFormat="1" x14ac:dyDescent="0.3">
      <c r="A36" s="357" t="s">
        <v>229</v>
      </c>
      <c r="B36" s="356" t="s">
        <v>544</v>
      </c>
      <c r="C36" s="357" t="s">
        <v>247</v>
      </c>
      <c r="D36" s="209" t="s">
        <v>117</v>
      </c>
      <c r="E36" s="210" t="s">
        <v>118</v>
      </c>
      <c r="F36" s="367" t="s">
        <v>363</v>
      </c>
      <c r="G36" s="367" t="s">
        <v>363</v>
      </c>
      <c r="H36" s="367" t="s">
        <v>363</v>
      </c>
      <c r="I36" s="367" t="s">
        <v>363</v>
      </c>
      <c r="J36" s="359">
        <v>0.08</v>
      </c>
    </row>
    <row r="37" spans="1:10" s="204" customFormat="1" x14ac:dyDescent="0.3">
      <c r="A37" s="357" t="s">
        <v>230</v>
      </c>
      <c r="B37" s="357" t="s">
        <v>474</v>
      </c>
      <c r="C37" s="357" t="s">
        <v>247</v>
      </c>
      <c r="D37" s="209" t="s">
        <v>0</v>
      </c>
      <c r="E37" s="210" t="s">
        <v>118</v>
      </c>
      <c r="F37" s="368" t="s">
        <v>474</v>
      </c>
      <c r="G37" s="368"/>
      <c r="H37" s="368"/>
      <c r="I37" s="368" t="s">
        <v>474</v>
      </c>
      <c r="J37" s="359">
        <f>(1.87+2+2.4)/3</f>
        <v>2.09</v>
      </c>
    </row>
    <row r="38" spans="1:10" s="204" customFormat="1" x14ac:dyDescent="0.3">
      <c r="A38" s="357" t="s">
        <v>232</v>
      </c>
      <c r="B38" s="357" t="s">
        <v>472</v>
      </c>
      <c r="C38" s="357" t="s">
        <v>247</v>
      </c>
      <c r="D38" s="209" t="s">
        <v>231</v>
      </c>
      <c r="E38" s="210" t="s">
        <v>118</v>
      </c>
      <c r="F38" s="368" t="s">
        <v>472</v>
      </c>
      <c r="G38" s="368"/>
      <c r="H38" s="368" t="s">
        <v>472</v>
      </c>
      <c r="I38" s="368" t="s">
        <v>472</v>
      </c>
      <c r="J38" s="359">
        <v>0.55000000000000004</v>
      </c>
    </row>
    <row r="39" spans="1:10" x14ac:dyDescent="0.3">
      <c r="A39" s="357" t="s">
        <v>487</v>
      </c>
      <c r="B39" s="356" t="s">
        <v>545</v>
      </c>
      <c r="C39" s="357" t="s">
        <v>247</v>
      </c>
      <c r="D39" s="360" t="s">
        <v>233</v>
      </c>
      <c r="E39" s="361" t="s">
        <v>118</v>
      </c>
      <c r="F39" s="369" t="s">
        <v>363</v>
      </c>
      <c r="G39" s="369"/>
      <c r="H39" s="367" t="s">
        <v>363</v>
      </c>
      <c r="I39" s="367" t="s">
        <v>363</v>
      </c>
      <c r="J39" s="362">
        <v>1.02</v>
      </c>
    </row>
    <row r="40" spans="1:10" ht="26.25" customHeight="1" x14ac:dyDescent="0.3">
      <c r="A40" s="372" t="s">
        <v>359</v>
      </c>
      <c r="B40" s="372"/>
      <c r="C40" s="372"/>
      <c r="D40" s="373" t="s">
        <v>478</v>
      </c>
      <c r="E40" s="374"/>
      <c r="F40" s="375"/>
      <c r="G40" s="376"/>
      <c r="H40" s="376"/>
      <c r="I40" s="376"/>
      <c r="J40" s="376">
        <f>SUBTOTAL(109,Таблица5[К-во])</f>
        <v>38.610000000000007</v>
      </c>
    </row>
    <row r="41" spans="1:10" hidden="1" x14ac:dyDescent="0.3"/>
    <row r="42" spans="1:10" hidden="1" x14ac:dyDescent="0.3"/>
    <row r="43" spans="1:10" x14ac:dyDescent="0.3">
      <c r="A43" s="383"/>
      <c r="B43" s="489"/>
      <c r="C43" s="489"/>
      <c r="D43" s="384" t="s">
        <v>36</v>
      </c>
      <c r="E43" s="385"/>
      <c r="F43" s="386"/>
      <c r="G43" s="387">
        <f>SUMIF(Таблица5[[#Data],[#Totals],[1т 1ф]],D43,Таблица5[[#Data],[#Totals],[К-во]])</f>
        <v>3.38</v>
      </c>
      <c r="H43" s="387">
        <f>SUMIF(Таблица5[1т 3ф],D43,Таблица5[К-во])</f>
        <v>1.33</v>
      </c>
      <c r="I43" s="387">
        <f>SUMIF(Таблица5[Мт],D43,Таблица5[К-во])</f>
        <v>1.33</v>
      </c>
      <c r="J43" s="388"/>
    </row>
    <row r="44" spans="1:10" x14ac:dyDescent="0.3">
      <c r="A44" s="383"/>
      <c r="B44" s="489"/>
      <c r="C44" s="489"/>
      <c r="D44" s="384" t="s">
        <v>363</v>
      </c>
      <c r="E44" s="385"/>
      <c r="F44" s="386"/>
      <c r="G44" s="387">
        <f>SUMIF(Таблица5[[#Data],[#Totals],[1т 1ф]],D44,Таблица5[[#Data],[#Totals],[К-во]])</f>
        <v>29.85</v>
      </c>
      <c r="H44" s="387">
        <f>SUMIF(Таблица5[1т 3ф],D44,Таблица5[К-во])</f>
        <v>31.919999999999998</v>
      </c>
      <c r="I44" s="387">
        <f>SUMIF(Таблица5[Мт],D44,Таблица5[К-во])</f>
        <v>31.919999999999998</v>
      </c>
      <c r="J44" s="388"/>
    </row>
    <row r="45" spans="1:10" x14ac:dyDescent="0.3">
      <c r="A45" s="383"/>
      <c r="B45" s="489"/>
      <c r="C45" s="489"/>
      <c r="D45" s="384" t="s">
        <v>471</v>
      </c>
      <c r="E45" s="385"/>
      <c r="F45" s="386"/>
      <c r="G45" s="387">
        <f>SUMIF(Таблица5[[#Data],[#Totals],[1т 1ф]],D45,Таблица5[[#Data],[#Totals],[К-во]])</f>
        <v>1.72</v>
      </c>
      <c r="H45" s="387">
        <f>SUMIF(Таблица5[1т 3ф],D45,Таблица5[К-во])</f>
        <v>1.72</v>
      </c>
      <c r="I45" s="387">
        <f>SUMIF(Таблица5[Мт],D45,Таблица5[К-во])</f>
        <v>1.72</v>
      </c>
      <c r="J45" s="388"/>
    </row>
    <row r="46" spans="1:10" x14ac:dyDescent="0.3">
      <c r="A46" s="383"/>
      <c r="B46" s="489"/>
      <c r="C46" s="489"/>
      <c r="D46" s="384" t="s">
        <v>474</v>
      </c>
      <c r="E46" s="385"/>
      <c r="F46" s="386"/>
      <c r="G46" s="387">
        <f>SUMIF(Таблица5[[#Data],[#Totals],[1т 1ф]],D46,Таблица5[[#Data],[#Totals],[К-во]])</f>
        <v>0</v>
      </c>
      <c r="H46" s="387">
        <f>SUMIF(Таблица5[1т 3ф],D46,Таблица5[К-во])</f>
        <v>0</v>
      </c>
      <c r="I46" s="387">
        <f>SUMIF(Таблица5[Мт],D46,Таблица5[К-во])</f>
        <v>2.09</v>
      </c>
      <c r="J46" s="388"/>
    </row>
    <row r="47" spans="1:10" x14ac:dyDescent="0.3">
      <c r="A47" s="383"/>
      <c r="B47" s="489"/>
      <c r="C47" s="489"/>
      <c r="D47" s="384" t="s">
        <v>472</v>
      </c>
      <c r="E47" s="385"/>
      <c r="F47" s="386"/>
      <c r="G47" s="387">
        <f>SUMIF(Таблица5[[#Data],[#Totals],[1т 1ф]],D47,Таблица5[[#Data],[#Totals],[К-во]])</f>
        <v>0</v>
      </c>
      <c r="H47" s="387">
        <f>SUMIF(Таблица5[1т 3ф],D47,Таблица5[К-во])</f>
        <v>0.55000000000000004</v>
      </c>
      <c r="I47" s="387">
        <f>SUMIF(Таблица5[Мт],D47,Таблица5[К-во])</f>
        <v>0.55000000000000004</v>
      </c>
      <c r="J47" s="388"/>
    </row>
    <row r="48" spans="1:10" ht="27.75" customHeight="1" x14ac:dyDescent="0.3">
      <c r="A48" s="377"/>
      <c r="B48" s="490"/>
      <c r="C48" s="490"/>
      <c r="D48" s="378" t="s">
        <v>479</v>
      </c>
      <c r="E48" s="379"/>
      <c r="F48" s="380"/>
      <c r="G48" s="381">
        <f>SUM(G43:G47)</f>
        <v>34.950000000000003</v>
      </c>
      <c r="H48" s="381">
        <f t="shared" ref="H48:I48" si="0">SUM(H43:H47)</f>
        <v>35.519999999999996</v>
      </c>
      <c r="I48" s="381">
        <f t="shared" si="0"/>
        <v>37.61</v>
      </c>
      <c r="J48" s="382"/>
    </row>
  </sheetData>
  <mergeCells count="4">
    <mergeCell ref="A3:E3"/>
    <mergeCell ref="F3:J3"/>
    <mergeCell ref="A1:J1"/>
    <mergeCell ref="A2:J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8"/>
  <sheetViews>
    <sheetView topLeftCell="A8" workbookViewId="0">
      <selection activeCell="E70" sqref="E70"/>
    </sheetView>
  </sheetViews>
  <sheetFormatPr defaultColWidth="9.109375" defaultRowHeight="13.8" outlineLevelRow="1" x14ac:dyDescent="0.3"/>
  <cols>
    <col min="1" max="1" width="9.109375" style="1"/>
    <col min="2" max="2" width="36.5546875" style="3" customWidth="1"/>
    <col min="3" max="3" width="9.109375" style="2"/>
    <col min="4" max="16384" width="9.109375" style="3"/>
  </cols>
  <sheetData>
    <row r="1" spans="1:15" ht="25.5" customHeight="1" x14ac:dyDescent="0.3">
      <c r="A1" s="692" t="s">
        <v>207</v>
      </c>
      <c r="B1" s="692"/>
      <c r="C1" s="692"/>
      <c r="D1" s="692"/>
      <c r="E1" s="692"/>
      <c r="F1" s="692"/>
    </row>
    <row r="2" spans="1:15" ht="25.5" customHeight="1" x14ac:dyDescent="0.3">
      <c r="A2" s="211"/>
      <c r="B2" s="211"/>
      <c r="C2" s="21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/>
      <c r="O2" s="691"/>
    </row>
    <row r="3" spans="1:15" s="2" customFormat="1" ht="27.6" x14ac:dyDescent="0.3">
      <c r="A3" s="120" t="s">
        <v>31</v>
      </c>
      <c r="B3" s="126" t="s">
        <v>156</v>
      </c>
      <c r="C3" s="127" t="s">
        <v>90</v>
      </c>
      <c r="D3" s="126" t="s">
        <v>11</v>
      </c>
      <c r="E3" s="126" t="s">
        <v>157</v>
      </c>
      <c r="F3" s="126" t="s">
        <v>158</v>
      </c>
      <c r="G3" s="126" t="s">
        <v>11</v>
      </c>
      <c r="H3" s="126" t="s">
        <v>157</v>
      </c>
      <c r="I3" s="126" t="s">
        <v>158</v>
      </c>
      <c r="J3" s="126" t="s">
        <v>11</v>
      </c>
      <c r="K3" s="126" t="s">
        <v>157</v>
      </c>
      <c r="L3" s="126" t="s">
        <v>158</v>
      </c>
      <c r="M3" s="126" t="s">
        <v>11</v>
      </c>
      <c r="N3" s="126" t="s">
        <v>157</v>
      </c>
      <c r="O3" s="126" t="s">
        <v>158</v>
      </c>
    </row>
    <row r="4" spans="1:15" s="125" customFormat="1" x14ac:dyDescent="0.3">
      <c r="A4" s="128">
        <v>1</v>
      </c>
      <c r="B4" s="129" t="s">
        <v>159</v>
      </c>
      <c r="C4" s="129" t="s">
        <v>160</v>
      </c>
      <c r="D4" s="129">
        <v>1</v>
      </c>
      <c r="E4" s="129">
        <f>SUMPRODUCT(D5:D7,E5:E7)</f>
        <v>0</v>
      </c>
      <c r="F4" s="129">
        <f>D4*E4</f>
        <v>0</v>
      </c>
      <c r="G4" s="129">
        <v>1</v>
      </c>
      <c r="H4" s="129">
        <f>SUMPRODUCT(G5:G7,H5:H7)</f>
        <v>0</v>
      </c>
      <c r="I4" s="129">
        <f>G4*H4</f>
        <v>0</v>
      </c>
      <c r="J4" s="129">
        <v>1</v>
      </c>
      <c r="K4" s="129">
        <f>SUMPRODUCT(J5:J7,K5:K7)</f>
        <v>0</v>
      </c>
      <c r="L4" s="129">
        <f>J4*K4</f>
        <v>0</v>
      </c>
      <c r="M4" s="129">
        <v>1</v>
      </c>
      <c r="N4" s="129">
        <f>SUMPRODUCT(M5:M7,N5:N7)</f>
        <v>0</v>
      </c>
      <c r="O4" s="129">
        <f>M4*N4</f>
        <v>0</v>
      </c>
    </row>
    <row r="5" spans="1:15" hidden="1" outlineLevel="1" x14ac:dyDescent="0.3">
      <c r="A5" s="120" t="s">
        <v>33</v>
      </c>
      <c r="B5" s="121" t="s">
        <v>161</v>
      </c>
      <c r="C5" s="126" t="s">
        <v>160</v>
      </c>
      <c r="D5" s="121"/>
      <c r="E5" s="121"/>
      <c r="F5" s="121">
        <f t="shared" ref="F5:F11" si="0">D5*E5</f>
        <v>0</v>
      </c>
      <c r="G5" s="121"/>
      <c r="H5" s="121"/>
      <c r="I5" s="121">
        <f t="shared" ref="I5:I7" si="1">G5*H5</f>
        <v>0</v>
      </c>
      <c r="J5" s="121"/>
      <c r="K5" s="121"/>
      <c r="L5" s="121">
        <f t="shared" ref="L5:L7" si="2">J5*K5</f>
        <v>0</v>
      </c>
      <c r="M5" s="121"/>
      <c r="N5" s="121"/>
      <c r="O5" s="121">
        <f t="shared" ref="O5:O7" si="3">M5*N5</f>
        <v>0</v>
      </c>
    </row>
    <row r="6" spans="1:15" hidden="1" outlineLevel="1" x14ac:dyDescent="0.3">
      <c r="A6" s="120" t="s">
        <v>34</v>
      </c>
      <c r="B6" s="121" t="s">
        <v>96</v>
      </c>
      <c r="C6" s="126"/>
      <c r="D6" s="121"/>
      <c r="E6" s="121"/>
      <c r="F6" s="121">
        <f t="shared" si="0"/>
        <v>0</v>
      </c>
      <c r="G6" s="121"/>
      <c r="H6" s="121"/>
      <c r="I6" s="121">
        <f t="shared" si="1"/>
        <v>0</v>
      </c>
      <c r="J6" s="121"/>
      <c r="K6" s="121"/>
      <c r="L6" s="121">
        <f t="shared" si="2"/>
        <v>0</v>
      </c>
      <c r="M6" s="121"/>
      <c r="N6" s="121"/>
      <c r="O6" s="121">
        <f t="shared" si="3"/>
        <v>0</v>
      </c>
    </row>
    <row r="7" spans="1:15" hidden="1" outlineLevel="1" x14ac:dyDescent="0.3">
      <c r="A7" s="120" t="s">
        <v>76</v>
      </c>
      <c r="B7" s="121" t="s">
        <v>96</v>
      </c>
      <c r="C7" s="126"/>
      <c r="D7" s="121"/>
      <c r="E7" s="121"/>
      <c r="F7" s="121">
        <f t="shared" si="0"/>
        <v>0</v>
      </c>
      <c r="G7" s="121"/>
      <c r="H7" s="121"/>
      <c r="I7" s="121">
        <f t="shared" si="1"/>
        <v>0</v>
      </c>
      <c r="J7" s="121"/>
      <c r="K7" s="121"/>
      <c r="L7" s="121">
        <f t="shared" si="2"/>
        <v>0</v>
      </c>
      <c r="M7" s="121"/>
      <c r="N7" s="121"/>
      <c r="O7" s="121">
        <f t="shared" si="3"/>
        <v>0</v>
      </c>
    </row>
    <row r="8" spans="1:15" s="125" customFormat="1" collapsed="1" x14ac:dyDescent="0.3">
      <c r="A8" s="128" t="s">
        <v>23</v>
      </c>
      <c r="B8" s="129" t="s">
        <v>162</v>
      </c>
      <c r="C8" s="129" t="s">
        <v>160</v>
      </c>
      <c r="D8" s="129">
        <v>1</v>
      </c>
      <c r="E8" s="129">
        <f>SUMPRODUCT(D9:D11,E9:E11)</f>
        <v>0</v>
      </c>
      <c r="F8" s="129">
        <f>D8*E8</f>
        <v>0</v>
      </c>
      <c r="G8" s="129">
        <v>1</v>
      </c>
      <c r="H8" s="129">
        <f>SUMPRODUCT(G9:G11,H9:H11)</f>
        <v>0</v>
      </c>
      <c r="I8" s="129">
        <f>G8*H8</f>
        <v>0</v>
      </c>
      <c r="J8" s="129">
        <v>1</v>
      </c>
      <c r="K8" s="129">
        <f>SUMPRODUCT(J9:J11,K9:K11)</f>
        <v>0</v>
      </c>
      <c r="L8" s="129">
        <f>J8*K8</f>
        <v>0</v>
      </c>
      <c r="M8" s="129">
        <v>1</v>
      </c>
      <c r="N8" s="129">
        <f>SUMPRODUCT(M9:M11,N9:N11)</f>
        <v>0</v>
      </c>
      <c r="O8" s="129">
        <f>M8*N8</f>
        <v>0</v>
      </c>
    </row>
    <row r="9" spans="1:15" hidden="1" outlineLevel="1" x14ac:dyDescent="0.3">
      <c r="A9" s="120" t="s">
        <v>40</v>
      </c>
      <c r="B9" s="121" t="s">
        <v>163</v>
      </c>
      <c r="C9" s="126" t="s">
        <v>160</v>
      </c>
      <c r="D9" s="121"/>
      <c r="E9" s="121"/>
      <c r="F9" s="121">
        <f t="shared" si="0"/>
        <v>0</v>
      </c>
      <c r="G9" s="121"/>
      <c r="H9" s="121"/>
      <c r="I9" s="121">
        <f t="shared" ref="I9:I11" si="4">G9*H9</f>
        <v>0</v>
      </c>
      <c r="J9" s="121"/>
      <c r="K9" s="121"/>
      <c r="L9" s="121">
        <f t="shared" ref="L9:L11" si="5">J9*K9</f>
        <v>0</v>
      </c>
      <c r="M9" s="121"/>
      <c r="N9" s="121"/>
      <c r="O9" s="121">
        <f t="shared" ref="O9:O11" si="6">M9*N9</f>
        <v>0</v>
      </c>
    </row>
    <row r="10" spans="1:15" hidden="1" outlineLevel="1" x14ac:dyDescent="0.3">
      <c r="A10" s="120" t="s">
        <v>41</v>
      </c>
      <c r="B10" s="121" t="s">
        <v>96</v>
      </c>
      <c r="C10" s="126"/>
      <c r="D10" s="121"/>
      <c r="E10" s="121"/>
      <c r="F10" s="121">
        <f t="shared" si="0"/>
        <v>0</v>
      </c>
      <c r="G10" s="121"/>
      <c r="H10" s="121"/>
      <c r="I10" s="121">
        <f t="shared" si="4"/>
        <v>0</v>
      </c>
      <c r="J10" s="121"/>
      <c r="K10" s="121"/>
      <c r="L10" s="121">
        <f t="shared" si="5"/>
        <v>0</v>
      </c>
      <c r="M10" s="121"/>
      <c r="N10" s="121"/>
      <c r="O10" s="121">
        <f t="shared" si="6"/>
        <v>0</v>
      </c>
    </row>
    <row r="11" spans="1:15" hidden="1" outlineLevel="1" x14ac:dyDescent="0.3">
      <c r="A11" s="120" t="s">
        <v>42</v>
      </c>
      <c r="B11" s="121" t="s">
        <v>96</v>
      </c>
      <c r="C11" s="126"/>
      <c r="D11" s="121"/>
      <c r="E11" s="121"/>
      <c r="F11" s="121">
        <f t="shared" si="0"/>
        <v>0</v>
      </c>
      <c r="G11" s="121"/>
      <c r="H11" s="121"/>
      <c r="I11" s="121">
        <f t="shared" si="4"/>
        <v>0</v>
      </c>
      <c r="J11" s="121"/>
      <c r="K11" s="121"/>
      <c r="L11" s="121">
        <f t="shared" si="5"/>
        <v>0</v>
      </c>
      <c r="M11" s="121"/>
      <c r="N11" s="121"/>
      <c r="O11" s="121">
        <f t="shared" si="6"/>
        <v>0</v>
      </c>
    </row>
    <row r="12" spans="1:15" s="125" customFormat="1" collapsed="1" x14ac:dyDescent="0.3">
      <c r="A12" s="128" t="s">
        <v>19</v>
      </c>
      <c r="B12" s="129" t="s">
        <v>164</v>
      </c>
      <c r="C12" s="129" t="s">
        <v>160</v>
      </c>
      <c r="D12" s="129">
        <v>1</v>
      </c>
      <c r="E12" s="129">
        <f>SUMPRODUCT(D13:D15,E13:E15)</f>
        <v>0</v>
      </c>
      <c r="F12" s="129">
        <f>D12*E12</f>
        <v>0</v>
      </c>
      <c r="G12" s="129">
        <v>1</v>
      </c>
      <c r="H12" s="129">
        <f>SUMPRODUCT(G13:G15,H13:H15)</f>
        <v>0</v>
      </c>
      <c r="I12" s="129">
        <f>G12*H12</f>
        <v>0</v>
      </c>
      <c r="J12" s="129">
        <v>1</v>
      </c>
      <c r="K12" s="129">
        <f>SUMPRODUCT(J13:J15,K13:K15)</f>
        <v>0</v>
      </c>
      <c r="L12" s="129">
        <f>J12*K12</f>
        <v>0</v>
      </c>
      <c r="M12" s="129">
        <v>1</v>
      </c>
      <c r="N12" s="129">
        <f>SUMPRODUCT(M13:M15,N13:N15)</f>
        <v>0</v>
      </c>
      <c r="O12" s="129">
        <f>M12*N12</f>
        <v>0</v>
      </c>
    </row>
    <row r="13" spans="1:15" hidden="1" outlineLevel="1" x14ac:dyDescent="0.3">
      <c r="A13" s="120" t="s">
        <v>20</v>
      </c>
      <c r="B13" s="121" t="s">
        <v>165</v>
      </c>
      <c r="C13" s="126" t="s">
        <v>160</v>
      </c>
      <c r="D13" s="121"/>
      <c r="E13" s="121"/>
      <c r="F13" s="121">
        <f>D13*E13</f>
        <v>0</v>
      </c>
      <c r="G13" s="121"/>
      <c r="H13" s="121"/>
      <c r="I13" s="121">
        <f>G13*H13</f>
        <v>0</v>
      </c>
      <c r="J13" s="121"/>
      <c r="K13" s="121"/>
      <c r="L13" s="121">
        <f>J13*K13</f>
        <v>0</v>
      </c>
      <c r="M13" s="121"/>
      <c r="N13" s="121"/>
      <c r="O13" s="121">
        <f>M13*N13</f>
        <v>0</v>
      </c>
    </row>
    <row r="14" spans="1:15" hidden="1" outlineLevel="1" x14ac:dyDescent="0.3">
      <c r="A14" s="120" t="s">
        <v>21</v>
      </c>
      <c r="B14" s="121" t="s">
        <v>96</v>
      </c>
      <c r="C14" s="126"/>
      <c r="D14" s="121"/>
      <c r="E14" s="121"/>
      <c r="F14" s="121">
        <f t="shared" ref="F14:F15" si="7">D14*E14</f>
        <v>0</v>
      </c>
      <c r="G14" s="121"/>
      <c r="H14" s="121"/>
      <c r="I14" s="121">
        <f t="shared" ref="I14:I15" si="8">G14*H14</f>
        <v>0</v>
      </c>
      <c r="J14" s="121"/>
      <c r="K14" s="121"/>
      <c r="L14" s="121">
        <f t="shared" ref="L14:L15" si="9">J14*K14</f>
        <v>0</v>
      </c>
      <c r="M14" s="121"/>
      <c r="N14" s="121"/>
      <c r="O14" s="121">
        <f t="shared" ref="O14:O15" si="10">M14*N14</f>
        <v>0</v>
      </c>
    </row>
    <row r="15" spans="1:15" hidden="1" outlineLevel="1" x14ac:dyDescent="0.3">
      <c r="A15" s="120" t="s">
        <v>22</v>
      </c>
      <c r="B15" s="121" t="s">
        <v>96</v>
      </c>
      <c r="C15" s="126"/>
      <c r="D15" s="121"/>
      <c r="E15" s="121"/>
      <c r="F15" s="121">
        <f t="shared" si="7"/>
        <v>0</v>
      </c>
      <c r="G15" s="121"/>
      <c r="H15" s="121"/>
      <c r="I15" s="121">
        <f t="shared" si="8"/>
        <v>0</v>
      </c>
      <c r="J15" s="121"/>
      <c r="K15" s="121"/>
      <c r="L15" s="121">
        <f t="shared" si="9"/>
        <v>0</v>
      </c>
      <c r="M15" s="121"/>
      <c r="N15" s="121"/>
      <c r="O15" s="121">
        <f t="shared" si="10"/>
        <v>0</v>
      </c>
    </row>
    <row r="16" spans="1:15" s="125" customFormat="1" collapsed="1" x14ac:dyDescent="0.3">
      <c r="A16" s="128" t="s">
        <v>7</v>
      </c>
      <c r="B16" s="129" t="s">
        <v>166</v>
      </c>
      <c r="C16" s="129" t="s">
        <v>160</v>
      </c>
      <c r="D16" s="129">
        <v>1</v>
      </c>
      <c r="E16" s="129">
        <f>SUMPRODUCT(D17:D19,E17:E19)</f>
        <v>0</v>
      </c>
      <c r="F16" s="129">
        <f>D16*E16</f>
        <v>0</v>
      </c>
      <c r="G16" s="129">
        <v>1</v>
      </c>
      <c r="H16" s="129">
        <f>SUMPRODUCT(G17:G19,H17:H19)</f>
        <v>0</v>
      </c>
      <c r="I16" s="129">
        <f>G16*H16</f>
        <v>0</v>
      </c>
      <c r="J16" s="129">
        <v>1</v>
      </c>
      <c r="K16" s="129">
        <f>SUMPRODUCT(J17:J19,K17:K19)</f>
        <v>0</v>
      </c>
      <c r="L16" s="129">
        <f>J16*K16</f>
        <v>0</v>
      </c>
      <c r="M16" s="129">
        <v>1</v>
      </c>
      <c r="N16" s="129">
        <f>SUMPRODUCT(M17:M19,N17:N19)</f>
        <v>0</v>
      </c>
      <c r="O16" s="129">
        <f>M16*N16</f>
        <v>0</v>
      </c>
    </row>
    <row r="17" spans="1:15" hidden="1" outlineLevel="1" x14ac:dyDescent="0.3">
      <c r="A17" s="120" t="s">
        <v>24</v>
      </c>
      <c r="B17" s="121" t="s">
        <v>167</v>
      </c>
      <c r="C17" s="126" t="s">
        <v>160</v>
      </c>
      <c r="D17" s="121"/>
      <c r="E17" s="121"/>
      <c r="F17" s="121">
        <f>D17*E17</f>
        <v>0</v>
      </c>
      <c r="G17" s="121"/>
      <c r="H17" s="121"/>
      <c r="I17" s="121">
        <f>G17*H17</f>
        <v>0</v>
      </c>
      <c r="J17" s="121"/>
      <c r="K17" s="121"/>
      <c r="L17" s="121">
        <f>J17*K17</f>
        <v>0</v>
      </c>
      <c r="M17" s="121"/>
      <c r="N17" s="121"/>
      <c r="O17" s="121">
        <f>M17*N17</f>
        <v>0</v>
      </c>
    </row>
    <row r="18" spans="1:15" hidden="1" outlineLevel="1" x14ac:dyDescent="0.3">
      <c r="A18" s="120" t="s">
        <v>25</v>
      </c>
      <c r="B18" s="121" t="s">
        <v>96</v>
      </c>
      <c r="C18" s="126"/>
      <c r="D18" s="121"/>
      <c r="E18" s="121"/>
      <c r="F18" s="121">
        <f t="shared" ref="F18:F19" si="11">D18*E18</f>
        <v>0</v>
      </c>
      <c r="G18" s="121"/>
      <c r="H18" s="121"/>
      <c r="I18" s="121">
        <f t="shared" ref="I18:I19" si="12">G18*H18</f>
        <v>0</v>
      </c>
      <c r="J18" s="121"/>
      <c r="K18" s="121"/>
      <c r="L18" s="121">
        <f t="shared" ref="L18:L19" si="13">J18*K18</f>
        <v>0</v>
      </c>
      <c r="M18" s="121"/>
      <c r="N18" s="121"/>
      <c r="O18" s="121">
        <f t="shared" ref="O18:O19" si="14">M18*N18</f>
        <v>0</v>
      </c>
    </row>
    <row r="19" spans="1:15" hidden="1" outlineLevel="1" x14ac:dyDescent="0.3">
      <c r="A19" s="120" t="s">
        <v>26</v>
      </c>
      <c r="B19" s="121" t="s">
        <v>96</v>
      </c>
      <c r="C19" s="126"/>
      <c r="D19" s="121"/>
      <c r="E19" s="121"/>
      <c r="F19" s="121">
        <f t="shared" si="11"/>
        <v>0</v>
      </c>
      <c r="G19" s="121"/>
      <c r="H19" s="121"/>
      <c r="I19" s="121">
        <f t="shared" si="12"/>
        <v>0</v>
      </c>
      <c r="J19" s="121"/>
      <c r="K19" s="121"/>
      <c r="L19" s="121">
        <f t="shared" si="13"/>
        <v>0</v>
      </c>
      <c r="M19" s="121"/>
      <c r="N19" s="121"/>
      <c r="O19" s="121">
        <f t="shared" si="14"/>
        <v>0</v>
      </c>
    </row>
    <row r="20" spans="1:15" s="125" customFormat="1" collapsed="1" x14ac:dyDescent="0.3">
      <c r="A20" s="128" t="s">
        <v>28</v>
      </c>
      <c r="B20" s="129" t="s">
        <v>168</v>
      </c>
      <c r="C20" s="129" t="s">
        <v>160</v>
      </c>
      <c r="D20" s="129">
        <v>1</v>
      </c>
      <c r="E20" s="129">
        <f>SUMPRODUCT(D21:D23,E21:E23)</f>
        <v>0</v>
      </c>
      <c r="F20" s="129">
        <f>D20*E20</f>
        <v>0</v>
      </c>
      <c r="G20" s="129">
        <v>1</v>
      </c>
      <c r="H20" s="129">
        <f>SUMPRODUCT(G21:G23,H21:H23)</f>
        <v>0</v>
      </c>
      <c r="I20" s="129">
        <f>G20*H20</f>
        <v>0</v>
      </c>
      <c r="J20" s="129">
        <v>1</v>
      </c>
      <c r="K20" s="129">
        <f>SUMPRODUCT(J21:J23,K21:K23)</f>
        <v>0</v>
      </c>
      <c r="L20" s="129">
        <f>J20*K20</f>
        <v>0</v>
      </c>
      <c r="M20" s="129">
        <v>1</v>
      </c>
      <c r="N20" s="129">
        <f>SUMPRODUCT(M21:M23,N21:N23)</f>
        <v>0</v>
      </c>
      <c r="O20" s="129">
        <f>M20*N20</f>
        <v>0</v>
      </c>
    </row>
    <row r="21" spans="1:15" hidden="1" outlineLevel="1" x14ac:dyDescent="0.3">
      <c r="A21" s="120" t="s">
        <v>29</v>
      </c>
      <c r="B21" s="121" t="s">
        <v>170</v>
      </c>
      <c r="C21" s="126" t="s">
        <v>160</v>
      </c>
      <c r="D21" s="121"/>
      <c r="E21" s="121"/>
      <c r="F21" s="121">
        <f>D21*E21</f>
        <v>0</v>
      </c>
      <c r="G21" s="121"/>
      <c r="H21" s="121"/>
      <c r="I21" s="121">
        <f>G21*H21</f>
        <v>0</v>
      </c>
      <c r="J21" s="121"/>
      <c r="K21" s="121"/>
      <c r="L21" s="121">
        <f>J21*K21</f>
        <v>0</v>
      </c>
      <c r="M21" s="121"/>
      <c r="N21" s="121"/>
      <c r="O21" s="121">
        <f>M21*N21</f>
        <v>0</v>
      </c>
    </row>
    <row r="22" spans="1:15" hidden="1" outlineLevel="1" x14ac:dyDescent="0.3">
      <c r="A22" s="120" t="s">
        <v>30</v>
      </c>
      <c r="B22" s="121" t="s">
        <v>96</v>
      </c>
      <c r="C22" s="126"/>
      <c r="D22" s="121"/>
      <c r="E22" s="121"/>
      <c r="F22" s="121">
        <f t="shared" ref="F22:F23" si="15">D22*E22</f>
        <v>0</v>
      </c>
      <c r="G22" s="121"/>
      <c r="H22" s="121"/>
      <c r="I22" s="121">
        <f t="shared" ref="I22:I23" si="16">G22*H22</f>
        <v>0</v>
      </c>
      <c r="J22" s="121"/>
      <c r="K22" s="121"/>
      <c r="L22" s="121">
        <f t="shared" ref="L22:L23" si="17">J22*K22</f>
        <v>0</v>
      </c>
      <c r="M22" s="121"/>
      <c r="N22" s="121"/>
      <c r="O22" s="121">
        <f t="shared" ref="O22:O23" si="18">M22*N22</f>
        <v>0</v>
      </c>
    </row>
    <row r="23" spans="1:15" hidden="1" outlineLevel="1" x14ac:dyDescent="0.3">
      <c r="A23" s="120" t="s">
        <v>169</v>
      </c>
      <c r="B23" s="121" t="s">
        <v>96</v>
      </c>
      <c r="C23" s="126"/>
      <c r="D23" s="121"/>
      <c r="E23" s="121"/>
      <c r="F23" s="121">
        <f t="shared" si="15"/>
        <v>0</v>
      </c>
      <c r="G23" s="121"/>
      <c r="H23" s="121"/>
      <c r="I23" s="121">
        <f t="shared" si="16"/>
        <v>0</v>
      </c>
      <c r="J23" s="121"/>
      <c r="K23" s="121"/>
      <c r="L23" s="121">
        <f t="shared" si="17"/>
        <v>0</v>
      </c>
      <c r="M23" s="121"/>
      <c r="N23" s="121"/>
      <c r="O23" s="121">
        <f t="shared" si="18"/>
        <v>0</v>
      </c>
    </row>
    <row r="24" spans="1:15" collapsed="1" x14ac:dyDescent="0.3">
      <c r="A24" s="128" t="s">
        <v>3</v>
      </c>
      <c r="B24" s="129" t="s">
        <v>171</v>
      </c>
      <c r="C24" s="129" t="s">
        <v>160</v>
      </c>
      <c r="D24" s="129">
        <v>1</v>
      </c>
      <c r="E24" s="129">
        <f>SUMPRODUCT(D25:D27,E25:E27)</f>
        <v>0</v>
      </c>
      <c r="F24" s="129">
        <f>D24*E24</f>
        <v>0</v>
      </c>
      <c r="G24" s="129">
        <v>1</v>
      </c>
      <c r="H24" s="129">
        <f>SUMPRODUCT(G25:G27,H25:H27)</f>
        <v>0</v>
      </c>
      <c r="I24" s="129">
        <f>G24*H24</f>
        <v>0</v>
      </c>
      <c r="J24" s="129">
        <v>1</v>
      </c>
      <c r="K24" s="129">
        <f>SUMPRODUCT(J25:J27,K25:K27)</f>
        <v>0</v>
      </c>
      <c r="L24" s="129">
        <f>J24*K24</f>
        <v>0</v>
      </c>
      <c r="M24" s="129">
        <v>1</v>
      </c>
      <c r="N24" s="129">
        <f>SUMPRODUCT(M25:M27,N25:N27)</f>
        <v>0</v>
      </c>
      <c r="O24" s="129">
        <f>M24*N24</f>
        <v>0</v>
      </c>
    </row>
    <row r="25" spans="1:15" hidden="1" outlineLevel="1" x14ac:dyDescent="0.3">
      <c r="A25" s="120" t="s">
        <v>123</v>
      </c>
      <c r="B25" s="121" t="s">
        <v>172</v>
      </c>
      <c r="C25" s="126" t="s">
        <v>160</v>
      </c>
      <c r="D25" s="121"/>
      <c r="E25" s="121"/>
      <c r="F25" s="121">
        <f>D25*E25</f>
        <v>0</v>
      </c>
      <c r="G25" s="121"/>
      <c r="H25" s="121"/>
      <c r="I25" s="121">
        <f>G25*H25</f>
        <v>0</v>
      </c>
      <c r="J25" s="121"/>
      <c r="K25" s="121"/>
      <c r="L25" s="121">
        <f>J25*K25</f>
        <v>0</v>
      </c>
      <c r="M25" s="121"/>
      <c r="N25" s="121"/>
      <c r="O25" s="121">
        <f>M25*N25</f>
        <v>0</v>
      </c>
    </row>
    <row r="26" spans="1:15" hidden="1" outlineLevel="1" x14ac:dyDescent="0.3">
      <c r="A26" s="120" t="s">
        <v>124</v>
      </c>
      <c r="B26" s="121" t="s">
        <v>96</v>
      </c>
      <c r="C26" s="126"/>
      <c r="D26" s="121"/>
      <c r="E26" s="121"/>
      <c r="F26" s="121">
        <f t="shared" ref="F26:F27" si="19">D26*E26</f>
        <v>0</v>
      </c>
      <c r="G26" s="121"/>
      <c r="H26" s="121"/>
      <c r="I26" s="121">
        <f t="shared" ref="I26:I27" si="20">G26*H26</f>
        <v>0</v>
      </c>
      <c r="J26" s="121"/>
      <c r="K26" s="121"/>
      <c r="L26" s="121">
        <f t="shared" ref="L26:L27" si="21">J26*K26</f>
        <v>0</v>
      </c>
      <c r="M26" s="121"/>
      <c r="N26" s="121"/>
      <c r="O26" s="121">
        <f t="shared" ref="O26:O27" si="22">M26*N26</f>
        <v>0</v>
      </c>
    </row>
    <row r="27" spans="1:15" hidden="1" outlineLevel="1" x14ac:dyDescent="0.3">
      <c r="A27" s="120" t="s">
        <v>125</v>
      </c>
      <c r="B27" s="121" t="s">
        <v>96</v>
      </c>
      <c r="C27" s="126"/>
      <c r="D27" s="121"/>
      <c r="E27" s="121"/>
      <c r="F27" s="121">
        <f t="shared" si="19"/>
        <v>0</v>
      </c>
      <c r="G27" s="121"/>
      <c r="H27" s="121"/>
      <c r="I27" s="121">
        <f t="shared" si="20"/>
        <v>0</v>
      </c>
      <c r="J27" s="121"/>
      <c r="K27" s="121"/>
      <c r="L27" s="121">
        <f t="shared" si="21"/>
        <v>0</v>
      </c>
      <c r="M27" s="121"/>
      <c r="N27" s="121"/>
      <c r="O27" s="121">
        <f t="shared" si="22"/>
        <v>0</v>
      </c>
    </row>
    <row r="28" spans="1:15" collapsed="1" x14ac:dyDescent="0.3">
      <c r="A28" s="128" t="s">
        <v>47</v>
      </c>
      <c r="B28" s="129" t="s">
        <v>173</v>
      </c>
      <c r="C28" s="129" t="s">
        <v>160</v>
      </c>
      <c r="D28" s="129">
        <v>1</v>
      </c>
      <c r="E28" s="129">
        <f>SUMPRODUCT(D29:D31,E29:E31)</f>
        <v>0</v>
      </c>
      <c r="F28" s="129">
        <f>D28*E28</f>
        <v>0</v>
      </c>
      <c r="G28" s="129">
        <v>1</v>
      </c>
      <c r="H28" s="129">
        <f>SUMPRODUCT(G29:G31,H29:H31)</f>
        <v>0</v>
      </c>
      <c r="I28" s="129">
        <f>G28*H28</f>
        <v>0</v>
      </c>
      <c r="J28" s="129">
        <v>1</v>
      </c>
      <c r="K28" s="129">
        <f>SUMPRODUCT(J29:J31,K29:K31)</f>
        <v>0</v>
      </c>
      <c r="L28" s="129">
        <f>J28*K28</f>
        <v>0</v>
      </c>
      <c r="M28" s="129">
        <v>1</v>
      </c>
      <c r="N28" s="129">
        <f>SUMPRODUCT(M29:M31,N29:N31)</f>
        <v>0</v>
      </c>
      <c r="O28" s="129">
        <f>M28*N28</f>
        <v>0</v>
      </c>
    </row>
    <row r="29" spans="1:15" hidden="1" outlineLevel="1" x14ac:dyDescent="0.3">
      <c r="A29" s="120" t="s">
        <v>126</v>
      </c>
      <c r="B29" s="121" t="s">
        <v>174</v>
      </c>
      <c r="C29" s="126" t="s">
        <v>160</v>
      </c>
      <c r="D29" s="121"/>
      <c r="E29" s="121"/>
      <c r="F29" s="121">
        <f>D29*E29</f>
        <v>0</v>
      </c>
      <c r="G29" s="121"/>
      <c r="H29" s="121"/>
      <c r="I29" s="121">
        <f>G29*H29</f>
        <v>0</v>
      </c>
      <c r="J29" s="121"/>
      <c r="K29" s="121"/>
      <c r="L29" s="121">
        <f>J29*K29</f>
        <v>0</v>
      </c>
      <c r="M29" s="121"/>
      <c r="N29" s="121"/>
      <c r="O29" s="121">
        <f>M29*N29</f>
        <v>0</v>
      </c>
    </row>
    <row r="30" spans="1:15" hidden="1" outlineLevel="1" x14ac:dyDescent="0.3">
      <c r="A30" s="120" t="s">
        <v>127</v>
      </c>
      <c r="B30" s="121" t="s">
        <v>96</v>
      </c>
      <c r="C30" s="126"/>
      <c r="D30" s="121"/>
      <c r="E30" s="121"/>
      <c r="F30" s="121">
        <f t="shared" ref="F30:F31" si="23">D30*E30</f>
        <v>0</v>
      </c>
      <c r="G30" s="121"/>
      <c r="H30" s="121"/>
      <c r="I30" s="121">
        <f t="shared" ref="I30:I31" si="24">G30*H30</f>
        <v>0</v>
      </c>
      <c r="J30" s="121"/>
      <c r="K30" s="121"/>
      <c r="L30" s="121">
        <f t="shared" ref="L30:L31" si="25">J30*K30</f>
        <v>0</v>
      </c>
      <c r="M30" s="121"/>
      <c r="N30" s="121"/>
      <c r="O30" s="121">
        <f t="shared" ref="O30:O31" si="26">M30*N30</f>
        <v>0</v>
      </c>
    </row>
    <row r="31" spans="1:15" hidden="1" outlineLevel="1" x14ac:dyDescent="0.3">
      <c r="A31" s="120" t="s">
        <v>128</v>
      </c>
      <c r="B31" s="121" t="s">
        <v>96</v>
      </c>
      <c r="C31" s="126"/>
      <c r="D31" s="121"/>
      <c r="E31" s="121"/>
      <c r="F31" s="121">
        <f t="shared" si="23"/>
        <v>0</v>
      </c>
      <c r="G31" s="121"/>
      <c r="H31" s="121"/>
      <c r="I31" s="121">
        <f t="shared" si="24"/>
        <v>0</v>
      </c>
      <c r="J31" s="121"/>
      <c r="K31" s="121"/>
      <c r="L31" s="121">
        <f t="shared" si="25"/>
        <v>0</v>
      </c>
      <c r="M31" s="121"/>
      <c r="N31" s="121"/>
      <c r="O31" s="121">
        <f t="shared" si="26"/>
        <v>0</v>
      </c>
    </row>
    <row r="32" spans="1:15" collapsed="1" x14ac:dyDescent="0.3">
      <c r="A32" s="128" t="s">
        <v>62</v>
      </c>
      <c r="B32" s="129" t="s">
        <v>175</v>
      </c>
      <c r="C32" s="129" t="s">
        <v>160</v>
      </c>
      <c r="D32" s="129">
        <v>1</v>
      </c>
      <c r="E32" s="129">
        <f>SUMPRODUCT(D33:D35,E33:E35)</f>
        <v>0</v>
      </c>
      <c r="F32" s="129">
        <f>D32*E32</f>
        <v>0</v>
      </c>
      <c r="G32" s="129">
        <v>1</v>
      </c>
      <c r="H32" s="129">
        <f>SUMPRODUCT(G33:G35,H33:H35)</f>
        <v>0</v>
      </c>
      <c r="I32" s="129">
        <f>G32*H32</f>
        <v>0</v>
      </c>
      <c r="J32" s="129">
        <v>1</v>
      </c>
      <c r="K32" s="129">
        <f>SUMPRODUCT(J33:J35,K33:K35)</f>
        <v>0</v>
      </c>
      <c r="L32" s="129">
        <f>J32*K32</f>
        <v>0</v>
      </c>
      <c r="M32" s="129">
        <v>1</v>
      </c>
      <c r="N32" s="129">
        <f>SUMPRODUCT(M33:M35,N33:N35)</f>
        <v>0</v>
      </c>
      <c r="O32" s="129">
        <f>M32*N32</f>
        <v>0</v>
      </c>
    </row>
    <row r="33" spans="1:15" hidden="1" outlineLevel="1" x14ac:dyDescent="0.3">
      <c r="A33" s="120" t="s">
        <v>179</v>
      </c>
      <c r="B33" s="121" t="s">
        <v>176</v>
      </c>
      <c r="C33" s="126" t="s">
        <v>160</v>
      </c>
      <c r="D33" s="121"/>
      <c r="E33" s="121"/>
      <c r="F33" s="121">
        <f>D33*E33</f>
        <v>0</v>
      </c>
      <c r="G33" s="121"/>
      <c r="H33" s="121"/>
      <c r="I33" s="121">
        <f>G33*H33</f>
        <v>0</v>
      </c>
      <c r="J33" s="121"/>
      <c r="K33" s="121"/>
      <c r="L33" s="121">
        <f>J33*K33</f>
        <v>0</v>
      </c>
      <c r="M33" s="121"/>
      <c r="N33" s="121"/>
      <c r="O33" s="121">
        <f>M33*N33</f>
        <v>0</v>
      </c>
    </row>
    <row r="34" spans="1:15" hidden="1" outlineLevel="1" x14ac:dyDescent="0.3">
      <c r="A34" s="120" t="s">
        <v>180</v>
      </c>
      <c r="B34" s="121" t="s">
        <v>96</v>
      </c>
      <c r="C34" s="126"/>
      <c r="D34" s="121"/>
      <c r="E34" s="121"/>
      <c r="F34" s="121">
        <f t="shared" ref="F34:F35" si="27">D34*E34</f>
        <v>0</v>
      </c>
      <c r="G34" s="121"/>
      <c r="H34" s="121"/>
      <c r="I34" s="121">
        <f t="shared" ref="I34:I35" si="28">G34*H34</f>
        <v>0</v>
      </c>
      <c r="J34" s="121"/>
      <c r="K34" s="121"/>
      <c r="L34" s="121">
        <f t="shared" ref="L34:L35" si="29">J34*K34</f>
        <v>0</v>
      </c>
      <c r="M34" s="121"/>
      <c r="N34" s="121"/>
      <c r="O34" s="121">
        <f t="shared" ref="O34:O35" si="30">M34*N34</f>
        <v>0</v>
      </c>
    </row>
    <row r="35" spans="1:15" hidden="1" outlineLevel="1" x14ac:dyDescent="0.3">
      <c r="A35" s="120" t="s">
        <v>181</v>
      </c>
      <c r="B35" s="121" t="s">
        <v>96</v>
      </c>
      <c r="C35" s="126"/>
      <c r="D35" s="121"/>
      <c r="E35" s="121"/>
      <c r="F35" s="121">
        <f t="shared" si="27"/>
        <v>0</v>
      </c>
      <c r="G35" s="121"/>
      <c r="H35" s="121"/>
      <c r="I35" s="121">
        <f t="shared" si="28"/>
        <v>0</v>
      </c>
      <c r="J35" s="121"/>
      <c r="K35" s="121"/>
      <c r="L35" s="121">
        <f t="shared" si="29"/>
        <v>0</v>
      </c>
      <c r="M35" s="121"/>
      <c r="N35" s="121"/>
      <c r="O35" s="121">
        <f t="shared" si="30"/>
        <v>0</v>
      </c>
    </row>
    <row r="36" spans="1:15" collapsed="1" x14ac:dyDescent="0.3">
      <c r="A36" s="128" t="s">
        <v>63</v>
      </c>
      <c r="B36" s="129" t="s">
        <v>177</v>
      </c>
      <c r="C36" s="129" t="s">
        <v>160</v>
      </c>
      <c r="D36" s="129">
        <v>1</v>
      </c>
      <c r="E36" s="129">
        <f>SUMPRODUCT(D37:D39,E37:E39)</f>
        <v>0</v>
      </c>
      <c r="F36" s="129">
        <f>D36*E36</f>
        <v>0</v>
      </c>
      <c r="G36" s="129">
        <v>1</v>
      </c>
      <c r="H36" s="129">
        <f>SUMPRODUCT(G37:G39,H37:H39)</f>
        <v>0</v>
      </c>
      <c r="I36" s="129">
        <f>G36*H36</f>
        <v>0</v>
      </c>
      <c r="J36" s="129">
        <v>1</v>
      </c>
      <c r="K36" s="129">
        <f>SUMPRODUCT(J37:J39,K37:K39)</f>
        <v>0</v>
      </c>
      <c r="L36" s="129">
        <f>J36*K36</f>
        <v>0</v>
      </c>
      <c r="M36" s="129">
        <v>1</v>
      </c>
      <c r="N36" s="129">
        <f>SUMPRODUCT(M37:M39,N37:N39)</f>
        <v>0</v>
      </c>
      <c r="O36" s="129">
        <f>M36*N36</f>
        <v>0</v>
      </c>
    </row>
    <row r="37" spans="1:15" hidden="1" outlineLevel="1" x14ac:dyDescent="0.3">
      <c r="A37" s="120" t="s">
        <v>182</v>
      </c>
      <c r="B37" s="121" t="s">
        <v>178</v>
      </c>
      <c r="C37" s="126" t="s">
        <v>160</v>
      </c>
      <c r="D37" s="121"/>
      <c r="E37" s="121"/>
      <c r="F37" s="121">
        <f>D37*E37</f>
        <v>0</v>
      </c>
      <c r="G37" s="121"/>
      <c r="H37" s="121"/>
      <c r="I37" s="121">
        <f>G37*H37</f>
        <v>0</v>
      </c>
      <c r="J37" s="121"/>
      <c r="K37" s="121"/>
      <c r="L37" s="121">
        <f>J37*K37</f>
        <v>0</v>
      </c>
      <c r="M37" s="121"/>
      <c r="N37" s="121"/>
      <c r="O37" s="121">
        <f>M37*N37</f>
        <v>0</v>
      </c>
    </row>
    <row r="38" spans="1:15" hidden="1" outlineLevel="1" x14ac:dyDescent="0.3">
      <c r="A38" s="120" t="s">
        <v>183</v>
      </c>
      <c r="B38" s="121" t="s">
        <v>96</v>
      </c>
      <c r="C38" s="126"/>
      <c r="D38" s="121"/>
      <c r="E38" s="121"/>
      <c r="F38" s="121">
        <f t="shared" ref="F38:F39" si="31">D38*E38</f>
        <v>0</v>
      </c>
      <c r="G38" s="121"/>
      <c r="H38" s="121"/>
      <c r="I38" s="121">
        <f t="shared" ref="I38:I39" si="32">G38*H38</f>
        <v>0</v>
      </c>
      <c r="J38" s="121"/>
      <c r="K38" s="121"/>
      <c r="L38" s="121">
        <f t="shared" ref="L38:L39" si="33">J38*K38</f>
        <v>0</v>
      </c>
      <c r="M38" s="121"/>
      <c r="N38" s="121"/>
      <c r="O38" s="121">
        <f t="shared" ref="O38:O39" si="34">M38*N38</f>
        <v>0</v>
      </c>
    </row>
    <row r="39" spans="1:15" hidden="1" outlineLevel="1" x14ac:dyDescent="0.3">
      <c r="A39" s="120" t="s">
        <v>184</v>
      </c>
      <c r="B39" s="121" t="s">
        <v>96</v>
      </c>
      <c r="C39" s="126"/>
      <c r="D39" s="121"/>
      <c r="E39" s="121"/>
      <c r="F39" s="121">
        <f t="shared" si="31"/>
        <v>0</v>
      </c>
      <c r="G39" s="121"/>
      <c r="H39" s="121"/>
      <c r="I39" s="121">
        <f t="shared" si="32"/>
        <v>0</v>
      </c>
      <c r="J39" s="121"/>
      <c r="K39" s="121"/>
      <c r="L39" s="121">
        <f t="shared" si="33"/>
        <v>0</v>
      </c>
      <c r="M39" s="121"/>
      <c r="N39" s="121"/>
      <c r="O39" s="121">
        <f t="shared" si="34"/>
        <v>0</v>
      </c>
    </row>
    <row r="40" spans="1:15" collapsed="1" x14ac:dyDescent="0.3">
      <c r="A40" s="128" t="s">
        <v>64</v>
      </c>
      <c r="B40" s="129" t="s">
        <v>185</v>
      </c>
      <c r="C40" s="129" t="s">
        <v>160</v>
      </c>
      <c r="D40" s="129">
        <v>1</v>
      </c>
      <c r="E40" s="129">
        <f>SUMPRODUCT(D41:D43,E41:E43)</f>
        <v>0</v>
      </c>
      <c r="F40" s="129">
        <f>D40*E40</f>
        <v>0</v>
      </c>
      <c r="G40" s="129">
        <v>1</v>
      </c>
      <c r="H40" s="129">
        <f>SUMPRODUCT(G41:G43,H41:H43)</f>
        <v>0</v>
      </c>
      <c r="I40" s="129">
        <f>G40*H40</f>
        <v>0</v>
      </c>
      <c r="J40" s="129">
        <v>1</v>
      </c>
      <c r="K40" s="129">
        <f>SUMPRODUCT(J41:J43,K41:K43)</f>
        <v>0</v>
      </c>
      <c r="L40" s="129">
        <f>J40*K40</f>
        <v>0</v>
      </c>
      <c r="M40" s="129">
        <v>1</v>
      </c>
      <c r="N40" s="129">
        <f>SUMPRODUCT(M41:M43,N41:N43)</f>
        <v>0</v>
      </c>
      <c r="O40" s="129">
        <f>M40*N40</f>
        <v>0</v>
      </c>
    </row>
    <row r="41" spans="1:15" hidden="1" outlineLevel="1" x14ac:dyDescent="0.3">
      <c r="A41" s="120" t="s">
        <v>120</v>
      </c>
      <c r="B41" s="121" t="s">
        <v>186</v>
      </c>
      <c r="C41" s="126" t="s">
        <v>160</v>
      </c>
      <c r="D41" s="121"/>
      <c r="E41" s="121"/>
      <c r="F41" s="121">
        <f>D41*E41</f>
        <v>0</v>
      </c>
      <c r="G41" s="121"/>
      <c r="H41" s="121"/>
      <c r="I41" s="121">
        <f>G41*H41</f>
        <v>0</v>
      </c>
      <c r="J41" s="121"/>
      <c r="K41" s="121"/>
      <c r="L41" s="121">
        <f>J41*K41</f>
        <v>0</v>
      </c>
      <c r="M41" s="121"/>
      <c r="N41" s="121"/>
      <c r="O41" s="121">
        <f>M41*N41</f>
        <v>0</v>
      </c>
    </row>
    <row r="42" spans="1:15" hidden="1" outlineLevel="1" x14ac:dyDescent="0.3">
      <c r="A42" s="120" t="s">
        <v>121</v>
      </c>
      <c r="B42" s="121" t="s">
        <v>96</v>
      </c>
      <c r="C42" s="126"/>
      <c r="D42" s="121"/>
      <c r="E42" s="121"/>
      <c r="F42" s="121">
        <f t="shared" ref="F42:F43" si="35">D42*E42</f>
        <v>0</v>
      </c>
      <c r="G42" s="121"/>
      <c r="H42" s="121"/>
      <c r="I42" s="121">
        <f t="shared" ref="I42:I43" si="36">G42*H42</f>
        <v>0</v>
      </c>
      <c r="J42" s="121"/>
      <c r="K42" s="121"/>
      <c r="L42" s="121">
        <f t="shared" ref="L42:L43" si="37">J42*K42</f>
        <v>0</v>
      </c>
      <c r="M42" s="121"/>
      <c r="N42" s="121"/>
      <c r="O42" s="121">
        <f t="shared" ref="O42:O43" si="38">M42*N42</f>
        <v>0</v>
      </c>
    </row>
    <row r="43" spans="1:15" hidden="1" outlineLevel="1" x14ac:dyDescent="0.3">
      <c r="A43" s="120" t="s">
        <v>122</v>
      </c>
      <c r="B43" s="121" t="s">
        <v>96</v>
      </c>
      <c r="C43" s="126"/>
      <c r="D43" s="121"/>
      <c r="E43" s="121"/>
      <c r="F43" s="121">
        <f t="shared" si="35"/>
        <v>0</v>
      </c>
      <c r="G43" s="121"/>
      <c r="H43" s="121"/>
      <c r="I43" s="121">
        <f t="shared" si="36"/>
        <v>0</v>
      </c>
      <c r="J43" s="121"/>
      <c r="K43" s="121"/>
      <c r="L43" s="121">
        <f t="shared" si="37"/>
        <v>0</v>
      </c>
      <c r="M43" s="121"/>
      <c r="N43" s="121"/>
      <c r="O43" s="121">
        <f t="shared" si="38"/>
        <v>0</v>
      </c>
    </row>
    <row r="44" spans="1:15" collapsed="1" x14ac:dyDescent="0.3">
      <c r="A44" s="128" t="s">
        <v>65</v>
      </c>
      <c r="B44" s="129" t="s">
        <v>190</v>
      </c>
      <c r="C44" s="129" t="s">
        <v>160</v>
      </c>
      <c r="D44" s="129">
        <v>1</v>
      </c>
      <c r="E44" s="129">
        <f>SUMPRODUCT(D45:D47,E45:E47)</f>
        <v>0</v>
      </c>
      <c r="F44" s="129">
        <f>D44*E44</f>
        <v>0</v>
      </c>
      <c r="G44" s="129">
        <v>1</v>
      </c>
      <c r="H44" s="129">
        <f>SUMPRODUCT(G45:G47,H45:H47)</f>
        <v>0</v>
      </c>
      <c r="I44" s="129">
        <f>G44*H44</f>
        <v>0</v>
      </c>
      <c r="J44" s="129">
        <v>1</v>
      </c>
      <c r="K44" s="129">
        <f>SUMPRODUCT(J45:J47,K45:K47)</f>
        <v>0</v>
      </c>
      <c r="L44" s="129">
        <f>J44*K44</f>
        <v>0</v>
      </c>
      <c r="M44" s="129">
        <v>1</v>
      </c>
      <c r="N44" s="129">
        <f>SUMPRODUCT(M45:M47,N45:N47)</f>
        <v>0</v>
      </c>
      <c r="O44" s="129">
        <f>M44*N44</f>
        <v>0</v>
      </c>
    </row>
    <row r="45" spans="1:15" hidden="1" outlineLevel="1" x14ac:dyDescent="0.3">
      <c r="A45" s="120" t="s">
        <v>187</v>
      </c>
      <c r="B45" s="121" t="s">
        <v>191</v>
      </c>
      <c r="C45" s="126" t="s">
        <v>160</v>
      </c>
      <c r="D45" s="121"/>
      <c r="E45" s="121"/>
      <c r="F45" s="121">
        <f>D45*E45</f>
        <v>0</v>
      </c>
      <c r="G45" s="121"/>
      <c r="H45" s="121"/>
      <c r="I45" s="121">
        <f>G45*H45</f>
        <v>0</v>
      </c>
      <c r="J45" s="121"/>
      <c r="K45" s="121"/>
      <c r="L45" s="121">
        <f>J45*K45</f>
        <v>0</v>
      </c>
      <c r="M45" s="121"/>
      <c r="N45" s="121"/>
      <c r="O45" s="121">
        <f>M45*N45</f>
        <v>0</v>
      </c>
    </row>
    <row r="46" spans="1:15" hidden="1" outlineLevel="1" x14ac:dyDescent="0.3">
      <c r="A46" s="120" t="s">
        <v>188</v>
      </c>
      <c r="B46" s="121" t="s">
        <v>96</v>
      </c>
      <c r="C46" s="126"/>
      <c r="D46" s="121"/>
      <c r="E46" s="121"/>
      <c r="F46" s="121">
        <f t="shared" ref="F46:F47" si="39">D46*E46</f>
        <v>0</v>
      </c>
      <c r="G46" s="121"/>
      <c r="H46" s="121"/>
      <c r="I46" s="121">
        <f t="shared" ref="I46:I47" si="40">G46*H46</f>
        <v>0</v>
      </c>
      <c r="J46" s="121"/>
      <c r="K46" s="121"/>
      <c r="L46" s="121">
        <f t="shared" ref="L46:L47" si="41">J46*K46</f>
        <v>0</v>
      </c>
      <c r="M46" s="121"/>
      <c r="N46" s="121"/>
      <c r="O46" s="121">
        <f t="shared" ref="O46:O47" si="42">M46*N46</f>
        <v>0</v>
      </c>
    </row>
    <row r="47" spans="1:15" hidden="1" outlineLevel="1" x14ac:dyDescent="0.3">
      <c r="A47" s="120" t="s">
        <v>189</v>
      </c>
      <c r="B47" s="121" t="s">
        <v>96</v>
      </c>
      <c r="C47" s="126"/>
      <c r="D47" s="121"/>
      <c r="E47" s="121"/>
      <c r="F47" s="121">
        <f t="shared" si="39"/>
        <v>0</v>
      </c>
      <c r="G47" s="121"/>
      <c r="H47" s="121"/>
      <c r="I47" s="121">
        <f t="shared" si="40"/>
        <v>0</v>
      </c>
      <c r="J47" s="121"/>
      <c r="K47" s="121"/>
      <c r="L47" s="121">
        <f t="shared" si="41"/>
        <v>0</v>
      </c>
      <c r="M47" s="121"/>
      <c r="N47" s="121"/>
      <c r="O47" s="121">
        <f t="shared" si="42"/>
        <v>0</v>
      </c>
    </row>
    <row r="48" spans="1:15" collapsed="1" x14ac:dyDescent="0.3">
      <c r="A48" s="128" t="s">
        <v>86</v>
      </c>
      <c r="B48" s="129" t="s">
        <v>195</v>
      </c>
      <c r="C48" s="129" t="s">
        <v>160</v>
      </c>
      <c r="D48" s="129">
        <v>1</v>
      </c>
      <c r="E48" s="129">
        <f>SUMPRODUCT(D49:D51,E49:E51)</f>
        <v>0</v>
      </c>
      <c r="F48" s="129">
        <f>D48*E48</f>
        <v>0</v>
      </c>
      <c r="G48" s="129">
        <v>1</v>
      </c>
      <c r="H48" s="129">
        <f>SUMPRODUCT(G49:G51,H49:H51)</f>
        <v>0</v>
      </c>
      <c r="I48" s="129">
        <f>G48*H48</f>
        <v>0</v>
      </c>
      <c r="J48" s="129">
        <v>1</v>
      </c>
      <c r="K48" s="129">
        <f>SUMPRODUCT(J49:J51,K49:K51)</f>
        <v>0</v>
      </c>
      <c r="L48" s="129">
        <f>J48*K48</f>
        <v>0</v>
      </c>
      <c r="M48" s="129">
        <v>1</v>
      </c>
      <c r="N48" s="129">
        <f>SUMPRODUCT(M49:M51,N49:N51)</f>
        <v>0</v>
      </c>
      <c r="O48" s="129">
        <f>M48*N48</f>
        <v>0</v>
      </c>
    </row>
    <row r="49" spans="1:15" hidden="1" outlineLevel="1" x14ac:dyDescent="0.3">
      <c r="A49" s="120" t="s">
        <v>192</v>
      </c>
      <c r="B49" s="121" t="s">
        <v>196</v>
      </c>
      <c r="C49" s="126" t="s">
        <v>160</v>
      </c>
      <c r="D49" s="121"/>
      <c r="E49" s="121"/>
      <c r="F49" s="121">
        <f>D49*E49</f>
        <v>0</v>
      </c>
      <c r="G49" s="121"/>
      <c r="H49" s="121"/>
      <c r="I49" s="121">
        <f>G49*H49</f>
        <v>0</v>
      </c>
      <c r="J49" s="121"/>
      <c r="K49" s="121"/>
      <c r="L49" s="121">
        <f>J49*K49</f>
        <v>0</v>
      </c>
      <c r="M49" s="121"/>
      <c r="N49" s="121"/>
      <c r="O49" s="121">
        <f>M49*N49</f>
        <v>0</v>
      </c>
    </row>
    <row r="50" spans="1:15" hidden="1" outlineLevel="1" x14ac:dyDescent="0.3">
      <c r="A50" s="120" t="s">
        <v>193</v>
      </c>
      <c r="B50" s="121" t="s">
        <v>96</v>
      </c>
      <c r="C50" s="126"/>
      <c r="D50" s="121"/>
      <c r="E50" s="121"/>
      <c r="F50" s="121">
        <f t="shared" ref="F50:F51" si="43">D50*E50</f>
        <v>0</v>
      </c>
      <c r="G50" s="121"/>
      <c r="H50" s="121"/>
      <c r="I50" s="121">
        <f t="shared" ref="I50:I51" si="44">G50*H50</f>
        <v>0</v>
      </c>
      <c r="J50" s="121"/>
      <c r="K50" s="121"/>
      <c r="L50" s="121">
        <f t="shared" ref="L50:L51" si="45">J50*K50</f>
        <v>0</v>
      </c>
      <c r="M50" s="121"/>
      <c r="N50" s="121"/>
      <c r="O50" s="121">
        <f t="shared" ref="O50:O51" si="46">M50*N50</f>
        <v>0</v>
      </c>
    </row>
    <row r="51" spans="1:15" hidden="1" outlineLevel="1" x14ac:dyDescent="0.3">
      <c r="A51" s="120" t="s">
        <v>194</v>
      </c>
      <c r="B51" s="121" t="s">
        <v>96</v>
      </c>
      <c r="C51" s="126"/>
      <c r="D51" s="121"/>
      <c r="E51" s="121"/>
      <c r="F51" s="121">
        <f t="shared" si="43"/>
        <v>0</v>
      </c>
      <c r="G51" s="121"/>
      <c r="H51" s="121"/>
      <c r="I51" s="121">
        <f t="shared" si="44"/>
        <v>0</v>
      </c>
      <c r="J51" s="121"/>
      <c r="K51" s="121"/>
      <c r="L51" s="121">
        <f t="shared" si="45"/>
        <v>0</v>
      </c>
      <c r="M51" s="121"/>
      <c r="N51" s="121"/>
      <c r="O51" s="121">
        <f t="shared" si="46"/>
        <v>0</v>
      </c>
    </row>
    <row r="52" spans="1:15" collapsed="1" x14ac:dyDescent="0.3">
      <c r="A52" s="128" t="s">
        <v>87</v>
      </c>
      <c r="B52" s="129" t="s">
        <v>197</v>
      </c>
      <c r="C52" s="129" t="s">
        <v>160</v>
      </c>
      <c r="D52" s="129">
        <v>1</v>
      </c>
      <c r="E52" s="129">
        <f>SUMPRODUCT(D53:D55,E53:E55)</f>
        <v>0</v>
      </c>
      <c r="F52" s="129">
        <f>D52*E52</f>
        <v>0</v>
      </c>
      <c r="G52" s="129">
        <v>1</v>
      </c>
      <c r="H52" s="129">
        <f>SUMPRODUCT(G53:G55,H53:H55)</f>
        <v>0</v>
      </c>
      <c r="I52" s="129">
        <f>G52*H52</f>
        <v>0</v>
      </c>
      <c r="J52" s="129">
        <v>1</v>
      </c>
      <c r="K52" s="129">
        <f>SUMPRODUCT(J53:J55,K53:K55)</f>
        <v>0</v>
      </c>
      <c r="L52" s="129">
        <f>J52*K52</f>
        <v>0</v>
      </c>
      <c r="M52" s="129">
        <v>1</v>
      </c>
      <c r="N52" s="129">
        <f>SUMPRODUCT(M53:M55,N53:N55)</f>
        <v>0</v>
      </c>
      <c r="O52" s="129">
        <f>M52*N52</f>
        <v>0</v>
      </c>
    </row>
    <row r="53" spans="1:15" hidden="1" outlineLevel="1" x14ac:dyDescent="0.3">
      <c r="A53" s="120" t="s">
        <v>199</v>
      </c>
      <c r="B53" s="121" t="s">
        <v>198</v>
      </c>
      <c r="C53" s="126" t="s">
        <v>160</v>
      </c>
      <c r="D53" s="121"/>
      <c r="E53" s="121"/>
      <c r="F53" s="121">
        <f>D53*E53</f>
        <v>0</v>
      </c>
      <c r="G53" s="121"/>
      <c r="H53" s="121"/>
      <c r="I53" s="121">
        <f>G53*H53</f>
        <v>0</v>
      </c>
      <c r="J53" s="121"/>
      <c r="K53" s="121"/>
      <c r="L53" s="121">
        <f>J53*K53</f>
        <v>0</v>
      </c>
      <c r="M53" s="121"/>
      <c r="N53" s="121"/>
      <c r="O53" s="121">
        <f>M53*N53</f>
        <v>0</v>
      </c>
    </row>
    <row r="54" spans="1:15" hidden="1" outlineLevel="1" x14ac:dyDescent="0.3">
      <c r="A54" s="120" t="s">
        <v>200</v>
      </c>
      <c r="B54" s="121" t="s">
        <v>96</v>
      </c>
      <c r="C54" s="126"/>
      <c r="D54" s="121"/>
      <c r="E54" s="121"/>
      <c r="F54" s="121">
        <f t="shared" ref="F54:F55" si="47">D54*E54</f>
        <v>0</v>
      </c>
      <c r="G54" s="121"/>
      <c r="H54" s="121"/>
      <c r="I54" s="121">
        <f t="shared" ref="I54:I55" si="48">G54*H54</f>
        <v>0</v>
      </c>
      <c r="J54" s="121"/>
      <c r="K54" s="121"/>
      <c r="L54" s="121">
        <f t="shared" ref="L54:L55" si="49">J54*K54</f>
        <v>0</v>
      </c>
      <c r="M54" s="121"/>
      <c r="N54" s="121"/>
      <c r="O54" s="121">
        <f t="shared" ref="O54:O55" si="50">M54*N54</f>
        <v>0</v>
      </c>
    </row>
    <row r="55" spans="1:15" hidden="1" outlineLevel="1" x14ac:dyDescent="0.3">
      <c r="A55" s="120" t="s">
        <v>201</v>
      </c>
      <c r="B55" s="121" t="s">
        <v>96</v>
      </c>
      <c r="C55" s="126"/>
      <c r="D55" s="121"/>
      <c r="E55" s="121"/>
      <c r="F55" s="121">
        <f t="shared" si="47"/>
        <v>0</v>
      </c>
      <c r="G55" s="121"/>
      <c r="H55" s="121"/>
      <c r="I55" s="121">
        <f t="shared" si="48"/>
        <v>0</v>
      </c>
      <c r="J55" s="121"/>
      <c r="K55" s="121"/>
      <c r="L55" s="121">
        <f t="shared" si="49"/>
        <v>0</v>
      </c>
      <c r="M55" s="121"/>
      <c r="N55" s="121"/>
      <c r="O55" s="121">
        <f t="shared" si="50"/>
        <v>0</v>
      </c>
    </row>
    <row r="56" spans="1:15" collapsed="1" x14ac:dyDescent="0.3">
      <c r="A56" s="128" t="s">
        <v>137</v>
      </c>
      <c r="B56" s="129" t="s">
        <v>205</v>
      </c>
      <c r="C56" s="129" t="s">
        <v>160</v>
      </c>
      <c r="D56" s="129">
        <v>1</v>
      </c>
      <c r="E56" s="129">
        <f>SUMPRODUCT(D57:D59,E57:E59)</f>
        <v>0</v>
      </c>
      <c r="F56" s="129">
        <f>D56*E56</f>
        <v>0</v>
      </c>
      <c r="G56" s="129">
        <v>1</v>
      </c>
      <c r="H56" s="129">
        <f>SUMPRODUCT(G57:G59,H57:H59)</f>
        <v>0</v>
      </c>
      <c r="I56" s="129">
        <f>G56*H56</f>
        <v>0</v>
      </c>
      <c r="J56" s="129">
        <v>1</v>
      </c>
      <c r="K56" s="129">
        <f>SUMPRODUCT(J57:J59,K57:K59)</f>
        <v>0</v>
      </c>
      <c r="L56" s="129">
        <f>J56*K56</f>
        <v>0</v>
      </c>
      <c r="M56" s="129">
        <v>1</v>
      </c>
      <c r="N56" s="129">
        <f>SUMPRODUCT(M57:M59,N57:N59)</f>
        <v>0</v>
      </c>
      <c r="O56" s="129">
        <f>M56*N56</f>
        <v>0</v>
      </c>
    </row>
    <row r="57" spans="1:15" hidden="1" outlineLevel="1" x14ac:dyDescent="0.3">
      <c r="A57" s="1" t="s">
        <v>202</v>
      </c>
      <c r="B57" s="3" t="s">
        <v>206</v>
      </c>
      <c r="C57" s="2" t="s">
        <v>160</v>
      </c>
      <c r="F57" s="3">
        <f>D57*E57</f>
        <v>0</v>
      </c>
      <c r="I57" s="3">
        <f>G57*H57</f>
        <v>0</v>
      </c>
      <c r="L57" s="3">
        <f>J57*K57</f>
        <v>0</v>
      </c>
      <c r="O57" s="3">
        <f>M57*N57</f>
        <v>0</v>
      </c>
    </row>
    <row r="58" spans="1:15" hidden="1" outlineLevel="1" x14ac:dyDescent="0.3">
      <c r="A58" s="1" t="s">
        <v>203</v>
      </c>
      <c r="B58" s="3" t="s">
        <v>96</v>
      </c>
      <c r="F58" s="3">
        <f t="shared" ref="F58:F59" si="51">D58*E58</f>
        <v>0</v>
      </c>
      <c r="I58" s="3">
        <f t="shared" ref="I58:I59" si="52">G58*H58</f>
        <v>0</v>
      </c>
      <c r="L58" s="3">
        <f t="shared" ref="L58:L59" si="53">J58*K58</f>
        <v>0</v>
      </c>
      <c r="O58" s="3">
        <f t="shared" ref="O58:O59" si="54">M58*N58</f>
        <v>0</v>
      </c>
    </row>
    <row r="59" spans="1:15" hidden="1" outlineLevel="1" x14ac:dyDescent="0.3">
      <c r="A59" s="1" t="s">
        <v>204</v>
      </c>
      <c r="B59" s="3" t="s">
        <v>96</v>
      </c>
      <c r="F59" s="3">
        <f t="shared" si="51"/>
        <v>0</v>
      </c>
      <c r="I59" s="3">
        <f t="shared" si="52"/>
        <v>0</v>
      </c>
      <c r="L59" s="3">
        <f t="shared" si="53"/>
        <v>0</v>
      </c>
      <c r="O59" s="3">
        <f t="shared" si="54"/>
        <v>0</v>
      </c>
    </row>
    <row r="60" spans="1:15" collapsed="1" x14ac:dyDescent="0.3">
      <c r="A60" s="128" t="s">
        <v>137</v>
      </c>
      <c r="B60" s="129" t="s">
        <v>231</v>
      </c>
      <c r="C60" s="129" t="s">
        <v>160</v>
      </c>
      <c r="D60" s="129">
        <v>1</v>
      </c>
      <c r="E60" s="129">
        <f>SUMPRODUCT(D61:D63,E61:E63)</f>
        <v>0</v>
      </c>
      <c r="F60" s="129">
        <f>D60*E60</f>
        <v>0</v>
      </c>
      <c r="G60" s="129">
        <v>1</v>
      </c>
      <c r="H60" s="129">
        <f>SUMPRODUCT(G61:G63,H61:H63)</f>
        <v>0</v>
      </c>
      <c r="I60" s="129">
        <f>G60*H60</f>
        <v>0</v>
      </c>
      <c r="J60" s="129">
        <v>1</v>
      </c>
      <c r="K60" s="129">
        <f>SUMPRODUCT(J61:J63,K61:K63)</f>
        <v>0</v>
      </c>
      <c r="L60" s="129">
        <f>J60*K60</f>
        <v>0</v>
      </c>
      <c r="M60" s="129">
        <v>1</v>
      </c>
      <c r="N60" s="129">
        <f>SUMPRODUCT(M61:M63,N61:N63)</f>
        <v>0</v>
      </c>
      <c r="O60" s="129">
        <f>M60*N60</f>
        <v>0</v>
      </c>
    </row>
    <row r="61" spans="1:15" hidden="1" outlineLevel="1" x14ac:dyDescent="0.3">
      <c r="A61" s="1" t="s">
        <v>202</v>
      </c>
      <c r="B61" s="3" t="s">
        <v>239</v>
      </c>
      <c r="C61" s="2" t="s">
        <v>160</v>
      </c>
      <c r="F61" s="3">
        <f>D61*E61</f>
        <v>0</v>
      </c>
      <c r="I61" s="3">
        <f>G61*H61</f>
        <v>0</v>
      </c>
      <c r="L61" s="3">
        <f>J61*K61</f>
        <v>0</v>
      </c>
      <c r="O61" s="3">
        <f>M61*N61</f>
        <v>0</v>
      </c>
    </row>
    <row r="62" spans="1:15" hidden="1" outlineLevel="1" x14ac:dyDescent="0.3">
      <c r="A62" s="1" t="s">
        <v>203</v>
      </c>
      <c r="B62" s="3" t="s">
        <v>96</v>
      </c>
      <c r="F62" s="3">
        <f t="shared" ref="F62:F63" si="55">D62*E62</f>
        <v>0</v>
      </c>
      <c r="I62" s="3">
        <f t="shared" ref="I62:I63" si="56">G62*H62</f>
        <v>0</v>
      </c>
      <c r="L62" s="3">
        <f t="shared" ref="L62:L63" si="57">J62*K62</f>
        <v>0</v>
      </c>
      <c r="O62" s="3">
        <f t="shared" ref="O62:O63" si="58">M62*N62</f>
        <v>0</v>
      </c>
    </row>
    <row r="63" spans="1:15" hidden="1" outlineLevel="1" x14ac:dyDescent="0.3">
      <c r="A63" s="1" t="s">
        <v>204</v>
      </c>
      <c r="B63" s="3" t="s">
        <v>96</v>
      </c>
      <c r="F63" s="3">
        <f t="shared" si="55"/>
        <v>0</v>
      </c>
      <c r="I63" s="3">
        <f t="shared" si="56"/>
        <v>0</v>
      </c>
      <c r="L63" s="3">
        <f t="shared" si="57"/>
        <v>0</v>
      </c>
      <c r="O63" s="3">
        <f t="shared" si="58"/>
        <v>0</v>
      </c>
    </row>
    <row r="64" spans="1:15" collapsed="1" x14ac:dyDescent="0.3"/>
    <row r="67" spans="1:15" x14ac:dyDescent="0.3">
      <c r="A67" s="692" t="s">
        <v>208</v>
      </c>
      <c r="B67" s="692"/>
      <c r="C67" s="692"/>
      <c r="D67" s="692"/>
      <c r="E67" s="692"/>
      <c r="F67" s="692"/>
    </row>
    <row r="68" spans="1:15" ht="27.6" x14ac:dyDescent="0.3">
      <c r="A68" s="120" t="s">
        <v>31</v>
      </c>
      <c r="B68" s="126" t="s">
        <v>156</v>
      </c>
      <c r="C68" s="127" t="s">
        <v>90</v>
      </c>
      <c r="D68" s="126" t="s">
        <v>11</v>
      </c>
      <c r="E68" s="126" t="s">
        <v>157</v>
      </c>
      <c r="F68" s="126" t="s">
        <v>158</v>
      </c>
      <c r="G68" s="126" t="s">
        <v>11</v>
      </c>
      <c r="H68" s="126" t="s">
        <v>157</v>
      </c>
      <c r="I68" s="126" t="s">
        <v>158</v>
      </c>
      <c r="J68" s="126" t="s">
        <v>11</v>
      </c>
      <c r="K68" s="126" t="s">
        <v>157</v>
      </c>
      <c r="L68" s="126" t="s">
        <v>158</v>
      </c>
      <c r="M68" s="126" t="s">
        <v>11</v>
      </c>
      <c r="N68" s="126" t="s">
        <v>157</v>
      </c>
      <c r="O68" s="126" t="s">
        <v>158</v>
      </c>
    </row>
  </sheetData>
  <mergeCells count="6">
    <mergeCell ref="M2:O2"/>
    <mergeCell ref="A1:F1"/>
    <mergeCell ref="A67:F67"/>
    <mergeCell ref="D2:F2"/>
    <mergeCell ref="G2:I2"/>
    <mergeCell ref="J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32"/>
  <sheetViews>
    <sheetView workbookViewId="0">
      <selection activeCell="O14" sqref="O14"/>
    </sheetView>
  </sheetViews>
  <sheetFormatPr defaultColWidth="9.109375" defaultRowHeight="13.8" x14ac:dyDescent="0.3"/>
  <cols>
    <col min="1" max="1" width="1.33203125" style="3" customWidth="1"/>
    <col min="2" max="2" width="55.109375" style="3" customWidth="1"/>
    <col min="3" max="8" width="16.5546875" style="3" customWidth="1"/>
    <col min="9" max="16384" width="9.109375" style="3"/>
  </cols>
  <sheetData>
    <row r="1" spans="2:8" ht="14.4" thickBot="1" x14ac:dyDescent="0.35"/>
    <row r="2" spans="2:8" x14ac:dyDescent="0.3">
      <c r="B2" s="699" t="s">
        <v>245</v>
      </c>
      <c r="C2" s="696" t="s">
        <v>247</v>
      </c>
      <c r="D2" s="697"/>
      <c r="E2" s="697"/>
      <c r="F2" s="697"/>
      <c r="G2" s="697"/>
      <c r="H2" s="698"/>
    </row>
    <row r="3" spans="2:8" x14ac:dyDescent="0.3">
      <c r="B3" s="700"/>
      <c r="C3" s="693" t="s">
        <v>246</v>
      </c>
      <c r="D3" s="694"/>
      <c r="E3" s="694"/>
      <c r="F3" s="694"/>
      <c r="G3" s="694"/>
      <c r="H3" s="695"/>
    </row>
    <row r="4" spans="2:8" ht="14.4" thickBot="1" x14ac:dyDescent="0.35">
      <c r="B4" s="701"/>
      <c r="C4" s="232" t="s">
        <v>254</v>
      </c>
      <c r="D4" s="233" t="s">
        <v>252</v>
      </c>
      <c r="E4" s="233" t="s">
        <v>253</v>
      </c>
      <c r="F4" s="233" t="s">
        <v>255</v>
      </c>
      <c r="G4" s="233" t="s">
        <v>256</v>
      </c>
      <c r="H4" s="234"/>
    </row>
    <row r="5" spans="2:8" s="213" customFormat="1" x14ac:dyDescent="0.3">
      <c r="B5" s="228" t="s">
        <v>248</v>
      </c>
      <c r="C5" s="217"/>
      <c r="D5" s="218"/>
      <c r="E5" s="218"/>
      <c r="F5" s="218"/>
      <c r="G5" s="218"/>
      <c r="H5" s="219"/>
    </row>
    <row r="6" spans="2:8" x14ac:dyDescent="0.3">
      <c r="B6" s="229" t="s">
        <v>98</v>
      </c>
      <c r="C6" s="220"/>
      <c r="D6" s="214"/>
      <c r="E6" s="214"/>
      <c r="F6" s="214"/>
      <c r="G6" s="214"/>
      <c r="H6" s="221"/>
    </row>
    <row r="7" spans="2:8" x14ac:dyDescent="0.3">
      <c r="B7" s="229" t="s">
        <v>97</v>
      </c>
      <c r="C7" s="220"/>
      <c r="D7" s="214"/>
      <c r="E7" s="214"/>
      <c r="F7" s="214"/>
      <c r="G7" s="214"/>
      <c r="H7" s="221"/>
    </row>
    <row r="8" spans="2:8" x14ac:dyDescent="0.3">
      <c r="B8" s="229" t="s">
        <v>165</v>
      </c>
      <c r="C8" s="220"/>
      <c r="D8" s="214"/>
      <c r="E8" s="214"/>
      <c r="F8" s="214"/>
      <c r="G8" s="214"/>
      <c r="H8" s="221"/>
    </row>
    <row r="9" spans="2:8" ht="14.4" thickBot="1" x14ac:dyDescent="0.35">
      <c r="B9" s="230" t="s">
        <v>206</v>
      </c>
      <c r="C9" s="222"/>
      <c r="D9" s="215"/>
      <c r="E9" s="215"/>
      <c r="F9" s="215"/>
      <c r="G9" s="215"/>
      <c r="H9" s="216"/>
    </row>
    <row r="10" spans="2:8" s="213" customFormat="1" x14ac:dyDescent="0.3">
      <c r="B10" s="228" t="s">
        <v>249</v>
      </c>
      <c r="C10" s="217"/>
      <c r="D10" s="218"/>
      <c r="E10" s="218"/>
      <c r="F10" s="218"/>
      <c r="G10" s="218"/>
      <c r="H10" s="219"/>
    </row>
    <row r="11" spans="2:8" x14ac:dyDescent="0.3">
      <c r="B11" s="229" t="s">
        <v>250</v>
      </c>
      <c r="C11" s="220"/>
      <c r="D11" s="214"/>
      <c r="E11" s="214"/>
      <c r="F11" s="214"/>
      <c r="G11" s="214"/>
      <c r="H11" s="221"/>
    </row>
    <row r="12" spans="2:8" x14ac:dyDescent="0.3">
      <c r="B12" s="229" t="s">
        <v>170</v>
      </c>
      <c r="C12" s="220"/>
      <c r="D12" s="214"/>
      <c r="E12" s="214"/>
      <c r="F12" s="214"/>
      <c r="G12" s="214"/>
      <c r="H12" s="221"/>
    </row>
    <row r="13" spans="2:8" x14ac:dyDescent="0.3">
      <c r="B13" s="229" t="s">
        <v>172</v>
      </c>
      <c r="C13" s="220"/>
      <c r="D13" s="214"/>
      <c r="E13" s="214"/>
      <c r="F13" s="214"/>
      <c r="G13" s="214"/>
      <c r="H13" s="221"/>
    </row>
    <row r="14" spans="2:8" x14ac:dyDescent="0.3">
      <c r="B14" s="229" t="s">
        <v>174</v>
      </c>
      <c r="C14" s="220"/>
      <c r="D14" s="214"/>
      <c r="E14" s="214"/>
      <c r="F14" s="214"/>
      <c r="G14" s="214"/>
      <c r="H14" s="221"/>
    </row>
    <row r="15" spans="2:8" x14ac:dyDescent="0.3">
      <c r="B15" s="229" t="s">
        <v>176</v>
      </c>
      <c r="C15" s="220"/>
      <c r="D15" s="214"/>
      <c r="E15" s="214"/>
      <c r="F15" s="214"/>
      <c r="G15" s="214"/>
      <c r="H15" s="221"/>
    </row>
    <row r="16" spans="2:8" x14ac:dyDescent="0.3">
      <c r="B16" s="229" t="s">
        <v>178</v>
      </c>
      <c r="C16" s="220"/>
      <c r="D16" s="214"/>
      <c r="E16" s="214"/>
      <c r="F16" s="214"/>
      <c r="G16" s="214"/>
      <c r="H16" s="221"/>
    </row>
    <row r="17" spans="2:8" x14ac:dyDescent="0.3">
      <c r="B17" s="229" t="s">
        <v>186</v>
      </c>
      <c r="C17" s="220"/>
      <c r="D17" s="214"/>
      <c r="E17" s="214"/>
      <c r="F17" s="214"/>
      <c r="G17" s="214"/>
      <c r="H17" s="221"/>
    </row>
    <row r="18" spans="2:8" x14ac:dyDescent="0.3">
      <c r="B18" s="229" t="s">
        <v>191</v>
      </c>
      <c r="C18" s="220"/>
      <c r="D18" s="214"/>
      <c r="E18" s="214"/>
      <c r="F18" s="214"/>
      <c r="G18" s="214"/>
      <c r="H18" s="221"/>
    </row>
    <row r="19" spans="2:8" x14ac:dyDescent="0.3">
      <c r="B19" s="229" t="s">
        <v>196</v>
      </c>
      <c r="C19" s="220"/>
      <c r="D19" s="214"/>
      <c r="E19" s="214"/>
      <c r="F19" s="214"/>
      <c r="G19" s="214"/>
      <c r="H19" s="221"/>
    </row>
    <row r="20" spans="2:8" ht="14.4" thickBot="1" x14ac:dyDescent="0.35">
      <c r="B20" s="230" t="s">
        <v>198</v>
      </c>
      <c r="C20" s="222"/>
      <c r="D20" s="215"/>
      <c r="E20" s="215"/>
      <c r="F20" s="215"/>
      <c r="G20" s="215"/>
      <c r="H20" s="216"/>
    </row>
    <row r="21" spans="2:8" x14ac:dyDescent="0.3">
      <c r="B21" s="231" t="s">
        <v>251</v>
      </c>
      <c r="C21" s="223"/>
      <c r="D21" s="224"/>
      <c r="E21" s="224"/>
      <c r="F21" s="224"/>
      <c r="G21" s="224"/>
      <c r="H21" s="225"/>
    </row>
    <row r="22" spans="2:8" x14ac:dyDescent="0.3">
      <c r="B22" s="229" t="s">
        <v>96</v>
      </c>
      <c r="C22" s="220"/>
      <c r="D22" s="214"/>
      <c r="E22" s="214"/>
      <c r="F22" s="214"/>
      <c r="G22" s="214"/>
      <c r="H22" s="221"/>
    </row>
    <row r="23" spans="2:8" x14ac:dyDescent="0.3">
      <c r="B23" s="229" t="s">
        <v>96</v>
      </c>
      <c r="C23" s="220"/>
      <c r="D23" s="214"/>
      <c r="E23" s="214"/>
      <c r="F23" s="214"/>
      <c r="G23" s="214"/>
      <c r="H23" s="221"/>
    </row>
    <row r="24" spans="2:8" x14ac:dyDescent="0.3">
      <c r="B24" s="229" t="s">
        <v>96</v>
      </c>
      <c r="C24" s="220"/>
      <c r="D24" s="214"/>
      <c r="E24" s="214"/>
      <c r="F24" s="214"/>
      <c r="G24" s="214"/>
      <c r="H24" s="221"/>
    </row>
    <row r="25" spans="2:8" x14ac:dyDescent="0.3">
      <c r="B25" s="229" t="s">
        <v>96</v>
      </c>
      <c r="C25" s="220"/>
      <c r="D25" s="214"/>
      <c r="E25" s="214"/>
      <c r="F25" s="214"/>
      <c r="G25" s="214"/>
      <c r="H25" s="221"/>
    </row>
    <row r="26" spans="2:8" x14ac:dyDescent="0.3">
      <c r="B26" s="229" t="s">
        <v>96</v>
      </c>
      <c r="C26" s="220"/>
      <c r="D26" s="214"/>
      <c r="E26" s="214"/>
      <c r="F26" s="214"/>
      <c r="G26" s="214"/>
      <c r="H26" s="221"/>
    </row>
    <row r="27" spans="2:8" ht="14.4" thickBot="1" x14ac:dyDescent="0.35">
      <c r="B27" s="230" t="s">
        <v>96</v>
      </c>
      <c r="C27" s="222"/>
      <c r="D27" s="215"/>
      <c r="E27" s="215"/>
      <c r="F27" s="215"/>
      <c r="G27" s="215"/>
      <c r="H27" s="216"/>
    </row>
    <row r="28" spans="2:8" x14ac:dyDescent="0.3">
      <c r="B28" s="226"/>
      <c r="C28" s="226"/>
      <c r="D28" s="226"/>
      <c r="E28" s="226"/>
      <c r="F28" s="226"/>
      <c r="G28" s="226"/>
      <c r="H28" s="226"/>
    </row>
    <row r="29" spans="2:8" x14ac:dyDescent="0.3">
      <c r="B29" s="227"/>
      <c r="C29" s="227"/>
      <c r="D29" s="227"/>
      <c r="E29" s="227"/>
      <c r="F29" s="227"/>
      <c r="G29" s="227"/>
      <c r="H29" s="227"/>
    </row>
    <row r="30" spans="2:8" x14ac:dyDescent="0.3">
      <c r="B30" s="227"/>
      <c r="C30" s="227"/>
      <c r="D30" s="227"/>
      <c r="E30" s="227"/>
      <c r="F30" s="227"/>
      <c r="G30" s="227"/>
      <c r="H30" s="227"/>
    </row>
    <row r="31" spans="2:8" x14ac:dyDescent="0.3">
      <c r="B31" s="227"/>
      <c r="C31" s="227"/>
      <c r="D31" s="227"/>
      <c r="E31" s="227"/>
      <c r="F31" s="227"/>
      <c r="G31" s="227"/>
      <c r="H31" s="227"/>
    </row>
    <row r="32" spans="2:8" x14ac:dyDescent="0.3">
      <c r="B32" s="227"/>
      <c r="C32" s="227"/>
      <c r="D32" s="227"/>
      <c r="E32" s="227"/>
      <c r="F32" s="227"/>
      <c r="G32" s="227"/>
      <c r="H32" s="227"/>
    </row>
  </sheetData>
  <mergeCells count="3">
    <mergeCell ref="C3:H3"/>
    <mergeCell ref="C2:H2"/>
    <mergeCell ref="B2:B4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Y2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3" sqref="A3"/>
    </sheetView>
  </sheetViews>
  <sheetFormatPr defaultColWidth="9.109375" defaultRowHeight="13.8" x14ac:dyDescent="0.3"/>
  <cols>
    <col min="1" max="1" width="11.6640625" style="2" customWidth="1"/>
    <col min="2" max="2" width="11.6640625" style="2" hidden="1" customWidth="1"/>
    <col min="3" max="10" width="11.6640625" style="2" customWidth="1"/>
    <col min="11" max="16" width="12.6640625" style="2" customWidth="1"/>
    <col min="17" max="17" width="12.6640625" style="2" hidden="1" customWidth="1"/>
    <col min="18" max="31" width="12.6640625" style="2" customWidth="1"/>
    <col min="32" max="32" width="12.6640625" style="2" hidden="1" customWidth="1"/>
    <col min="33" max="46" width="12.6640625" style="2" customWidth="1"/>
    <col min="47" max="47" width="12.6640625" style="2" hidden="1" customWidth="1"/>
    <col min="48" max="61" width="12.6640625" style="2" customWidth="1"/>
    <col min="62" max="62" width="12.6640625" style="2" hidden="1" customWidth="1"/>
    <col min="63" max="76" width="12.6640625" style="2" customWidth="1"/>
    <col min="77" max="16384" width="9.109375" style="2"/>
  </cols>
  <sheetData>
    <row r="1" spans="1:77" ht="17.399999999999999" x14ac:dyDescent="0.3">
      <c r="A1" s="702" t="s">
        <v>566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  <c r="P1" s="702"/>
    </row>
    <row r="2" spans="1:77" x14ac:dyDescent="0.3">
      <c r="A2" s="668" t="s">
        <v>571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</row>
    <row r="3" spans="1:77" x14ac:dyDescent="0.3">
      <c r="A3" s="577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</row>
    <row r="4" spans="1:77" s="125" customFormat="1" x14ac:dyDescent="0.3">
      <c r="A4" s="694" t="s">
        <v>257</v>
      </c>
      <c r="B4" s="252"/>
      <c r="C4" s="705" t="str">
        <f>Спецификация!C4</f>
        <v>02v3</v>
      </c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244"/>
      <c r="R4" s="706" t="str">
        <f>Спецификация!D4</f>
        <v>02v5</v>
      </c>
      <c r="S4" s="706"/>
      <c r="T4" s="706"/>
      <c r="U4" s="706"/>
      <c r="V4" s="706"/>
      <c r="W4" s="706"/>
      <c r="X4" s="706"/>
      <c r="Y4" s="706"/>
      <c r="Z4" s="706"/>
      <c r="AA4" s="706"/>
      <c r="AB4" s="706"/>
      <c r="AC4" s="706"/>
      <c r="AD4" s="706"/>
      <c r="AE4" s="706"/>
      <c r="AF4" s="246"/>
      <c r="AG4" s="707" t="str">
        <f>Спецификация!E4</f>
        <v>02v8</v>
      </c>
      <c r="AH4" s="707"/>
      <c r="AI4" s="707"/>
      <c r="AJ4" s="707"/>
      <c r="AK4" s="707"/>
      <c r="AL4" s="707"/>
      <c r="AM4" s="707"/>
      <c r="AN4" s="707"/>
      <c r="AO4" s="707"/>
      <c r="AP4" s="707"/>
      <c r="AQ4" s="707"/>
      <c r="AR4" s="707"/>
      <c r="AS4" s="707"/>
      <c r="AT4" s="707"/>
      <c r="AU4" s="248"/>
      <c r="AV4" s="708" t="str">
        <f>Спецификация!F4</f>
        <v>02v11</v>
      </c>
      <c r="AW4" s="708"/>
      <c r="AX4" s="708"/>
      <c r="AY4" s="708"/>
      <c r="AZ4" s="708"/>
      <c r="BA4" s="708"/>
      <c r="BB4" s="708"/>
      <c r="BC4" s="708"/>
      <c r="BD4" s="708"/>
      <c r="BE4" s="708"/>
      <c r="BF4" s="708"/>
      <c r="BG4" s="708"/>
      <c r="BH4" s="708"/>
      <c r="BI4" s="708"/>
      <c r="BJ4" s="250"/>
      <c r="BK4" s="703" t="str">
        <f>Спецификация!G4</f>
        <v>02v12</v>
      </c>
      <c r="BL4" s="703"/>
      <c r="BM4" s="703"/>
      <c r="BN4" s="703"/>
      <c r="BO4" s="703"/>
      <c r="BP4" s="703"/>
      <c r="BQ4" s="703"/>
      <c r="BR4" s="703"/>
      <c r="BS4" s="703"/>
      <c r="BT4" s="703"/>
      <c r="BU4" s="703"/>
      <c r="BV4" s="703"/>
      <c r="BW4" s="703"/>
      <c r="BX4" s="703"/>
      <c r="BY4" s="236"/>
    </row>
    <row r="5" spans="1:77" s="235" customFormat="1" ht="27.6" x14ac:dyDescent="0.3">
      <c r="A5" s="704"/>
      <c r="B5" s="253"/>
      <c r="C5" s="243" t="s">
        <v>258</v>
      </c>
      <c r="D5" s="243" t="s">
        <v>259</v>
      </c>
      <c r="E5" s="243" t="s">
        <v>260</v>
      </c>
      <c r="F5" s="243" t="s">
        <v>261</v>
      </c>
      <c r="G5" s="243" t="s">
        <v>262</v>
      </c>
      <c r="H5" s="243" t="s">
        <v>2</v>
      </c>
      <c r="I5" s="243" t="s">
        <v>4</v>
      </c>
      <c r="J5" s="243" t="s">
        <v>119</v>
      </c>
      <c r="K5" s="243" t="s">
        <v>9</v>
      </c>
      <c r="L5" s="243" t="s">
        <v>8</v>
      </c>
      <c r="M5" s="243" t="s">
        <v>10</v>
      </c>
      <c r="N5" s="243" t="s">
        <v>5</v>
      </c>
      <c r="O5" s="243" t="s">
        <v>6</v>
      </c>
      <c r="P5" s="243" t="s">
        <v>16</v>
      </c>
      <c r="Q5" s="245"/>
      <c r="R5" s="245" t="s">
        <v>258</v>
      </c>
      <c r="S5" s="245" t="s">
        <v>259</v>
      </c>
      <c r="T5" s="245" t="s">
        <v>260</v>
      </c>
      <c r="U5" s="245" t="s">
        <v>261</v>
      </c>
      <c r="V5" s="245" t="s">
        <v>262</v>
      </c>
      <c r="W5" s="245" t="s">
        <v>2</v>
      </c>
      <c r="X5" s="245" t="s">
        <v>4</v>
      </c>
      <c r="Y5" s="245" t="s">
        <v>119</v>
      </c>
      <c r="Z5" s="245" t="s">
        <v>9</v>
      </c>
      <c r="AA5" s="245" t="s">
        <v>8</v>
      </c>
      <c r="AB5" s="245" t="s">
        <v>10</v>
      </c>
      <c r="AC5" s="245" t="s">
        <v>5</v>
      </c>
      <c r="AD5" s="245" t="s">
        <v>6</v>
      </c>
      <c r="AE5" s="245" t="s">
        <v>16</v>
      </c>
      <c r="AF5" s="247"/>
      <c r="AG5" s="247" t="s">
        <v>258</v>
      </c>
      <c r="AH5" s="247" t="s">
        <v>259</v>
      </c>
      <c r="AI5" s="247" t="s">
        <v>260</v>
      </c>
      <c r="AJ5" s="247" t="s">
        <v>261</v>
      </c>
      <c r="AK5" s="247" t="s">
        <v>262</v>
      </c>
      <c r="AL5" s="247" t="s">
        <v>2</v>
      </c>
      <c r="AM5" s="247" t="s">
        <v>4</v>
      </c>
      <c r="AN5" s="247" t="s">
        <v>119</v>
      </c>
      <c r="AO5" s="247" t="s">
        <v>9</v>
      </c>
      <c r="AP5" s="247" t="s">
        <v>8</v>
      </c>
      <c r="AQ5" s="247" t="s">
        <v>10</v>
      </c>
      <c r="AR5" s="247" t="s">
        <v>5</v>
      </c>
      <c r="AS5" s="247" t="s">
        <v>6</v>
      </c>
      <c r="AT5" s="247" t="s">
        <v>16</v>
      </c>
      <c r="AU5" s="249"/>
      <c r="AV5" s="249" t="s">
        <v>258</v>
      </c>
      <c r="AW5" s="249" t="s">
        <v>259</v>
      </c>
      <c r="AX5" s="249" t="s">
        <v>260</v>
      </c>
      <c r="AY5" s="249" t="s">
        <v>261</v>
      </c>
      <c r="AZ5" s="249" t="s">
        <v>262</v>
      </c>
      <c r="BA5" s="249" t="s">
        <v>2</v>
      </c>
      <c r="BB5" s="249" t="s">
        <v>4</v>
      </c>
      <c r="BC5" s="249" t="s">
        <v>119</v>
      </c>
      <c r="BD5" s="249" t="s">
        <v>9</v>
      </c>
      <c r="BE5" s="249" t="s">
        <v>8</v>
      </c>
      <c r="BF5" s="249" t="s">
        <v>10</v>
      </c>
      <c r="BG5" s="249" t="s">
        <v>5</v>
      </c>
      <c r="BH5" s="249" t="s">
        <v>6</v>
      </c>
      <c r="BI5" s="249" t="s">
        <v>16</v>
      </c>
      <c r="BJ5" s="251"/>
      <c r="BK5" s="251" t="s">
        <v>258</v>
      </c>
      <c r="BL5" s="251" t="s">
        <v>259</v>
      </c>
      <c r="BM5" s="251" t="s">
        <v>260</v>
      </c>
      <c r="BN5" s="251" t="s">
        <v>261</v>
      </c>
      <c r="BO5" s="251" t="s">
        <v>262</v>
      </c>
      <c r="BP5" s="251" t="s">
        <v>2</v>
      </c>
      <c r="BQ5" s="251" t="s">
        <v>4</v>
      </c>
      <c r="BR5" s="251" t="s">
        <v>119</v>
      </c>
      <c r="BS5" s="251" t="s">
        <v>9</v>
      </c>
      <c r="BT5" s="251" t="s">
        <v>8</v>
      </c>
      <c r="BU5" s="251" t="s">
        <v>10</v>
      </c>
      <c r="BV5" s="251" t="s">
        <v>5</v>
      </c>
      <c r="BW5" s="251" t="s">
        <v>6</v>
      </c>
      <c r="BX5" s="251" t="s">
        <v>16</v>
      </c>
      <c r="BY5" s="238"/>
    </row>
    <row r="6" spans="1:77" x14ac:dyDescent="0.3">
      <c r="A6" s="239" t="s">
        <v>263</v>
      </c>
      <c r="B6" s="239" t="s">
        <v>334</v>
      </c>
      <c r="C6" s="2" t="s">
        <v>264</v>
      </c>
      <c r="D6" s="2" t="s">
        <v>265</v>
      </c>
      <c r="E6" s="2" t="s">
        <v>266</v>
      </c>
      <c r="F6" s="2" t="s">
        <v>267</v>
      </c>
      <c r="G6" s="2" t="s">
        <v>268</v>
      </c>
      <c r="H6" s="2" t="s">
        <v>269</v>
      </c>
      <c r="I6" s="2" t="s">
        <v>270</v>
      </c>
      <c r="J6" s="2" t="s">
        <v>271</v>
      </c>
      <c r="K6" s="2" t="s">
        <v>272</v>
      </c>
      <c r="L6" s="2" t="s">
        <v>273</v>
      </c>
      <c r="M6" s="2" t="s">
        <v>274</v>
      </c>
      <c r="N6" s="2" t="s">
        <v>275</v>
      </c>
      <c r="O6" s="2" t="s">
        <v>276</v>
      </c>
      <c r="P6" s="2" t="s">
        <v>277</v>
      </c>
      <c r="Q6" s="2" t="s">
        <v>335</v>
      </c>
      <c r="R6" s="2" t="s">
        <v>278</v>
      </c>
      <c r="S6" s="2" t="s">
        <v>279</v>
      </c>
      <c r="T6" s="2" t="s">
        <v>280</v>
      </c>
      <c r="U6" s="2" t="s">
        <v>281</v>
      </c>
      <c r="V6" s="2" t="s">
        <v>282</v>
      </c>
      <c r="W6" s="2" t="s">
        <v>283</v>
      </c>
      <c r="X6" s="2" t="s">
        <v>284</v>
      </c>
      <c r="Y6" s="2" t="s">
        <v>285</v>
      </c>
      <c r="Z6" s="2" t="s">
        <v>286</v>
      </c>
      <c r="AA6" s="2" t="s">
        <v>287</v>
      </c>
      <c r="AB6" s="2" t="s">
        <v>288</v>
      </c>
      <c r="AC6" s="2" t="s">
        <v>289</v>
      </c>
      <c r="AD6" s="2" t="s">
        <v>290</v>
      </c>
      <c r="AE6" s="2" t="s">
        <v>291</v>
      </c>
      <c r="AF6" s="2" t="s">
        <v>336</v>
      </c>
      <c r="AG6" s="2" t="s">
        <v>292</v>
      </c>
      <c r="AH6" s="2" t="s">
        <v>293</v>
      </c>
      <c r="AI6" s="2" t="s">
        <v>294</v>
      </c>
      <c r="AJ6" s="2" t="s">
        <v>295</v>
      </c>
      <c r="AK6" s="2" t="s">
        <v>296</v>
      </c>
      <c r="AL6" s="2" t="s">
        <v>297</v>
      </c>
      <c r="AM6" s="2" t="s">
        <v>298</v>
      </c>
      <c r="AN6" s="2" t="s">
        <v>299</v>
      </c>
      <c r="AO6" s="2" t="s">
        <v>300</v>
      </c>
      <c r="AP6" s="2" t="s">
        <v>301</v>
      </c>
      <c r="AQ6" s="2" t="s">
        <v>302</v>
      </c>
      <c r="AR6" s="2" t="s">
        <v>303</v>
      </c>
      <c r="AS6" s="2" t="s">
        <v>304</v>
      </c>
      <c r="AT6" s="2" t="s">
        <v>305</v>
      </c>
      <c r="AU6" s="2" t="s">
        <v>337</v>
      </c>
      <c r="AV6" s="2" t="s">
        <v>306</v>
      </c>
      <c r="AW6" s="2" t="s">
        <v>307</v>
      </c>
      <c r="AX6" s="2" t="s">
        <v>308</v>
      </c>
      <c r="AY6" s="2" t="s">
        <v>309</v>
      </c>
      <c r="AZ6" s="2" t="s">
        <v>310</v>
      </c>
      <c r="BA6" s="2" t="s">
        <v>311</v>
      </c>
      <c r="BB6" s="2" t="s">
        <v>312</v>
      </c>
      <c r="BC6" s="2" t="s">
        <v>313</v>
      </c>
      <c r="BD6" s="2" t="s">
        <v>314</v>
      </c>
      <c r="BE6" s="2" t="s">
        <v>315</v>
      </c>
      <c r="BF6" s="2" t="s">
        <v>316</v>
      </c>
      <c r="BG6" s="2" t="s">
        <v>317</v>
      </c>
      <c r="BH6" s="2" t="s">
        <v>318</v>
      </c>
      <c r="BI6" s="2" t="s">
        <v>319</v>
      </c>
      <c r="BJ6" s="2" t="s">
        <v>338</v>
      </c>
      <c r="BK6" s="2" t="s">
        <v>320</v>
      </c>
      <c r="BL6" s="2" t="s">
        <v>321</v>
      </c>
      <c r="BM6" s="2" t="s">
        <v>322</v>
      </c>
      <c r="BN6" s="2" t="s">
        <v>323</v>
      </c>
      <c r="BO6" s="2" t="s">
        <v>324</v>
      </c>
      <c r="BP6" s="2" t="s">
        <v>325</v>
      </c>
      <c r="BQ6" s="2" t="s">
        <v>326</v>
      </c>
      <c r="BR6" s="2" t="s">
        <v>327</v>
      </c>
      <c r="BS6" s="2" t="s">
        <v>328</v>
      </c>
      <c r="BT6" s="2" t="s">
        <v>329</v>
      </c>
      <c r="BU6" s="2" t="s">
        <v>330</v>
      </c>
      <c r="BV6" s="2" t="s">
        <v>331</v>
      </c>
      <c r="BW6" s="2" t="s">
        <v>332</v>
      </c>
      <c r="BX6" s="2" t="s">
        <v>333</v>
      </c>
      <c r="BY6" s="237"/>
    </row>
    <row r="7" spans="1:77" x14ac:dyDescent="0.3">
      <c r="A7" s="239">
        <v>43816</v>
      </c>
      <c r="B7" s="240" t="str">
        <f>Спецификация!$C$4</f>
        <v>02v3</v>
      </c>
      <c r="Q7" s="2" t="str">
        <f>Спецификация!$D$4</f>
        <v>02v5</v>
      </c>
      <c r="R7" s="2">
        <v>4.6100000000000003</v>
      </c>
      <c r="S7" s="2">
        <v>32.08</v>
      </c>
      <c r="T7" s="2">
        <v>7.47</v>
      </c>
      <c r="U7" s="2">
        <v>6.66</v>
      </c>
      <c r="V7" s="2">
        <v>78.33</v>
      </c>
      <c r="W7" s="2">
        <v>5.58</v>
      </c>
      <c r="X7" s="2">
        <v>4.47</v>
      </c>
      <c r="Y7" s="2">
        <v>25.66</v>
      </c>
      <c r="Z7" s="2">
        <v>1.22</v>
      </c>
      <c r="AA7" s="2">
        <v>1.22</v>
      </c>
      <c r="AB7" s="2">
        <v>1.22</v>
      </c>
      <c r="AC7" s="2">
        <v>1.62</v>
      </c>
      <c r="AD7" s="2">
        <v>0.23</v>
      </c>
      <c r="AF7" s="2" t="str">
        <f>Спецификация!$E$4</f>
        <v>02v8</v>
      </c>
      <c r="AU7" s="2" t="str">
        <f>Спецификация!$F$4</f>
        <v>02v11</v>
      </c>
      <c r="BJ7" s="2" t="str">
        <f t="shared" ref="BJ7:BJ23" si="0">$BK$4</f>
        <v>02v12</v>
      </c>
      <c r="BY7" s="237"/>
    </row>
    <row r="8" spans="1:77" x14ac:dyDescent="0.3">
      <c r="A8" s="239"/>
      <c r="B8" s="240" t="str">
        <f>Спецификация!$C$4</f>
        <v>02v3</v>
      </c>
      <c r="Q8" s="2" t="str">
        <f>Спецификация!$D$4</f>
        <v>02v5</v>
      </c>
      <c r="AF8" s="2" t="str">
        <f>Спецификация!$E$4</f>
        <v>02v8</v>
      </c>
      <c r="AU8" s="2" t="str">
        <f>Спецификация!$F$4</f>
        <v>02v11</v>
      </c>
      <c r="BJ8" s="2" t="str">
        <f t="shared" si="0"/>
        <v>02v12</v>
      </c>
      <c r="BY8" s="237"/>
    </row>
    <row r="9" spans="1:77" x14ac:dyDescent="0.3">
      <c r="B9" s="240" t="str">
        <f>Спецификация!$C$4</f>
        <v>02v3</v>
      </c>
      <c r="Q9" s="2" t="str">
        <f>Спецификация!$D$4</f>
        <v>02v5</v>
      </c>
      <c r="AF9" s="2" t="str">
        <f>Спецификация!$E$4</f>
        <v>02v8</v>
      </c>
      <c r="AU9" s="2" t="str">
        <f>Спецификация!$F$4</f>
        <v>02v11</v>
      </c>
      <c r="BJ9" s="2" t="str">
        <f t="shared" si="0"/>
        <v>02v12</v>
      </c>
    </row>
    <row r="10" spans="1:77" x14ac:dyDescent="0.3">
      <c r="B10" s="240" t="str">
        <f>Спецификация!$C$4</f>
        <v>02v3</v>
      </c>
      <c r="Q10" s="2" t="str">
        <f>Спецификация!$D$4</f>
        <v>02v5</v>
      </c>
      <c r="AF10" s="2" t="str">
        <f>Спецификация!$E$4</f>
        <v>02v8</v>
      </c>
      <c r="AU10" s="2" t="str">
        <f>Спецификация!$F$4</f>
        <v>02v11</v>
      </c>
      <c r="BJ10" s="2" t="str">
        <f t="shared" si="0"/>
        <v>02v12</v>
      </c>
    </row>
    <row r="11" spans="1:77" x14ac:dyDescent="0.3">
      <c r="B11" s="240" t="str">
        <f>Спецификация!$C$4</f>
        <v>02v3</v>
      </c>
      <c r="Q11" s="2" t="str">
        <f>Спецификация!$D$4</f>
        <v>02v5</v>
      </c>
      <c r="AF11" s="2" t="str">
        <f>Спецификация!$E$4</f>
        <v>02v8</v>
      </c>
      <c r="AU11" s="2" t="str">
        <f>Спецификация!$F$4</f>
        <v>02v11</v>
      </c>
      <c r="BJ11" s="2" t="str">
        <f t="shared" si="0"/>
        <v>02v12</v>
      </c>
    </row>
    <row r="12" spans="1:77" x14ac:dyDescent="0.3">
      <c r="B12" s="240" t="str">
        <f>Спецификация!$C$4</f>
        <v>02v3</v>
      </c>
      <c r="Q12" s="2" t="str">
        <f>Спецификация!$D$4</f>
        <v>02v5</v>
      </c>
      <c r="AF12" s="2" t="str">
        <f>Спецификация!$E$4</f>
        <v>02v8</v>
      </c>
      <c r="AU12" s="2" t="str">
        <f>Спецификация!$F$4</f>
        <v>02v11</v>
      </c>
      <c r="BJ12" s="2" t="str">
        <f t="shared" si="0"/>
        <v>02v12</v>
      </c>
    </row>
    <row r="13" spans="1:77" x14ac:dyDescent="0.3">
      <c r="B13" s="240" t="str">
        <f>Спецификация!$C$4</f>
        <v>02v3</v>
      </c>
      <c r="Q13" s="2" t="str">
        <f>Спецификация!$D$4</f>
        <v>02v5</v>
      </c>
      <c r="AF13" s="2" t="str">
        <f>Спецификация!$E$4</f>
        <v>02v8</v>
      </c>
      <c r="AU13" s="2" t="str">
        <f>Спецификация!$F$4</f>
        <v>02v11</v>
      </c>
      <c r="BJ13" s="2" t="str">
        <f t="shared" si="0"/>
        <v>02v12</v>
      </c>
    </row>
    <row r="14" spans="1:77" x14ac:dyDescent="0.3">
      <c r="B14" s="240" t="str">
        <f>Спецификация!$C$4</f>
        <v>02v3</v>
      </c>
      <c r="Q14" s="2" t="str">
        <f>Спецификация!$D$4</f>
        <v>02v5</v>
      </c>
      <c r="AF14" s="2" t="str">
        <f>Спецификация!$E$4</f>
        <v>02v8</v>
      </c>
      <c r="AU14" s="2" t="str">
        <f>Спецификация!$F$4</f>
        <v>02v11</v>
      </c>
      <c r="BJ14" s="2" t="str">
        <f t="shared" si="0"/>
        <v>02v12</v>
      </c>
    </row>
    <row r="15" spans="1:77" x14ac:dyDescent="0.3">
      <c r="B15" s="240" t="str">
        <f>Спецификация!$C$4</f>
        <v>02v3</v>
      </c>
      <c r="Q15" s="2" t="str">
        <f>Спецификация!$D$4</f>
        <v>02v5</v>
      </c>
      <c r="AF15" s="2" t="str">
        <f>Спецификация!$E$4</f>
        <v>02v8</v>
      </c>
      <c r="AU15" s="2" t="str">
        <f>Спецификация!$F$4</f>
        <v>02v11</v>
      </c>
      <c r="BJ15" s="2" t="str">
        <f t="shared" si="0"/>
        <v>02v12</v>
      </c>
    </row>
    <row r="16" spans="1:77" x14ac:dyDescent="0.3">
      <c r="B16" s="240" t="str">
        <f>Спецификация!$C$4</f>
        <v>02v3</v>
      </c>
      <c r="Q16" s="2" t="str">
        <f>Спецификация!$D$4</f>
        <v>02v5</v>
      </c>
      <c r="AF16" s="2" t="str">
        <f>Спецификация!$E$4</f>
        <v>02v8</v>
      </c>
      <c r="AU16" s="2" t="str">
        <f>Спецификация!$F$4</f>
        <v>02v11</v>
      </c>
      <c r="BJ16" s="2" t="str">
        <f t="shared" si="0"/>
        <v>02v12</v>
      </c>
    </row>
    <row r="17" spans="2:62" x14ac:dyDescent="0.3">
      <c r="B17" s="240" t="str">
        <f>Спецификация!$C$4</f>
        <v>02v3</v>
      </c>
      <c r="Q17" s="2" t="str">
        <f>Спецификация!$D$4</f>
        <v>02v5</v>
      </c>
      <c r="AF17" s="2" t="str">
        <f>Спецификация!$E$4</f>
        <v>02v8</v>
      </c>
      <c r="AU17" s="2" t="str">
        <f>Спецификация!$F$4</f>
        <v>02v11</v>
      </c>
      <c r="BJ17" s="2" t="str">
        <f t="shared" si="0"/>
        <v>02v12</v>
      </c>
    </row>
    <row r="18" spans="2:62" x14ac:dyDescent="0.3">
      <c r="B18" s="240" t="str">
        <f>Спецификация!$C$4</f>
        <v>02v3</v>
      </c>
      <c r="Q18" s="2" t="str">
        <f>Спецификация!$D$4</f>
        <v>02v5</v>
      </c>
      <c r="AF18" s="2" t="str">
        <f>Спецификация!$E$4</f>
        <v>02v8</v>
      </c>
      <c r="AU18" s="2" t="str">
        <f>Спецификация!$F$4</f>
        <v>02v11</v>
      </c>
      <c r="BJ18" s="2" t="str">
        <f t="shared" si="0"/>
        <v>02v12</v>
      </c>
    </row>
    <row r="19" spans="2:62" x14ac:dyDescent="0.3">
      <c r="B19" s="240" t="str">
        <f>Спецификация!$C$4</f>
        <v>02v3</v>
      </c>
      <c r="Q19" s="2" t="str">
        <f>Спецификация!$D$4</f>
        <v>02v5</v>
      </c>
      <c r="AF19" s="2" t="str">
        <f>Спецификация!$E$4</f>
        <v>02v8</v>
      </c>
      <c r="AU19" s="2" t="str">
        <f>Спецификация!$F$4</f>
        <v>02v11</v>
      </c>
      <c r="BJ19" s="2" t="str">
        <f t="shared" si="0"/>
        <v>02v12</v>
      </c>
    </row>
    <row r="20" spans="2:62" x14ac:dyDescent="0.3">
      <c r="B20" s="240" t="str">
        <f>Спецификация!$C$4</f>
        <v>02v3</v>
      </c>
      <c r="Q20" s="2" t="str">
        <f>Спецификация!$D$4</f>
        <v>02v5</v>
      </c>
      <c r="AF20" s="2" t="str">
        <f>Спецификация!$E$4</f>
        <v>02v8</v>
      </c>
      <c r="AU20" s="2" t="str">
        <f>Спецификация!$F$4</f>
        <v>02v11</v>
      </c>
      <c r="BJ20" s="2" t="str">
        <f t="shared" si="0"/>
        <v>02v12</v>
      </c>
    </row>
    <row r="21" spans="2:62" x14ac:dyDescent="0.3">
      <c r="B21" s="240" t="str">
        <f>Спецификация!$C$4</f>
        <v>02v3</v>
      </c>
      <c r="Q21" s="2" t="str">
        <f>Спецификация!$D$4</f>
        <v>02v5</v>
      </c>
      <c r="AF21" s="2" t="str">
        <f>Спецификация!$E$4</f>
        <v>02v8</v>
      </c>
      <c r="AU21" s="2" t="str">
        <f>Спецификация!$F$4</f>
        <v>02v11</v>
      </c>
      <c r="BJ21" s="2" t="str">
        <f t="shared" si="0"/>
        <v>02v12</v>
      </c>
    </row>
    <row r="22" spans="2:62" x14ac:dyDescent="0.3">
      <c r="B22" s="240" t="str">
        <f>Спецификация!$C$4</f>
        <v>02v3</v>
      </c>
      <c r="Q22" s="2" t="str">
        <f>Спецификация!$D$4</f>
        <v>02v5</v>
      </c>
      <c r="AF22" s="2" t="str">
        <f>Спецификация!$E$4</f>
        <v>02v8</v>
      </c>
      <c r="AU22" s="2" t="str">
        <f>Спецификация!$F$4</f>
        <v>02v11</v>
      </c>
      <c r="BJ22" s="2" t="str">
        <f t="shared" si="0"/>
        <v>02v12</v>
      </c>
    </row>
    <row r="23" spans="2:62" x14ac:dyDescent="0.3">
      <c r="B23" s="240" t="str">
        <f>Спецификация!$C$4</f>
        <v>02v3</v>
      </c>
      <c r="Q23" s="2" t="str">
        <f>Спецификация!$D$4</f>
        <v>02v5</v>
      </c>
      <c r="AF23" s="2" t="str">
        <f>Спецификация!$E$4</f>
        <v>02v8</v>
      </c>
      <c r="AU23" s="2" t="str">
        <f>Спецификация!$F$4</f>
        <v>02v11</v>
      </c>
      <c r="BJ23" s="2" t="str">
        <f t="shared" si="0"/>
        <v>02v12</v>
      </c>
    </row>
  </sheetData>
  <mergeCells count="8">
    <mergeCell ref="A1:P1"/>
    <mergeCell ref="A2:P2"/>
    <mergeCell ref="BK4:BX4"/>
    <mergeCell ref="A4:A5"/>
    <mergeCell ref="C4:P4"/>
    <mergeCell ref="R4:AE4"/>
    <mergeCell ref="AG4:AT4"/>
    <mergeCell ref="AV4:BI4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09375" defaultRowHeight="13.8" x14ac:dyDescent="0.3"/>
  <cols>
    <col min="1" max="3" width="11.6640625" style="2" customWidth="1"/>
    <col min="4" max="4" width="15.33203125" style="3" bestFit="1" customWidth="1"/>
    <col min="5" max="5" width="10.6640625" style="3" customWidth="1"/>
    <col min="6" max="16384" width="9.109375" style="3"/>
  </cols>
  <sheetData>
    <row r="1" spans="1:5" s="389" customFormat="1" ht="17.399999999999999" x14ac:dyDescent="0.3">
      <c r="A1" s="702" t="s">
        <v>566</v>
      </c>
      <c r="B1" s="702"/>
      <c r="C1" s="702"/>
      <c r="D1" s="702"/>
      <c r="E1" s="702"/>
    </row>
    <row r="2" spans="1:5" s="389" customFormat="1" ht="38.25" customHeight="1" x14ac:dyDescent="0.3">
      <c r="A2" s="710" t="s">
        <v>577</v>
      </c>
      <c r="B2" s="710"/>
      <c r="C2" s="710"/>
      <c r="D2" s="710"/>
      <c r="E2" s="710"/>
    </row>
    <row r="3" spans="1:5" s="389" customFormat="1" x14ac:dyDescent="0.3">
      <c r="A3" s="2"/>
      <c r="B3" s="2"/>
      <c r="C3" s="2"/>
    </row>
    <row r="4" spans="1:5" x14ac:dyDescent="0.3">
      <c r="A4" s="709" t="s">
        <v>257</v>
      </c>
      <c r="B4" s="709">
        <v>2102</v>
      </c>
      <c r="C4" s="709"/>
      <c r="D4" s="709"/>
      <c r="E4" s="709"/>
    </row>
    <row r="5" spans="1:5" x14ac:dyDescent="0.3">
      <c r="A5" s="709"/>
      <c r="B5" s="97" t="s">
        <v>373</v>
      </c>
      <c r="C5" s="97" t="s">
        <v>374</v>
      </c>
      <c r="D5" s="97" t="s">
        <v>375</v>
      </c>
      <c r="E5" s="214" t="s">
        <v>74</v>
      </c>
    </row>
    <row r="6" spans="1:5" s="256" customFormat="1" x14ac:dyDescent="0.3">
      <c r="A6" s="257" t="s">
        <v>263</v>
      </c>
      <c r="B6" s="257" t="s">
        <v>264</v>
      </c>
      <c r="C6" s="257" t="s">
        <v>265</v>
      </c>
      <c r="D6" s="257" t="s">
        <v>266</v>
      </c>
      <c r="E6" s="257" t="s">
        <v>267</v>
      </c>
    </row>
    <row r="7" spans="1:5" x14ac:dyDescent="0.3">
      <c r="A7" s="239">
        <v>43513</v>
      </c>
      <c r="B7" s="2">
        <v>0.17</v>
      </c>
      <c r="C7" s="2">
        <v>0.5</v>
      </c>
      <c r="D7" s="2">
        <v>0.5</v>
      </c>
      <c r="E7" s="2"/>
    </row>
    <row r="8" spans="1:5" x14ac:dyDescent="0.3">
      <c r="D8" s="2"/>
      <c r="E8" s="2"/>
    </row>
    <row r="9" spans="1:5" x14ac:dyDescent="0.3">
      <c r="D9" s="2"/>
      <c r="E9" s="2"/>
    </row>
    <row r="10" spans="1:5" x14ac:dyDescent="0.3">
      <c r="D10" s="2"/>
      <c r="E10" s="2"/>
    </row>
    <row r="11" spans="1:5" x14ac:dyDescent="0.3">
      <c r="D11" s="2"/>
      <c r="E11" s="2"/>
    </row>
    <row r="12" spans="1:5" x14ac:dyDescent="0.3">
      <c r="D12" s="2"/>
      <c r="E12" s="2"/>
    </row>
    <row r="13" spans="1:5" x14ac:dyDescent="0.3">
      <c r="D13" s="2"/>
      <c r="E13" s="2"/>
    </row>
    <row r="14" spans="1:5" x14ac:dyDescent="0.3">
      <c r="D14" s="2"/>
      <c r="E14" s="2"/>
    </row>
    <row r="15" spans="1:5" x14ac:dyDescent="0.3">
      <c r="D15" s="2"/>
      <c r="E15" s="2"/>
    </row>
    <row r="16" spans="1:5" x14ac:dyDescent="0.3">
      <c r="D16" s="2"/>
      <c r="E16" s="2"/>
    </row>
    <row r="17" spans="4:5" x14ac:dyDescent="0.3">
      <c r="D17" s="2"/>
      <c r="E17" s="2"/>
    </row>
    <row r="18" spans="4:5" x14ac:dyDescent="0.3">
      <c r="D18" s="2"/>
      <c r="E18" s="2"/>
    </row>
    <row r="19" spans="4:5" x14ac:dyDescent="0.3">
      <c r="D19" s="2"/>
      <c r="E19" s="2"/>
    </row>
    <row r="20" spans="4:5" x14ac:dyDescent="0.3">
      <c r="D20" s="2"/>
      <c r="E20" s="2"/>
    </row>
    <row r="21" spans="4:5" x14ac:dyDescent="0.3">
      <c r="D21" s="2"/>
      <c r="E21" s="2"/>
    </row>
    <row r="22" spans="4:5" x14ac:dyDescent="0.3">
      <c r="D22" s="2"/>
      <c r="E22" s="2"/>
    </row>
    <row r="23" spans="4:5" x14ac:dyDescent="0.3">
      <c r="D23" s="2"/>
      <c r="E23" s="2"/>
    </row>
  </sheetData>
  <mergeCells count="4">
    <mergeCell ref="A4:A5"/>
    <mergeCell ref="B4:E4"/>
    <mergeCell ref="A1:E1"/>
    <mergeCell ref="A2:E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1т 1ф</vt:lpstr>
      <vt:lpstr>1т 3ф</vt:lpstr>
      <vt:lpstr>Мт</vt:lpstr>
      <vt:lpstr>Расчет загрузки</vt:lpstr>
      <vt:lpstr>Хронометраж</vt:lpstr>
      <vt:lpstr>М-лы</vt:lpstr>
      <vt:lpstr>Спецификация</vt:lpstr>
      <vt:lpstr>Осн м-лы</vt:lpstr>
      <vt:lpstr>Прочие м-лы</vt:lpstr>
      <vt:lpstr>ЗП</vt:lpstr>
      <vt:lpstr>ОПР распределение</vt:lpstr>
      <vt:lpstr>ОПР 19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otk</dc:creator>
  <cp:lastModifiedBy>Xiaomi</cp:lastModifiedBy>
  <cp:lastPrinted>2012-05-04T09:24:04Z</cp:lastPrinted>
  <dcterms:created xsi:type="dcterms:W3CDTF">2011-01-31T10:51:55Z</dcterms:created>
  <dcterms:modified xsi:type="dcterms:W3CDTF">2020-05-28T07:38:58Z</dcterms:modified>
</cp:coreProperties>
</file>